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B60F4673-4F5D-AB4E-82F6-5248257DC565}" xr6:coauthVersionLast="47" xr6:coauthVersionMax="47" xr10:uidLastSave="{00000000-0000-0000-0000-000000000000}"/>
  <bookViews>
    <workbookView xWindow="-37940" yWindow="-240" windowWidth="33600" windowHeight="19740" firstSheet="6" activeTab="7" xr2:uid="{3EAFBCD7-4A13-4D60-AAC3-1DFFB598EB0F}"/>
  </bookViews>
  <sheets>
    <sheet name="Checklist (Monthly Revision)" sheetId="51" r:id="rId1"/>
    <sheet name="Checklist (CBO Budget Release)" sheetId="19" r:id="rId2"/>
    <sheet name="Revisions" sheetId="46" r:id="rId3"/>
    <sheet name="Monthly Personal Income" sheetId="52" r:id="rId4"/>
    <sheet name="forecast" sheetId="35" r:id="rId5"/>
    <sheet name="historical overrides" sheetId="50" r:id="rId6"/>
    <sheet name="MPCs" sheetId="42" r:id="rId7"/>
    <sheet name="Grants" sheetId="26" r:id="rId8"/>
    <sheet name="Federal and State Purchases" sheetId="20" r:id="rId9"/>
    <sheet name="PPP" sheetId="38" r:id="rId10"/>
    <sheet name="Subsidies" sheetId="30" r:id="rId11"/>
    <sheet name="Unemployment Insurance" sheetId="25" r:id="rId12"/>
    <sheet name="Medicaid" sheetId="49" r:id="rId13"/>
    <sheet name="Medicare" sheetId="33" r:id="rId14"/>
    <sheet name="Rebate Checks" sheetId="29" r:id="rId15"/>
    <sheet name="Social Benefits" sheetId="32" r:id="rId16"/>
    <sheet name="Taxes" sheetId="48" r:id="rId17"/>
    <sheet name="Provider Relief" sheetId="40" r:id="rId18"/>
    <sheet name="Haver Data" sheetId="23" r:id="rId19"/>
    <sheet name="Haver Pivoted" sheetId="24" r:id="rId20"/>
    <sheet name="Cares Act Scores" sheetId="36" r:id="rId21"/>
    <sheet name="Response and Relief Act Score" sheetId="27" r:id="rId22"/>
    <sheet name="ARP Score" sheetId="5" r:id="rId23"/>
    <sheet name="ARP Timing" sheetId="6" r:id="rId24"/>
    <sheet name="ARP Quarterly" sheetId="21" r:id="rId25"/>
    <sheet name="Deflators" sheetId="34" r:id="rId26"/>
    <sheet name="Sheet2" sheetId="53" r:id="rId2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81" i="26" l="1"/>
  <c r="T81" i="26"/>
  <c r="S81" i="26"/>
  <c r="R81" i="26"/>
  <c r="Q81" i="26"/>
  <c r="P81" i="26"/>
  <c r="O81" i="26"/>
  <c r="N81" i="26"/>
  <c r="M81" i="26"/>
  <c r="L81" i="26"/>
  <c r="K81" i="26"/>
  <c r="J81" i="26"/>
  <c r="M37" i="21"/>
  <c r="N37" i="21"/>
  <c r="O37" i="21"/>
  <c r="P37" i="21"/>
  <c r="Q37" i="21"/>
  <c r="R37" i="21"/>
  <c r="S37" i="21"/>
  <c r="T37" i="21"/>
  <c r="U37" i="21"/>
  <c r="V37" i="21"/>
  <c r="L37" i="21"/>
  <c r="D10" i="26"/>
  <c r="E10" i="26"/>
  <c r="G10" i="26"/>
  <c r="H10" i="26"/>
  <c r="I10" i="26"/>
  <c r="F10" i="26"/>
  <c r="L19" i="48" l="1"/>
  <c r="L12" i="48"/>
  <c r="L18" i="48"/>
  <c r="L11" i="48"/>
  <c r="P14" i="40"/>
  <c r="H14" i="40"/>
  <c r="N20" i="25"/>
  <c r="L33" i="52"/>
  <c r="O20" i="25"/>
  <c r="N11" i="25"/>
  <c r="N17" i="25"/>
  <c r="N16" i="25"/>
  <c r="N15" i="25"/>
  <c r="J36" i="52" s="1"/>
  <c r="H36" i="52" s="1"/>
  <c r="N12" i="25"/>
  <c r="J35" i="52"/>
  <c r="H35" i="52" s="1"/>
  <c r="J37" i="52"/>
  <c r="H37" i="52" s="1"/>
  <c r="J38" i="52"/>
  <c r="H38" i="52" s="1"/>
  <c r="J32" i="52"/>
  <c r="S12" i="33"/>
  <c r="T12" i="33" s="1"/>
  <c r="U12" i="33" s="1"/>
  <c r="V12" i="33" s="1"/>
  <c r="W12" i="33" s="1"/>
  <c r="X12" i="33" s="1"/>
  <c r="Y12" i="33" s="1"/>
  <c r="F48" i="49"/>
  <c r="J28" i="49"/>
  <c r="R12" i="33"/>
  <c r="Q12" i="33"/>
  <c r="J10" i="29"/>
  <c r="L47" i="52"/>
  <c r="L48" i="52"/>
  <c r="L36" i="52"/>
  <c r="L37" i="52"/>
  <c r="L38" i="52"/>
  <c r="L35" i="52"/>
  <c r="H42" i="52"/>
  <c r="I36" i="52"/>
  <c r="I37" i="52"/>
  <c r="I38" i="52"/>
  <c r="I35" i="52"/>
  <c r="H10" i="52"/>
  <c r="I10" i="52"/>
  <c r="H14" i="52"/>
  <c r="I14" i="52"/>
  <c r="H18" i="52"/>
  <c r="I18" i="52"/>
  <c r="H21" i="52"/>
  <c r="I21" i="52"/>
  <c r="I29" i="52"/>
  <c r="J29" i="52"/>
  <c r="H29" i="52" s="1"/>
  <c r="I32" i="52"/>
  <c r="I33" i="52"/>
  <c r="I42" i="52"/>
  <c r="J42" i="52"/>
  <c r="I43" i="52"/>
  <c r="J43" i="52"/>
  <c r="H43" i="52" s="1"/>
  <c r="I44" i="52"/>
  <c r="J44" i="52"/>
  <c r="H44" i="52" s="1"/>
  <c r="I45" i="52"/>
  <c r="G4" i="46"/>
  <c r="G5" i="46"/>
  <c r="G6" i="46"/>
  <c r="G7" i="46"/>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8" i="46"/>
  <c r="G59" i="46"/>
  <c r="G60" i="46"/>
  <c r="G61" i="46"/>
  <c r="G62" i="46"/>
  <c r="G63" i="46"/>
  <c r="G64" i="46"/>
  <c r="G65" i="46"/>
  <c r="G66" i="46"/>
  <c r="G67" i="46"/>
  <c r="G68" i="46"/>
  <c r="G69" i="46"/>
  <c r="G70" i="46"/>
  <c r="G71" i="46"/>
  <c r="G72" i="46"/>
  <c r="G73" i="46"/>
  <c r="G74" i="46"/>
  <c r="G75" i="46"/>
  <c r="G76" i="46"/>
  <c r="G77" i="46"/>
  <c r="G78" i="46"/>
  <c r="G79" i="46"/>
  <c r="G80" i="46"/>
  <c r="G81" i="46"/>
  <c r="G3" i="46"/>
  <c r="E91" i="26"/>
  <c r="J91" i="26" s="1"/>
  <c r="K91" i="26" s="1"/>
  <c r="L91" i="26" s="1"/>
  <c r="M91" i="26" s="1"/>
  <c r="N91" i="26" s="1"/>
  <c r="O91" i="26" s="1"/>
  <c r="P91" i="26" s="1"/>
  <c r="Q91" i="26" s="1"/>
  <c r="R91" i="26" s="1"/>
  <c r="S91" i="26" s="1"/>
  <c r="T91" i="26" s="1"/>
  <c r="U91" i="26" s="1"/>
  <c r="F91" i="26"/>
  <c r="G91" i="26"/>
  <c r="H91" i="26"/>
  <c r="I91" i="26"/>
  <c r="D91" i="26"/>
  <c r="E10" i="49"/>
  <c r="F10" i="49"/>
  <c r="G10" i="49"/>
  <c r="H10" i="49"/>
  <c r="I10" i="49"/>
  <c r="J10" i="49"/>
  <c r="K10" i="49"/>
  <c r="L10" i="49"/>
  <c r="M10" i="49"/>
  <c r="D10" i="49"/>
  <c r="M16" i="5"/>
  <c r="M6" i="5"/>
  <c r="M7" i="5"/>
  <c r="M8" i="5"/>
  <c r="M9" i="5"/>
  <c r="M10" i="5"/>
  <c r="M11" i="5"/>
  <c r="M12" i="5"/>
  <c r="M13" i="5"/>
  <c r="M14" i="5"/>
  <c r="M15" i="5"/>
  <c r="M5" i="5"/>
  <c r="K5" i="5"/>
  <c r="AZ16" i="5"/>
  <c r="AY16" i="5"/>
  <c r="P15" i="33"/>
  <c r="Y15" i="33"/>
  <c r="X15" i="33"/>
  <c r="W15" i="33"/>
  <c r="V15" i="33"/>
  <c r="U15" i="33"/>
  <c r="N15" i="33"/>
  <c r="J27" i="33"/>
  <c r="I27" i="33"/>
  <c r="H27" i="33"/>
  <c r="G27" i="33"/>
  <c r="T15" i="33" s="1"/>
  <c r="F27" i="33"/>
  <c r="R15" i="33" s="1"/>
  <c r="E27" i="33"/>
  <c r="O15" i="33" s="1"/>
  <c r="D27" i="33"/>
  <c r="H21" i="33"/>
  <c r="G21" i="33"/>
  <c r="F21" i="33"/>
  <c r="E21" i="33"/>
  <c r="D21" i="33"/>
  <c r="C21" i="33"/>
  <c r="L23" i="48" l="1"/>
  <c r="Q15" i="33"/>
  <c r="S15" i="33"/>
  <c r="E53" i="32" l="1"/>
  <c r="F53" i="32"/>
  <c r="G53" i="32"/>
  <c r="H53" i="32"/>
  <c r="I53" i="32"/>
  <c r="J53" i="32"/>
  <c r="K53" i="32"/>
  <c r="L53" i="32"/>
  <c r="M53" i="32"/>
  <c r="D53" i="32"/>
  <c r="U16" i="26" l="1"/>
  <c r="K6" i="5"/>
  <c r="K7" i="5"/>
  <c r="K8" i="5"/>
  <c r="K9" i="5"/>
  <c r="K10" i="5"/>
  <c r="K11" i="5"/>
  <c r="K12" i="5"/>
  <c r="K13" i="5"/>
  <c r="K14" i="5"/>
  <c r="K15" i="5"/>
  <c r="W20" i="30" l="1"/>
  <c r="V20" i="30"/>
  <c r="U20" i="30"/>
  <c r="T20" i="30"/>
  <c r="S20" i="30"/>
  <c r="R20" i="30"/>
  <c r="G12" i="40"/>
  <c r="E11" i="40"/>
  <c r="F11" i="40"/>
  <c r="G11" i="40"/>
  <c r="D11" i="40"/>
  <c r="D13" i="40"/>
  <c r="E12" i="40"/>
  <c r="F12" i="40"/>
  <c r="D12" i="40"/>
  <c r="Y16" i="32"/>
  <c r="X16" i="32"/>
  <c r="W16" i="32"/>
  <c r="V16" i="32"/>
  <c r="U16" i="32"/>
  <c r="T16" i="32"/>
  <c r="S16" i="32"/>
  <c r="R16" i="32"/>
  <c r="Q16" i="32"/>
  <c r="P16" i="32"/>
  <c r="O16" i="32"/>
  <c r="F62" i="32"/>
  <c r="G62" i="32"/>
  <c r="H62" i="32"/>
  <c r="I62" i="32"/>
  <c r="J62" i="32"/>
  <c r="K62" i="32"/>
  <c r="L62" i="32"/>
  <c r="M62" i="32"/>
  <c r="E62" i="32"/>
  <c r="D62" i="32"/>
  <c r="N61" i="32"/>
  <c r="N16" i="32" s="1"/>
  <c r="N20"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E81" i="46"/>
  <c r="F81" i="46" s="1"/>
  <c r="E67" i="46"/>
  <c r="E68" i="46"/>
  <c r="E69" i="46"/>
  <c r="E70" i="46"/>
  <c r="E71" i="46"/>
  <c r="E72" i="46"/>
  <c r="E73" i="46"/>
  <c r="F73" i="46" s="1"/>
  <c r="E74" i="46"/>
  <c r="F74" i="46" s="1"/>
  <c r="E75" i="46"/>
  <c r="E76" i="46"/>
  <c r="F76" i="46" s="1"/>
  <c r="E77" i="46"/>
  <c r="F77" i="46" s="1"/>
  <c r="E78" i="46"/>
  <c r="F78" i="46" s="1"/>
  <c r="E79" i="46"/>
  <c r="E80" i="46"/>
  <c r="F80" i="46" s="1"/>
  <c r="F75" i="46"/>
  <c r="F79" i="46"/>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K63" i="32" l="1"/>
  <c r="M63" i="32"/>
  <c r="L63" i="32"/>
  <c r="M61" i="32"/>
  <c r="M16" i="32" s="1"/>
  <c r="J61" i="32"/>
  <c r="J16" i="32" s="1"/>
  <c r="I61" i="32"/>
  <c r="I16" i="32" s="1"/>
  <c r="K61" i="32"/>
  <c r="K16" i="32" s="1"/>
  <c r="L61" i="32"/>
  <c r="L16" i="32" s="1"/>
  <c r="J63" i="32"/>
  <c r="E9" i="49" l="1"/>
  <c r="F9" i="49"/>
  <c r="G9" i="49"/>
  <c r="H9" i="49"/>
  <c r="D25" i="49" s="1"/>
  <c r="I9" i="49"/>
  <c r="E25" i="49" s="1"/>
  <c r="J9" i="49"/>
  <c r="F25" i="49" s="1"/>
  <c r="K9" i="49"/>
  <c r="G25" i="49" s="1"/>
  <c r="G29" i="32" s="1"/>
  <c r="L9" i="49"/>
  <c r="H25" i="49" s="1"/>
  <c r="M9" i="49"/>
  <c r="I25" i="49" s="1"/>
  <c r="D9" i="49"/>
  <c r="F46" i="49"/>
  <c r="G46" i="49"/>
  <c r="H46" i="49"/>
  <c r="I46" i="49"/>
  <c r="J46" i="49"/>
  <c r="K46" i="49"/>
  <c r="L46" i="49"/>
  <c r="M46" i="49"/>
  <c r="N46" i="49"/>
  <c r="O46" i="49"/>
  <c r="P46" i="49"/>
  <c r="F47" i="49"/>
  <c r="G47" i="49"/>
  <c r="H47" i="49"/>
  <c r="I47" i="49"/>
  <c r="J47" i="49"/>
  <c r="K47" i="49"/>
  <c r="K49" i="49" s="1"/>
  <c r="L47" i="49"/>
  <c r="M47" i="49"/>
  <c r="N47" i="49"/>
  <c r="O47" i="49"/>
  <c r="P47" i="49"/>
  <c r="G21" i="48"/>
  <c r="H21" i="48"/>
  <c r="I21" i="48"/>
  <c r="J21" i="48"/>
  <c r="K21" i="48"/>
  <c r="L21" i="48" s="1"/>
  <c r="M21" i="48" s="1"/>
  <c r="N21" i="48" s="1"/>
  <c r="O21" i="48" s="1"/>
  <c r="P21" i="48" s="1"/>
  <c r="Q21" i="48" s="1"/>
  <c r="R21" i="48" s="1"/>
  <c r="S21" i="48" s="1"/>
  <c r="T21" i="48" s="1"/>
  <c r="U21" i="48" s="1"/>
  <c r="V21" i="48" s="1"/>
  <c r="W21" i="48" s="1"/>
  <c r="N22" i="35" s="1"/>
  <c r="F21" i="48"/>
  <c r="G20" i="48"/>
  <c r="H20" i="48"/>
  <c r="I20" i="48"/>
  <c r="J20" i="48"/>
  <c r="K20" i="48"/>
  <c r="L20" i="48" s="1"/>
  <c r="M20" i="48" s="1"/>
  <c r="N20" i="48" s="1"/>
  <c r="O20" i="48" s="1"/>
  <c r="P20" i="48" s="1"/>
  <c r="Q20" i="48" s="1"/>
  <c r="R20" i="48" s="1"/>
  <c r="S20" i="48" s="1"/>
  <c r="T20" i="48" s="1"/>
  <c r="U20" i="48" s="1"/>
  <c r="V20" i="48" s="1"/>
  <c r="W20" i="48" s="1"/>
  <c r="F20" i="48"/>
  <c r="G19" i="48"/>
  <c r="H19" i="48"/>
  <c r="I19" i="48"/>
  <c r="J19" i="48"/>
  <c r="K19" i="48"/>
  <c r="F19" i="48"/>
  <c r="G18" i="48"/>
  <c r="H18" i="48"/>
  <c r="I18" i="48"/>
  <c r="J18" i="48"/>
  <c r="K18" i="48"/>
  <c r="F18" i="48"/>
  <c r="G14" i="48"/>
  <c r="H14" i="48"/>
  <c r="I14" i="48"/>
  <c r="J14" i="48"/>
  <c r="K14" i="48"/>
  <c r="F14" i="48"/>
  <c r="G13" i="48"/>
  <c r="H13" i="48"/>
  <c r="I13" i="48"/>
  <c r="J13" i="48"/>
  <c r="K13" i="48"/>
  <c r="F13" i="48"/>
  <c r="G12" i="48"/>
  <c r="H12" i="48"/>
  <c r="I12" i="48"/>
  <c r="J12" i="48"/>
  <c r="K12" i="48"/>
  <c r="F12" i="48"/>
  <c r="G11" i="48"/>
  <c r="H11" i="48"/>
  <c r="I11" i="48"/>
  <c r="J11" i="48"/>
  <c r="K11" i="48"/>
  <c r="F11" i="48"/>
  <c r="W74" i="48"/>
  <c r="V74" i="48"/>
  <c r="U74" i="48"/>
  <c r="T74" i="48"/>
  <c r="S74" i="48"/>
  <c r="R74" i="48"/>
  <c r="Q74" i="48"/>
  <c r="P74" i="48"/>
  <c r="O74" i="48"/>
  <c r="N74" i="48"/>
  <c r="M74" i="48"/>
  <c r="K74" i="48"/>
  <c r="J60" i="48"/>
  <c r="I60" i="48"/>
  <c r="H60" i="48"/>
  <c r="G60" i="48"/>
  <c r="G67" i="48" s="1"/>
  <c r="F60" i="48"/>
  <c r="E60" i="48"/>
  <c r="D60" i="48"/>
  <c r="C60" i="48"/>
  <c r="J58" i="48"/>
  <c r="I58" i="48"/>
  <c r="H58" i="48"/>
  <c r="G58" i="48"/>
  <c r="F58" i="48"/>
  <c r="E58" i="48"/>
  <c r="D58" i="48"/>
  <c r="C58" i="48"/>
  <c r="J57" i="48"/>
  <c r="I57" i="48"/>
  <c r="H57" i="48"/>
  <c r="G57" i="48"/>
  <c r="F57" i="48"/>
  <c r="E57" i="48"/>
  <c r="D57" i="48"/>
  <c r="C57" i="48"/>
  <c r="E45" i="48"/>
  <c r="D45" i="48"/>
  <c r="C45" i="48"/>
  <c r="E43" i="48"/>
  <c r="D43" i="48"/>
  <c r="C43" i="48"/>
  <c r="E42" i="48"/>
  <c r="D42" i="48"/>
  <c r="C42" i="48"/>
  <c r="P40" i="48"/>
  <c r="O40" i="48"/>
  <c r="N40" i="48"/>
  <c r="J29" i="48"/>
  <c r="J59" i="48" s="1"/>
  <c r="I29" i="48"/>
  <c r="I59" i="48" s="1"/>
  <c r="H29" i="48"/>
  <c r="H59" i="48" s="1"/>
  <c r="G29" i="48"/>
  <c r="G59" i="48" s="1"/>
  <c r="F29" i="48"/>
  <c r="F59" i="48" s="1"/>
  <c r="E29" i="48"/>
  <c r="E44" i="48" s="1"/>
  <c r="D29" i="48"/>
  <c r="D44" i="48" s="1"/>
  <c r="C29" i="48"/>
  <c r="C44" i="48" s="1"/>
  <c r="M19" i="48" l="1"/>
  <c r="N19" i="48" s="1"/>
  <c r="O19" i="48" s="1"/>
  <c r="P19" i="48" s="1"/>
  <c r="Q19" i="48" s="1"/>
  <c r="R19" i="48" s="1"/>
  <c r="S19" i="48" s="1"/>
  <c r="T19" i="48" s="1"/>
  <c r="U19" i="48" s="1"/>
  <c r="V19" i="48" s="1"/>
  <c r="W19" i="48" s="1"/>
  <c r="N23" i="48"/>
  <c r="J47" i="52"/>
  <c r="H47" i="52" s="1"/>
  <c r="L11" i="49"/>
  <c r="L12" i="49" s="1"/>
  <c r="P87" i="48"/>
  <c r="Q87" i="48"/>
  <c r="R87" i="48"/>
  <c r="O87" i="48"/>
  <c r="I49" i="49"/>
  <c r="C64" i="48"/>
  <c r="G65" i="48"/>
  <c r="O85" i="48" s="1"/>
  <c r="F65" i="48"/>
  <c r="N85" i="48" s="1"/>
  <c r="C65" i="48"/>
  <c r="C59" i="48"/>
  <c r="C66" i="48" s="1"/>
  <c r="D65" i="48"/>
  <c r="D64" i="48"/>
  <c r="D59" i="48"/>
  <c r="D66" i="48" s="1"/>
  <c r="H67" i="48"/>
  <c r="J10" i="48"/>
  <c r="C22" i="35"/>
  <c r="E64" i="48"/>
  <c r="E65" i="48"/>
  <c r="I67" i="48"/>
  <c r="W87" i="48" s="1"/>
  <c r="G22" i="35"/>
  <c r="C67" i="48"/>
  <c r="H64" i="48"/>
  <c r="V84" i="48" s="1"/>
  <c r="H65" i="48"/>
  <c r="U85" i="48" s="1"/>
  <c r="D67" i="48"/>
  <c r="F22" i="35"/>
  <c r="I64" i="48"/>
  <c r="W84" i="48" s="1"/>
  <c r="I65" i="48"/>
  <c r="W85" i="48" s="1"/>
  <c r="E67" i="48"/>
  <c r="F64" i="48"/>
  <c r="N84" i="48" s="1"/>
  <c r="J67" i="48"/>
  <c r="H66" i="48"/>
  <c r="G64" i="48"/>
  <c r="R84" i="48" s="1"/>
  <c r="J64" i="48"/>
  <c r="J65" i="48"/>
  <c r="F67" i="48"/>
  <c r="M22" i="35"/>
  <c r="E22" i="35"/>
  <c r="L22" i="35"/>
  <c r="D22" i="35"/>
  <c r="K22" i="35"/>
  <c r="J22" i="35"/>
  <c r="I22" i="35"/>
  <c r="H22" i="35"/>
  <c r="J11" i="49"/>
  <c r="J12" i="49" s="1"/>
  <c r="G11" i="49"/>
  <c r="G12" i="49" s="1"/>
  <c r="P49" i="49"/>
  <c r="H49" i="49"/>
  <c r="Q26" i="49" s="1"/>
  <c r="R26" i="49" s="1"/>
  <c r="S26" i="49" s="1"/>
  <c r="H29" i="32"/>
  <c r="H28" i="49"/>
  <c r="F11" i="49"/>
  <c r="F12" i="49" s="1"/>
  <c r="N49" i="49"/>
  <c r="F49" i="49"/>
  <c r="J26" i="49" s="1"/>
  <c r="K26" i="49" s="1"/>
  <c r="J49" i="49"/>
  <c r="M49" i="49"/>
  <c r="D28" i="49"/>
  <c r="D29" i="32"/>
  <c r="E28" i="49"/>
  <c r="E29" i="32"/>
  <c r="I28" i="49"/>
  <c r="I29" i="32"/>
  <c r="H11" i="49"/>
  <c r="H12" i="49" s="1"/>
  <c r="F28" i="49"/>
  <c r="F29" i="32"/>
  <c r="L49" i="49"/>
  <c r="O49" i="49"/>
  <c r="G49" i="49"/>
  <c r="M26" i="49" s="1"/>
  <c r="N26" i="49" s="1"/>
  <c r="H29" i="49"/>
  <c r="H30" i="49" s="1"/>
  <c r="M11" i="49"/>
  <c r="M12" i="49" s="1"/>
  <c r="E11" i="49"/>
  <c r="E12" i="49" s="1"/>
  <c r="D11" i="49"/>
  <c r="D12" i="49" s="1"/>
  <c r="I11" i="49"/>
  <c r="I12" i="49" s="1"/>
  <c r="G28" i="49"/>
  <c r="K11" i="49"/>
  <c r="K12" i="49" s="1"/>
  <c r="I17" i="48"/>
  <c r="I10" i="48"/>
  <c r="J17" i="48"/>
  <c r="K17" i="48"/>
  <c r="H17" i="48"/>
  <c r="G17" i="48"/>
  <c r="F17" i="48"/>
  <c r="H10" i="48"/>
  <c r="G10" i="48"/>
  <c r="K10" i="48"/>
  <c r="F10" i="48"/>
  <c r="F66" i="48"/>
  <c r="I66" i="48"/>
  <c r="W86" i="48" s="1"/>
  <c r="G66" i="48"/>
  <c r="J66" i="48"/>
  <c r="E59" i="48"/>
  <c r="E66" i="48" s="1"/>
  <c r="P85" i="48" l="1"/>
  <c r="K85" i="48"/>
  <c r="L85" i="48"/>
  <c r="M85" i="48"/>
  <c r="F29" i="49"/>
  <c r="F30" i="49" s="1"/>
  <c r="T86" i="48"/>
  <c r="U86" i="48"/>
  <c r="V86" i="48"/>
  <c r="S86" i="48"/>
  <c r="L86" i="48"/>
  <c r="L13" i="48" s="1"/>
  <c r="M86" i="48"/>
  <c r="N86" i="48"/>
  <c r="R85" i="48"/>
  <c r="Q85" i="48"/>
  <c r="K87" i="48"/>
  <c r="L87" i="48"/>
  <c r="L14" i="48" s="1"/>
  <c r="M87" i="48"/>
  <c r="N87" i="48"/>
  <c r="O86" i="48"/>
  <c r="Q86" i="48"/>
  <c r="P86" i="48"/>
  <c r="R86" i="48"/>
  <c r="S87" i="48"/>
  <c r="T87" i="48"/>
  <c r="U87" i="48"/>
  <c r="V87" i="48"/>
  <c r="S11" i="49"/>
  <c r="O84" i="48"/>
  <c r="P84" i="48"/>
  <c r="Q84" i="48"/>
  <c r="S84" i="48"/>
  <c r="T84" i="48"/>
  <c r="U84" i="48"/>
  <c r="M84" i="48"/>
  <c r="K84" i="48"/>
  <c r="M12" i="48"/>
  <c r="N12" i="48" s="1"/>
  <c r="O12" i="48" s="1"/>
  <c r="P12" i="48" s="1"/>
  <c r="S85" i="48"/>
  <c r="T85" i="48"/>
  <c r="V85" i="48"/>
  <c r="D29" i="49"/>
  <c r="D30" i="49" s="1"/>
  <c r="I29" i="49"/>
  <c r="I30" i="49" s="1"/>
  <c r="T11" i="49"/>
  <c r="U11" i="49" s="1"/>
  <c r="V11" i="49" s="1"/>
  <c r="W11" i="49" s="1"/>
  <c r="X11" i="49" s="1"/>
  <c r="Y11" i="49" s="1"/>
  <c r="E29" i="49"/>
  <c r="E30" i="49" s="1"/>
  <c r="N11" i="49"/>
  <c r="O11" i="49" s="1"/>
  <c r="P11" i="49" s="1"/>
  <c r="Q11" i="49" s="1"/>
  <c r="R11" i="49" s="1"/>
  <c r="G29" i="49"/>
  <c r="G30" i="49" s="1"/>
  <c r="L26" i="49"/>
  <c r="O26" i="49"/>
  <c r="T26" i="49"/>
  <c r="C17" i="49"/>
  <c r="C18" i="49" s="1"/>
  <c r="K86" i="48"/>
  <c r="Q12" i="48" l="1"/>
  <c r="R12" i="48" s="1"/>
  <c r="S12" i="48" s="1"/>
  <c r="T12" i="48" s="1"/>
  <c r="U12" i="48" s="1"/>
  <c r="V12" i="48" s="1"/>
  <c r="W12" i="48" s="1"/>
  <c r="E17" i="49"/>
  <c r="E18" i="49" s="1"/>
  <c r="M14" i="48"/>
  <c r="C21" i="35"/>
  <c r="D17" i="49"/>
  <c r="D18" i="49" s="1"/>
  <c r="D19" i="49" s="1"/>
  <c r="U26" i="49"/>
  <c r="F17" i="49"/>
  <c r="P26" i="49"/>
  <c r="M13" i="48"/>
  <c r="N13" i="48" s="1"/>
  <c r="O13" i="48" s="1"/>
  <c r="P13" i="48" s="1"/>
  <c r="Q13" i="48" s="1"/>
  <c r="R13" i="48" s="1"/>
  <c r="S13" i="48" s="1"/>
  <c r="T13" i="48" s="1"/>
  <c r="U13" i="48" s="1"/>
  <c r="V13" i="48" s="1"/>
  <c r="W13" i="48" s="1"/>
  <c r="E19" i="49" l="1"/>
  <c r="N14" i="48"/>
  <c r="D21" i="35"/>
  <c r="F18" i="49"/>
  <c r="F19" i="49" s="1"/>
  <c r="G17" i="49"/>
  <c r="G18" i="49" s="1"/>
  <c r="O14" i="48" l="1"/>
  <c r="E21" i="35"/>
  <c r="G19" i="49"/>
  <c r="C11" i="35" l="1"/>
  <c r="P14" i="48"/>
  <c r="F21" i="35"/>
  <c r="Q14" i="48" l="1"/>
  <c r="G21" i="35"/>
  <c r="R14" i="48" l="1"/>
  <c r="H21" i="35"/>
  <c r="S14" i="48" l="1"/>
  <c r="I21" i="35"/>
  <c r="T14" i="48" l="1"/>
  <c r="J21" i="35"/>
  <c r="U14" i="48" l="1"/>
  <c r="K21" i="35"/>
  <c r="V14" i="48" l="1"/>
  <c r="L21" i="35"/>
  <c r="W14" i="48" l="1"/>
  <c r="N21" i="35" s="1"/>
  <c r="M21" i="35"/>
  <c r="E17" i="25" l="1"/>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F19" i="25" l="1"/>
  <c r="G19" i="25"/>
  <c r="G13" i="32" s="1"/>
  <c r="E20" i="25"/>
  <c r="E19" i="25" s="1"/>
  <c r="D20" i="25"/>
  <c r="F13" i="32"/>
  <c r="E53" i="38"/>
  <c r="F53" i="38"/>
  <c r="G53" i="38"/>
  <c r="D53" i="38"/>
  <c r="E54" i="38"/>
  <c r="F54" i="38"/>
  <c r="G54" i="38"/>
  <c r="D54" i="38"/>
  <c r="E13" i="32" l="1"/>
  <c r="D19" i="25"/>
  <c r="D13" i="32" s="1"/>
  <c r="E8" i="46"/>
  <c r="F8" i="46" s="1"/>
  <c r="E9" i="46"/>
  <c r="F9" i="46" s="1"/>
  <c r="E10" i="46"/>
  <c r="E11" i="46"/>
  <c r="F11" i="46" s="1"/>
  <c r="E12" i="46"/>
  <c r="F12" i="46" s="1"/>
  <c r="E13" i="46"/>
  <c r="F13" i="46" s="1"/>
  <c r="E14" i="46"/>
  <c r="F14" i="46" s="1"/>
  <c r="E15" i="46"/>
  <c r="F15" i="46" s="1"/>
  <c r="E16" i="46"/>
  <c r="F16" i="46" s="1"/>
  <c r="E17" i="46"/>
  <c r="F17" i="46" s="1"/>
  <c r="E18" i="46"/>
  <c r="E19" i="46"/>
  <c r="F19" i="46" s="1"/>
  <c r="E20" i="46"/>
  <c r="F20" i="46" s="1"/>
  <c r="E21" i="46"/>
  <c r="F21" i="46" s="1"/>
  <c r="E22" i="46"/>
  <c r="F22" i="46" s="1"/>
  <c r="E23" i="46"/>
  <c r="F23" i="46" s="1"/>
  <c r="E24" i="46"/>
  <c r="F24" i="46" s="1"/>
  <c r="E25" i="46"/>
  <c r="F25" i="46" s="1"/>
  <c r="E26" i="46"/>
  <c r="E27" i="46"/>
  <c r="F27" i="46" s="1"/>
  <c r="E28" i="46"/>
  <c r="F28" i="46" s="1"/>
  <c r="E29" i="46"/>
  <c r="F29" i="46" s="1"/>
  <c r="E30" i="46"/>
  <c r="E31" i="46"/>
  <c r="F31" i="46" s="1"/>
  <c r="E32" i="46"/>
  <c r="F32" i="46" s="1"/>
  <c r="E33" i="46"/>
  <c r="E34" i="46"/>
  <c r="E35" i="46"/>
  <c r="F35" i="46" s="1"/>
  <c r="E36" i="46"/>
  <c r="F36" i="46" s="1"/>
  <c r="E37" i="46"/>
  <c r="F37" i="46" s="1"/>
  <c r="E38" i="46"/>
  <c r="F38" i="46" s="1"/>
  <c r="E39" i="46"/>
  <c r="F39" i="46" s="1"/>
  <c r="E40" i="46"/>
  <c r="F40" i="46" s="1"/>
  <c r="E41" i="46"/>
  <c r="F41" i="46" s="1"/>
  <c r="E42" i="46"/>
  <c r="E43" i="46"/>
  <c r="F43" i="46" s="1"/>
  <c r="E44" i="46"/>
  <c r="F44" i="46" s="1"/>
  <c r="E45" i="46"/>
  <c r="F45" i="46" s="1"/>
  <c r="E46" i="46"/>
  <c r="F46" i="46" s="1"/>
  <c r="E47" i="46"/>
  <c r="F47" i="46" s="1"/>
  <c r="E48" i="46"/>
  <c r="F48" i="46" s="1"/>
  <c r="E49" i="46"/>
  <c r="F49" i="46" s="1"/>
  <c r="E50" i="46"/>
  <c r="F50" i="46" s="1"/>
  <c r="E51" i="46"/>
  <c r="F51" i="46" s="1"/>
  <c r="E52" i="46"/>
  <c r="F52" i="46" s="1"/>
  <c r="E53" i="46"/>
  <c r="F53" i="46" s="1"/>
  <c r="E54" i="46"/>
  <c r="E55" i="46"/>
  <c r="F55" i="46" s="1"/>
  <c r="E56" i="46"/>
  <c r="F56" i="46" s="1"/>
  <c r="E57" i="46"/>
  <c r="F57" i="46" s="1"/>
  <c r="E58" i="46"/>
  <c r="F58" i="46" s="1"/>
  <c r="E59" i="46"/>
  <c r="F59" i="46" s="1"/>
  <c r="E60" i="46"/>
  <c r="F60" i="46" s="1"/>
  <c r="E61" i="46"/>
  <c r="F61" i="46" s="1"/>
  <c r="E62" i="46"/>
  <c r="F62" i="46" s="1"/>
  <c r="E63" i="46"/>
  <c r="F63" i="46" s="1"/>
  <c r="E64" i="46"/>
  <c r="F64" i="46" s="1"/>
  <c r="E65" i="46"/>
  <c r="F65" i="46" s="1"/>
  <c r="E66" i="46"/>
  <c r="F66" i="46" s="1"/>
  <c r="F68" i="46"/>
  <c r="F69" i="46"/>
  <c r="F72" i="46"/>
  <c r="E4" i="46"/>
  <c r="F4" i="46" s="1"/>
  <c r="E5" i="46"/>
  <c r="F5" i="46" s="1"/>
  <c r="E6" i="46"/>
  <c r="F6" i="46" s="1"/>
  <c r="E7" i="46"/>
  <c r="F7" i="46" s="1"/>
  <c r="E3" i="46"/>
  <c r="F3" i="46" s="1"/>
  <c r="F71" i="46"/>
  <c r="F70" i="46"/>
  <c r="F67" i="46"/>
  <c r="F54" i="46"/>
  <c r="F42" i="46"/>
  <c r="F34" i="46"/>
  <c r="F33" i="46"/>
  <c r="F30" i="46"/>
  <c r="F26" i="46"/>
  <c r="F18" i="46"/>
  <c r="F10" i="46"/>
  <c r="V15" i="30" l="1"/>
  <c r="W15" i="30"/>
  <c r="E34" i="30" l="1"/>
  <c r="D34" i="30"/>
  <c r="U75" i="26"/>
  <c r="V24" i="26"/>
  <c r="V25" i="26"/>
  <c r="K18" i="26"/>
  <c r="L18" i="26"/>
  <c r="N18" i="26"/>
  <c r="O18" i="26"/>
  <c r="P18" i="26"/>
  <c r="Q18" i="26"/>
  <c r="R18" i="26"/>
  <c r="S18" i="26"/>
  <c r="T18" i="26"/>
  <c r="U18" i="26"/>
  <c r="I18" i="26"/>
  <c r="U15" i="26"/>
  <c r="P14" i="26"/>
  <c r="P74" i="26" s="1"/>
  <c r="Q14" i="26"/>
  <c r="Q74" i="26" s="1"/>
  <c r="R14" i="26"/>
  <c r="R74" i="26" s="1"/>
  <c r="S14" i="26"/>
  <c r="S74" i="26" s="1"/>
  <c r="T14" i="26"/>
  <c r="T74" i="26" s="1"/>
  <c r="U14" i="26"/>
  <c r="U74" i="26" s="1"/>
  <c r="E4" i="42"/>
  <c r="D4" i="42"/>
  <c r="C4" i="42"/>
  <c r="B4" i="42"/>
  <c r="F7" i="42"/>
  <c r="G7" i="42"/>
  <c r="H7" i="42"/>
  <c r="D30" i="25"/>
  <c r="N22" i="25" s="1"/>
  <c r="D27" i="25"/>
  <c r="M22" i="25" s="1"/>
  <c r="V13" i="30"/>
  <c r="W13" i="30"/>
  <c r="N18" i="30"/>
  <c r="O18" i="30"/>
  <c r="P18" i="30"/>
  <c r="Q18" i="30"/>
  <c r="R18" i="30"/>
  <c r="S18" i="30"/>
  <c r="T18" i="30"/>
  <c r="U18" i="30"/>
  <c r="G6" i="5"/>
  <c r="G7" i="5"/>
  <c r="G8" i="5"/>
  <c r="G9" i="5"/>
  <c r="G10" i="5"/>
  <c r="G11" i="5"/>
  <c r="G12" i="5"/>
  <c r="G13" i="5"/>
  <c r="G14" i="5"/>
  <c r="G15" i="5"/>
  <c r="G5" i="5"/>
  <c r="N6" i="5"/>
  <c r="N7" i="5"/>
  <c r="N8" i="5"/>
  <c r="N9" i="5"/>
  <c r="N10" i="5"/>
  <c r="N11" i="5"/>
  <c r="N12" i="5"/>
  <c r="N13" i="5"/>
  <c r="N14" i="5"/>
  <c r="N15" i="5"/>
  <c r="N5" i="5"/>
  <c r="D13" i="21" s="1"/>
  <c r="E69" i="21"/>
  <c r="F69" i="21"/>
  <c r="G69"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N13" i="21" l="1"/>
  <c r="N14" i="21" s="1"/>
  <c r="F13" i="21"/>
  <c r="F14" i="21" s="1"/>
  <c r="F15" i="21" s="1"/>
  <c r="S9" i="21"/>
  <c r="T34" i="21" s="1"/>
  <c r="N8" i="42"/>
  <c r="S33" i="21"/>
  <c r="T33" i="21"/>
  <c r="U33" i="21"/>
  <c r="V33" i="21"/>
  <c r="R33" i="21"/>
  <c r="V13" i="21"/>
  <c r="V14" i="21" s="1"/>
  <c r="V15" i="21" s="1"/>
  <c r="Q13" i="21"/>
  <c r="Q14" i="21" s="1"/>
  <c r="Q15" i="21" s="1"/>
  <c r="T13" i="21"/>
  <c r="T14" i="21" s="1"/>
  <c r="T15" i="21" s="1"/>
  <c r="S13" i="21"/>
  <c r="S14" i="21" s="1"/>
  <c r="S15" i="21" s="1"/>
  <c r="P13" i="21"/>
  <c r="P14" i="21" s="1"/>
  <c r="P15" i="21" s="1"/>
  <c r="L13" i="21"/>
  <c r="L14" i="21" s="1"/>
  <c r="R35" i="26" s="1"/>
  <c r="I13" i="21"/>
  <c r="I14" i="21" s="1"/>
  <c r="I15" i="21" s="1"/>
  <c r="U13" i="21"/>
  <c r="U14" i="21" s="1"/>
  <c r="U15" i="21" s="1"/>
  <c r="K13" i="21"/>
  <c r="K14" i="21" s="1"/>
  <c r="Q35" i="26" s="1"/>
  <c r="H13" i="21"/>
  <c r="H14" i="21" s="1"/>
  <c r="H15" i="21" s="1"/>
  <c r="R13" i="21"/>
  <c r="R14" i="21" s="1"/>
  <c r="G13" i="21"/>
  <c r="G14" i="21" s="1"/>
  <c r="G15" i="21" s="1"/>
  <c r="E1" i="21"/>
  <c r="E10" i="21" s="1"/>
  <c r="D9" i="21"/>
  <c r="D10" i="21"/>
  <c r="J36" i="26" s="1"/>
  <c r="J17" i="26" s="1"/>
  <c r="N15" i="21"/>
  <c r="T35"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O15" i="25"/>
  <c r="Q15" i="25" s="1"/>
  <c r="R15" i="25" s="1"/>
  <c r="S15" i="25" s="1"/>
  <c r="T15" i="25" s="1"/>
  <c r="U15" i="25" s="1"/>
  <c r="V15" i="25" s="1"/>
  <c r="W15" i="25" s="1"/>
  <c r="X15" i="25" s="1"/>
  <c r="Y15" i="25" s="1"/>
  <c r="O17" i="25"/>
  <c r="Q17" i="25" s="1"/>
  <c r="R17" i="25" s="1"/>
  <c r="S17" i="25" s="1"/>
  <c r="T17" i="25" s="1"/>
  <c r="U17" i="25" s="1"/>
  <c r="V17" i="25" s="1"/>
  <c r="W17" i="25" s="1"/>
  <c r="X17" i="25" s="1"/>
  <c r="Y17" i="25" s="1"/>
  <c r="N9" i="21"/>
  <c r="F9" i="21"/>
  <c r="V9" i="21"/>
  <c r="J16" i="5"/>
  <c r="I16" i="5"/>
  <c r="J9" i="21"/>
  <c r="C10" i="21"/>
  <c r="D16" i="5"/>
  <c r="V10" i="21"/>
  <c r="V57" i="21" s="1"/>
  <c r="N10" i="21"/>
  <c r="F10" i="21"/>
  <c r="Q9" i="21"/>
  <c r="I9" i="21"/>
  <c r="U10" i="21"/>
  <c r="M10" i="21"/>
  <c r="P9" i="21"/>
  <c r="H9" i="21"/>
  <c r="T10" i="21"/>
  <c r="L10" i="21"/>
  <c r="O9" i="21"/>
  <c r="G9" i="21"/>
  <c r="G10" i="21"/>
  <c r="S10" i="21"/>
  <c r="K10" i="21"/>
  <c r="O10" i="21"/>
  <c r="R10" i="21"/>
  <c r="J10" i="21"/>
  <c r="U9" i="21"/>
  <c r="M9" i="21"/>
  <c r="Q10" i="21"/>
  <c r="I10" i="21"/>
  <c r="T9" i="21"/>
  <c r="L9" i="21"/>
  <c r="P10" i="21"/>
  <c r="H10" i="21"/>
  <c r="N36" i="26" s="1"/>
  <c r="N17" i="26" s="1"/>
  <c r="E9" i="21"/>
  <c r="D40" i="32"/>
  <c r="E40" i="32"/>
  <c r="F40" i="32"/>
  <c r="G40" i="32"/>
  <c r="G41" i="32" s="1"/>
  <c r="C40" i="32"/>
  <c r="I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O12" i="20" s="1"/>
  <c r="B7" i="5"/>
  <c r="E7" i="5" s="1"/>
  <c r="H7" i="5"/>
  <c r="K12" i="21"/>
  <c r="Q12" i="20" s="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L35" i="26" l="1"/>
  <c r="V34" i="21"/>
  <c r="S34" i="21"/>
  <c r="U34" i="21"/>
  <c r="D41" i="32"/>
  <c r="T55" i="21"/>
  <c r="U55" i="21"/>
  <c r="V55" i="21"/>
  <c r="U36" i="26"/>
  <c r="S50" i="21"/>
  <c r="O50" i="21"/>
  <c r="T50" i="21"/>
  <c r="U50" i="21"/>
  <c r="V50" i="21"/>
  <c r="R50" i="21"/>
  <c r="Q50" i="21"/>
  <c r="P50" i="21"/>
  <c r="Q36" i="26"/>
  <c r="Q17" i="26" s="1"/>
  <c r="Q46" i="21"/>
  <c r="S46" i="21"/>
  <c r="L46" i="21"/>
  <c r="U46" i="21"/>
  <c r="K46" i="21"/>
  <c r="R46" i="21"/>
  <c r="T46" i="21"/>
  <c r="M46" i="21"/>
  <c r="N46" i="21"/>
  <c r="P46" i="21"/>
  <c r="O46" i="21"/>
  <c r="V46" i="21"/>
  <c r="U54" i="21"/>
  <c r="T54" i="21"/>
  <c r="S54" i="21"/>
  <c r="V54" i="21"/>
  <c r="S36" i="26"/>
  <c r="S17" i="26" s="1"/>
  <c r="R48" i="21"/>
  <c r="T48" i="21"/>
  <c r="U48" i="21"/>
  <c r="V48" i="21"/>
  <c r="S48" i="21"/>
  <c r="M48" i="21"/>
  <c r="N48" i="21"/>
  <c r="O48" i="21"/>
  <c r="P48" i="21"/>
  <c r="Q48" i="21"/>
  <c r="U51" i="21"/>
  <c r="V51" i="21"/>
  <c r="Q51" i="21"/>
  <c r="R51" i="21"/>
  <c r="S51" i="21"/>
  <c r="T51" i="21"/>
  <c r="P51" i="21"/>
  <c r="R49" i="21"/>
  <c r="S49" i="21"/>
  <c r="T49" i="21"/>
  <c r="N49" i="21"/>
  <c r="U49" i="21"/>
  <c r="V49" i="21"/>
  <c r="O49" i="21"/>
  <c r="P49" i="21"/>
  <c r="Q49" i="21"/>
  <c r="O36" i="26"/>
  <c r="O17" i="26" s="1"/>
  <c r="O44" i="21"/>
  <c r="K44" i="21"/>
  <c r="R44" i="21"/>
  <c r="P44" i="21"/>
  <c r="Q44" i="21"/>
  <c r="S44" i="21"/>
  <c r="L44" i="21"/>
  <c r="T44" i="21"/>
  <c r="N44" i="21"/>
  <c r="V44" i="21"/>
  <c r="J44" i="21"/>
  <c r="I44" i="21"/>
  <c r="M44" i="21"/>
  <c r="U44" i="21"/>
  <c r="R52" i="21"/>
  <c r="S52" i="21"/>
  <c r="T52" i="21"/>
  <c r="Q52" i="21"/>
  <c r="U52" i="21"/>
  <c r="V52" i="21"/>
  <c r="M36" i="26"/>
  <c r="M17" i="26" s="1"/>
  <c r="M42" i="21"/>
  <c r="U42" i="21"/>
  <c r="G42" i="21"/>
  <c r="O42" i="21"/>
  <c r="Q42" i="21"/>
  <c r="N42" i="21"/>
  <c r="V42" i="21"/>
  <c r="P42" i="21"/>
  <c r="H42" i="21"/>
  <c r="R42" i="21"/>
  <c r="L42" i="21"/>
  <c r="T42" i="21"/>
  <c r="I42" i="21"/>
  <c r="S42" i="21"/>
  <c r="J42" i="21"/>
  <c r="K42" i="21"/>
  <c r="V56" i="21"/>
  <c r="U56" i="21"/>
  <c r="T53" i="21"/>
  <c r="U53" i="21"/>
  <c r="V53" i="21"/>
  <c r="R53" i="21"/>
  <c r="S53" i="21"/>
  <c r="K36" i="26"/>
  <c r="K17" i="26" s="1"/>
  <c r="S40" i="21"/>
  <c r="I40" i="21"/>
  <c r="U40" i="21"/>
  <c r="E40" i="21"/>
  <c r="N40" i="21"/>
  <c r="O40" i="21"/>
  <c r="L40" i="21"/>
  <c r="T40" i="21"/>
  <c r="J40" i="21"/>
  <c r="M40" i="21"/>
  <c r="K40" i="21"/>
  <c r="V40" i="21"/>
  <c r="P40" i="21"/>
  <c r="R40" i="21"/>
  <c r="G40" i="21"/>
  <c r="Q40" i="21"/>
  <c r="H40" i="21"/>
  <c r="F40" i="21"/>
  <c r="L45" i="21"/>
  <c r="T45" i="21"/>
  <c r="N45" i="21"/>
  <c r="P45" i="21"/>
  <c r="M45" i="21"/>
  <c r="U45" i="21"/>
  <c r="V45" i="21"/>
  <c r="O45" i="21"/>
  <c r="Q45" i="21"/>
  <c r="S45" i="21"/>
  <c r="R45" i="21"/>
  <c r="K45" i="21"/>
  <c r="J45" i="21"/>
  <c r="R36" i="26"/>
  <c r="R17" i="26" s="1"/>
  <c r="S47" i="21"/>
  <c r="T47" i="21"/>
  <c r="M47" i="21"/>
  <c r="O47" i="21"/>
  <c r="U47" i="21"/>
  <c r="N47" i="21"/>
  <c r="V47" i="21"/>
  <c r="L47" i="21"/>
  <c r="Q47" i="21"/>
  <c r="P47" i="21"/>
  <c r="R47" i="21"/>
  <c r="P41" i="21"/>
  <c r="G41" i="21"/>
  <c r="F41" i="21"/>
  <c r="I41" i="21"/>
  <c r="S41" i="21"/>
  <c r="T41" i="21"/>
  <c r="K41" i="21"/>
  <c r="Q41" i="21"/>
  <c r="H41" i="21"/>
  <c r="R41" i="21"/>
  <c r="J41" i="21"/>
  <c r="L41" i="21"/>
  <c r="M41" i="21"/>
  <c r="U41" i="21"/>
  <c r="O41" i="21"/>
  <c r="N41" i="21"/>
  <c r="V41" i="21"/>
  <c r="P21" i="21"/>
  <c r="Q21" i="21"/>
  <c r="G21" i="21"/>
  <c r="J21" i="21"/>
  <c r="R21" i="21"/>
  <c r="H21" i="21"/>
  <c r="K21" i="21"/>
  <c r="S21" i="21"/>
  <c r="I21" i="21"/>
  <c r="L21" i="21"/>
  <c r="T21" i="21"/>
  <c r="O21" i="21"/>
  <c r="M21" i="21"/>
  <c r="U21" i="21"/>
  <c r="N21" i="21"/>
  <c r="V21" i="21"/>
  <c r="P29" i="21"/>
  <c r="Q29" i="21"/>
  <c r="R29" i="21"/>
  <c r="S29" i="21"/>
  <c r="T29" i="21"/>
  <c r="O29" i="21"/>
  <c r="U29" i="21"/>
  <c r="V29" i="21"/>
  <c r="S31" i="21"/>
  <c r="T31" i="21"/>
  <c r="U31" i="21"/>
  <c r="R31" i="21"/>
  <c r="V31" i="21"/>
  <c r="Q31" i="21"/>
  <c r="S26" i="21"/>
  <c r="L26" i="21"/>
  <c r="T26" i="21"/>
  <c r="M26" i="21"/>
  <c r="U26" i="21"/>
  <c r="N26" i="21"/>
  <c r="V26" i="21"/>
  <c r="R26" i="21"/>
  <c r="O26" i="21"/>
  <c r="P26" i="21"/>
  <c r="Q26" i="21"/>
  <c r="Q27" i="21"/>
  <c r="R27" i="21"/>
  <c r="P27" i="21"/>
  <c r="S27" i="21"/>
  <c r="T27" i="21"/>
  <c r="M27" i="21"/>
  <c r="U27" i="21"/>
  <c r="N27" i="21"/>
  <c r="V27" i="21"/>
  <c r="O27" i="21"/>
  <c r="J19" i="21"/>
  <c r="R19" i="21"/>
  <c r="E19" i="21"/>
  <c r="K19" i="21"/>
  <c r="S19" i="21"/>
  <c r="F19" i="21"/>
  <c r="L19" i="21"/>
  <c r="T19" i="21"/>
  <c r="G19" i="21"/>
  <c r="M19" i="21"/>
  <c r="U19" i="21"/>
  <c r="H19" i="21"/>
  <c r="N19" i="21"/>
  <c r="V19" i="21"/>
  <c r="I19" i="21"/>
  <c r="O19" i="21"/>
  <c r="P19" i="21"/>
  <c r="Q19" i="21"/>
  <c r="N25" i="21"/>
  <c r="V25" i="21"/>
  <c r="O25" i="21"/>
  <c r="P25" i="21"/>
  <c r="Q25" i="21"/>
  <c r="R25" i="21"/>
  <c r="U25" i="21"/>
  <c r="K25" i="21"/>
  <c r="S25" i="21"/>
  <c r="L25" i="21"/>
  <c r="T25" i="21"/>
  <c r="M25" i="21"/>
  <c r="P28" i="21"/>
  <c r="O28" i="21"/>
  <c r="Q28" i="21"/>
  <c r="R28" i="21"/>
  <c r="S28" i="21"/>
  <c r="T28" i="21"/>
  <c r="U28" i="21"/>
  <c r="N28" i="21"/>
  <c r="V28" i="21"/>
  <c r="K22" i="21"/>
  <c r="S22" i="21"/>
  <c r="I22" i="21"/>
  <c r="L22" i="21"/>
  <c r="T22" i="21"/>
  <c r="R22" i="21"/>
  <c r="M22" i="21"/>
  <c r="U22" i="21"/>
  <c r="N22" i="21"/>
  <c r="V22" i="21"/>
  <c r="J22" i="21"/>
  <c r="O22" i="21"/>
  <c r="P22" i="21"/>
  <c r="H22" i="21"/>
  <c r="Q22" i="21"/>
  <c r="Q24" i="21"/>
  <c r="P24" i="21"/>
  <c r="J24" i="21"/>
  <c r="R24" i="21"/>
  <c r="K24" i="21"/>
  <c r="S24" i="21"/>
  <c r="L24" i="21"/>
  <c r="T24" i="21"/>
  <c r="M24" i="21"/>
  <c r="U24" i="21"/>
  <c r="N24" i="21"/>
  <c r="V24" i="21"/>
  <c r="O24" i="21"/>
  <c r="M20" i="21"/>
  <c r="U20" i="21"/>
  <c r="N20" i="21"/>
  <c r="V20" i="21"/>
  <c r="O20" i="21"/>
  <c r="T20" i="21"/>
  <c r="I20" i="21"/>
  <c r="P20" i="21"/>
  <c r="Q20" i="21"/>
  <c r="F20" i="21"/>
  <c r="J20" i="21"/>
  <c r="R20" i="21"/>
  <c r="G20" i="21"/>
  <c r="L20" i="21"/>
  <c r="K20" i="21"/>
  <c r="S20" i="21"/>
  <c r="H20" i="21"/>
  <c r="Q30" i="21"/>
  <c r="R30" i="21"/>
  <c r="S30" i="21"/>
  <c r="T30" i="21"/>
  <c r="U30" i="21"/>
  <c r="V30" i="21"/>
  <c r="P30" i="21"/>
  <c r="V32" i="21"/>
  <c r="U32" i="21"/>
  <c r="R32" i="21"/>
  <c r="S32" i="21"/>
  <c r="T32" i="21"/>
  <c r="H23" i="21"/>
  <c r="N23" i="21"/>
  <c r="V23" i="21"/>
  <c r="M23" i="21"/>
  <c r="O23" i="21"/>
  <c r="P23" i="21"/>
  <c r="Q23" i="21"/>
  <c r="J23" i="21"/>
  <c r="R23" i="21"/>
  <c r="U23" i="21"/>
  <c r="K23" i="21"/>
  <c r="S23" i="21"/>
  <c r="L23" i="21"/>
  <c r="T23" i="21"/>
  <c r="I23" i="21"/>
  <c r="J25" i="21"/>
  <c r="G22" i="21"/>
  <c r="I24" i="21"/>
  <c r="E20" i="21"/>
  <c r="E18" i="21" s="1"/>
  <c r="K77" i="26" s="1"/>
  <c r="O30" i="21"/>
  <c r="Q32" i="21"/>
  <c r="F21" i="21"/>
  <c r="M28" i="21"/>
  <c r="L27" i="21"/>
  <c r="N29" i="21"/>
  <c r="D19" i="21"/>
  <c r="D18" i="21" s="1"/>
  <c r="P31" i="21"/>
  <c r="K26" i="21"/>
  <c r="M35" i="26"/>
  <c r="L15" i="21"/>
  <c r="F75" i="21"/>
  <c r="N3" i="21"/>
  <c r="J3" i="21"/>
  <c r="O35" i="26"/>
  <c r="K15" i="21"/>
  <c r="D75" i="21"/>
  <c r="K3" i="21"/>
  <c r="H3" i="21"/>
  <c r="M3" i="21"/>
  <c r="T3" i="21"/>
  <c r="O3" i="21"/>
  <c r="U3" i="21"/>
  <c r="L12" i="21"/>
  <c r="R12" i="20" s="1"/>
  <c r="F3" i="21"/>
  <c r="N35" i="26"/>
  <c r="D74" i="21"/>
  <c r="S3" i="21"/>
  <c r="G74" i="21"/>
  <c r="Q3" i="21"/>
  <c r="M12" i="21"/>
  <c r="S12" i="20" s="1"/>
  <c r="J12" i="21"/>
  <c r="P12" i="20" s="1"/>
  <c r="G12" i="21"/>
  <c r="M12" i="20" s="1"/>
  <c r="F12" i="21"/>
  <c r="L12" i="20" s="1"/>
  <c r="Q34" i="26"/>
  <c r="Q13" i="26" s="1"/>
  <c r="J34" i="26"/>
  <c r="F74" i="21"/>
  <c r="C75" i="21"/>
  <c r="T12" i="21"/>
  <c r="E3" i="21"/>
  <c r="D76" i="21"/>
  <c r="M15" i="21"/>
  <c r="S35" i="26"/>
  <c r="G75" i="21"/>
  <c r="R15" i="21"/>
  <c r="G76" i="21" s="1"/>
  <c r="R12" i="21"/>
  <c r="R3" i="21"/>
  <c r="U12" i="21"/>
  <c r="H12" i="21"/>
  <c r="N12" i="20" s="1"/>
  <c r="D15" i="21"/>
  <c r="J35" i="26"/>
  <c r="L3" i="21"/>
  <c r="C74" i="21"/>
  <c r="E74" i="21"/>
  <c r="P3" i="21"/>
  <c r="I3" i="21"/>
  <c r="C3" i="21"/>
  <c r="V11" i="21"/>
  <c r="V12" i="21"/>
  <c r="W13" i="21"/>
  <c r="O15" i="21"/>
  <c r="F76" i="21" s="1"/>
  <c r="U35" i="26"/>
  <c r="D3" i="21"/>
  <c r="N12" i="21"/>
  <c r="T12" i="20" s="1"/>
  <c r="Q12" i="21"/>
  <c r="O12" i="21"/>
  <c r="U12" i="20" s="1"/>
  <c r="J14" i="21"/>
  <c r="E15" i="21"/>
  <c r="K35" i="26"/>
  <c r="G3" i="21"/>
  <c r="E41" i="32"/>
  <c r="F41" i="32"/>
  <c r="C12" i="21"/>
  <c r="I12" i="20" s="1"/>
  <c r="U34" i="26"/>
  <c r="U13" i="26" s="1"/>
  <c r="L34" i="26"/>
  <c r="L13" i="26" s="1"/>
  <c r="R34" i="26"/>
  <c r="R13" i="26" s="1"/>
  <c r="N34" i="26"/>
  <c r="N13" i="26" s="1"/>
  <c r="T34" i="26"/>
  <c r="T13" i="26" s="1"/>
  <c r="J12" i="20"/>
  <c r="P34" i="26"/>
  <c r="P13" i="26" s="1"/>
  <c r="E12" i="21"/>
  <c r="K12" i="20" s="1"/>
  <c r="K34" i="26"/>
  <c r="K13" i="26" s="1"/>
  <c r="S34" i="26"/>
  <c r="S13" i="26" s="1"/>
  <c r="M34" i="26"/>
  <c r="M13" i="26" s="1"/>
  <c r="O34" i="26"/>
  <c r="O13" i="26" s="1"/>
  <c r="D11" i="21"/>
  <c r="E11" i="21"/>
  <c r="J11" i="21"/>
  <c r="K11" i="21"/>
  <c r="L11" i="21"/>
  <c r="M11" i="21"/>
  <c r="Q11" i="21"/>
  <c r="P11" i="21"/>
  <c r="O11" i="21"/>
  <c r="N11" i="21"/>
  <c r="E5" i="5"/>
  <c r="E16" i="5" s="1"/>
  <c r="D8" i="21"/>
  <c r="U11" i="21"/>
  <c r="R11" i="21"/>
  <c r="S11" i="21"/>
  <c r="T11" i="21"/>
  <c r="I11" i="21"/>
  <c r="G11" i="21"/>
  <c r="H11" i="21"/>
  <c r="F11" i="21"/>
  <c r="C71" i="21"/>
  <c r="G70" i="21"/>
  <c r="G71" i="21"/>
  <c r="D70" i="21"/>
  <c r="T36" i="26"/>
  <c r="T17" i="26" s="1"/>
  <c r="F71" i="21"/>
  <c r="L36" i="26"/>
  <c r="L17" i="26" s="1"/>
  <c r="D71" i="21"/>
  <c r="E70" i="21"/>
  <c r="F70" i="21"/>
  <c r="P36" i="26"/>
  <c r="P17" i="26" s="1"/>
  <c r="E71" i="21"/>
  <c r="C70"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N4" i="21"/>
  <c r="O4" i="21"/>
  <c r="Y25" i="32" s="1"/>
  <c r="P4" i="21"/>
  <c r="Q4" i="2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Q6" i="21"/>
  <c r="N6" i="21"/>
  <c r="O6" i="21"/>
  <c r="W33" i="30" s="1"/>
  <c r="P6" i="21"/>
  <c r="E7" i="21"/>
  <c r="E6" i="21"/>
  <c r="M33" i="30" s="1"/>
  <c r="J4" i="21"/>
  <c r="K4" i="21"/>
  <c r="U25" i="32" s="1"/>
  <c r="L4" i="21"/>
  <c r="V25" i="32" s="1"/>
  <c r="M4" i="21"/>
  <c r="W25" i="32" s="1"/>
  <c r="K6" i="21"/>
  <c r="S33" i="30" s="1"/>
  <c r="L6" i="21"/>
  <c r="T33" i="30" s="1"/>
  <c r="M6" i="21"/>
  <c r="J6" i="21"/>
  <c r="R33" i="30" s="1"/>
  <c r="R4" i="21"/>
  <c r="T4" i="21"/>
  <c r="S4" i="21"/>
  <c r="U4" i="21"/>
  <c r="R7" i="21"/>
  <c r="S7" i="21"/>
  <c r="T7" i="21"/>
  <c r="U7" i="21"/>
  <c r="F6" i="21"/>
  <c r="N33" i="30" s="1"/>
  <c r="G6" i="21"/>
  <c r="O33" i="30" s="1"/>
  <c r="H6" i="21"/>
  <c r="P33" i="30" s="1"/>
  <c r="I6" i="21"/>
  <c r="Q33" i="30" s="1"/>
  <c r="D5" i="21"/>
  <c r="N24" i="32" s="1"/>
  <c r="E5" i="21"/>
  <c r="O24" i="32" s="1"/>
  <c r="M10" i="29"/>
  <c r="N10" i="29"/>
  <c r="H16" i="5"/>
  <c r="G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U76" i="26" l="1"/>
  <c r="U17" i="26"/>
  <c r="V17" i="26" s="1"/>
  <c r="N39" i="21"/>
  <c r="V39" i="21"/>
  <c r="J39" i="21"/>
  <c r="P39" i="21"/>
  <c r="E39" i="21"/>
  <c r="E38" i="21" s="1"/>
  <c r="D39" i="21"/>
  <c r="D38" i="21" s="1"/>
  <c r="R39" i="21"/>
  <c r="O39" i="21"/>
  <c r="K39" i="21"/>
  <c r="Q39" i="21"/>
  <c r="F39" i="21"/>
  <c r="F38" i="21" s="1"/>
  <c r="S39" i="21"/>
  <c r="M39" i="21"/>
  <c r="U39" i="21"/>
  <c r="T39" i="21"/>
  <c r="G39" i="21"/>
  <c r="G38" i="21" s="1"/>
  <c r="H39" i="21"/>
  <c r="I39" i="21"/>
  <c r="L39" i="21"/>
  <c r="H18" i="21"/>
  <c r="N77" i="26" s="1"/>
  <c r="F18" i="21"/>
  <c r="L77" i="26" s="1"/>
  <c r="G18" i="21"/>
  <c r="M77" i="26" s="1"/>
  <c r="F78" i="21"/>
  <c r="D78" i="21"/>
  <c r="E4" i="21"/>
  <c r="O25" i="32" s="1"/>
  <c r="D4" i="21"/>
  <c r="N25" i="32" s="1"/>
  <c r="E73" i="21"/>
  <c r="G78" i="21"/>
  <c r="G73" i="21"/>
  <c r="C76" i="21"/>
  <c r="C78" i="21" s="1"/>
  <c r="W3" i="21"/>
  <c r="D73" i="21"/>
  <c r="J15" i="21"/>
  <c r="E76" i="21" s="1"/>
  <c r="P35" i="26"/>
  <c r="V35" i="26" s="1"/>
  <c r="E75" i="21"/>
  <c r="N11" i="42"/>
  <c r="C4" i="21"/>
  <c r="W14" i="21"/>
  <c r="N7" i="35"/>
  <c r="V33" i="30"/>
  <c r="M7" i="35" s="1"/>
  <c r="U33" i="30"/>
  <c r="U23" i="30" s="1"/>
  <c r="D7" i="35"/>
  <c r="L33" i="30"/>
  <c r="C7" i="35" s="1"/>
  <c r="F73" i="21"/>
  <c r="C72" i="21"/>
  <c r="V34" i="26"/>
  <c r="C73" i="21"/>
  <c r="W12" i="21"/>
  <c r="O23" i="30"/>
  <c r="F7" i="35"/>
  <c r="S23" i="30"/>
  <c r="J7" i="35"/>
  <c r="N23" i="30"/>
  <c r="E7" i="35"/>
  <c r="P23" i="30"/>
  <c r="G7" i="35"/>
  <c r="T23" i="30"/>
  <c r="K7" i="35"/>
  <c r="R23" i="30"/>
  <c r="I7" i="35"/>
  <c r="Q23" i="30"/>
  <c r="H7" i="35"/>
  <c r="V36" i="26"/>
  <c r="D72" i="21"/>
  <c r="V5" i="21"/>
  <c r="G72" i="21"/>
  <c r="H8" i="21"/>
  <c r="E72" i="21"/>
  <c r="F72" i="21"/>
  <c r="W11" i="21"/>
  <c r="G67" i="21"/>
  <c r="F67" i="21"/>
  <c r="G66" i="21"/>
  <c r="F65" i="21"/>
  <c r="X25" i="32"/>
  <c r="F68" i="21"/>
  <c r="P25" i="32"/>
  <c r="D65" i="21"/>
  <c r="M24" i="32"/>
  <c r="C66" i="21"/>
  <c r="G68" i="21"/>
  <c r="E68" i="21"/>
  <c r="T24" i="32"/>
  <c r="E66" i="21"/>
  <c r="C69" i="21"/>
  <c r="D68" i="21"/>
  <c r="X24" i="32"/>
  <c r="F66" i="21"/>
  <c r="D67" i="21"/>
  <c r="G65" i="21"/>
  <c r="E65" i="21"/>
  <c r="T25" i="32"/>
  <c r="C67" i="21"/>
  <c r="C68" i="21"/>
  <c r="E67" i="21"/>
  <c r="P24" i="32"/>
  <c r="D66" i="21"/>
  <c r="W5" i="21"/>
  <c r="W7" i="21"/>
  <c r="W6" i="21"/>
  <c r="N13" i="42"/>
  <c r="N6" i="42"/>
  <c r="N5" i="42"/>
  <c r="N10" i="42"/>
  <c r="N12" i="42"/>
  <c r="R43" i="21" l="1"/>
  <c r="R38" i="21" s="1"/>
  <c r="T43" i="21"/>
  <c r="T38" i="21" s="1"/>
  <c r="M43" i="21"/>
  <c r="M38" i="21" s="1"/>
  <c r="K43" i="21"/>
  <c r="K38" i="21" s="1"/>
  <c r="V43" i="21"/>
  <c r="V38" i="21" s="1"/>
  <c r="S43" i="21"/>
  <c r="S38" i="21" s="1"/>
  <c r="I43" i="21"/>
  <c r="I38" i="21" s="1"/>
  <c r="L43" i="21"/>
  <c r="L38" i="21" s="1"/>
  <c r="J43" i="21"/>
  <c r="J38" i="21" s="1"/>
  <c r="U43" i="21"/>
  <c r="U38" i="21" s="1"/>
  <c r="N43" i="21"/>
  <c r="N38" i="21" s="1"/>
  <c r="O43" i="21"/>
  <c r="O38" i="21" s="1"/>
  <c r="Q43" i="21"/>
  <c r="Q38" i="21" s="1"/>
  <c r="P43" i="21"/>
  <c r="P38" i="21" s="1"/>
  <c r="H43" i="21"/>
  <c r="H38" i="21" s="1"/>
  <c r="O18" i="21"/>
  <c r="U77" i="26" s="1"/>
  <c r="V18" i="21"/>
  <c r="N18" i="21"/>
  <c r="T77" i="26" s="1"/>
  <c r="U18" i="21"/>
  <c r="M18" i="21"/>
  <c r="S77" i="26" s="1"/>
  <c r="T18" i="21"/>
  <c r="L18" i="21"/>
  <c r="R77" i="26" s="1"/>
  <c r="S18" i="21"/>
  <c r="K18" i="21"/>
  <c r="Q77" i="26" s="1"/>
  <c r="P18" i="21"/>
  <c r="R18" i="21"/>
  <c r="J18" i="21"/>
  <c r="P77" i="26" s="1"/>
  <c r="Q18" i="21"/>
  <c r="I18" i="21"/>
  <c r="O77" i="26" s="1"/>
  <c r="C65" i="21"/>
  <c r="E78" i="21"/>
  <c r="L7" i="35"/>
  <c r="W8" i="21"/>
  <c r="W4" i="21"/>
  <c r="M25" i="32"/>
  <c r="W15" i="21"/>
  <c r="R13" i="30"/>
  <c r="R15" i="30"/>
  <c r="S13" i="30"/>
  <c r="S15" i="30"/>
  <c r="U13" i="30"/>
  <c r="U15" i="30"/>
  <c r="T13" i="30"/>
  <c r="T15" i="30"/>
  <c r="D69" i="21"/>
  <c r="D12" i="30"/>
  <c r="E12" i="30"/>
  <c r="E14" i="40"/>
  <c r="E16" i="40" s="1"/>
  <c r="F14" i="40"/>
  <c r="F16" i="40" s="1"/>
  <c r="G14" i="40"/>
  <c r="G15" i="40" s="1"/>
  <c r="H15" i="40" s="1"/>
  <c r="H11" i="40" s="1"/>
  <c r="D14" i="40"/>
  <c r="M23" i="38"/>
  <c r="M24" i="38" s="1"/>
  <c r="M25" i="38" s="1"/>
  <c r="M26" i="38" s="1"/>
  <c r="E55" i="38"/>
  <c r="E56" i="38" s="1"/>
  <c r="F55" i="38"/>
  <c r="F56" i="38" s="1"/>
  <c r="G55" i="38"/>
  <c r="G56" i="38" s="1"/>
  <c r="D55" i="38"/>
  <c r="D56" i="38" s="1"/>
  <c r="M38" i="38"/>
  <c r="M39" i="38" s="1"/>
  <c r="M40" i="38" s="1"/>
  <c r="M41" i="38" s="1"/>
  <c r="M42" i="38" s="1"/>
  <c r="M43" i="38" s="1"/>
  <c r="M44" i="38" s="1"/>
  <c r="M45" i="38" s="1"/>
  <c r="M28" i="38"/>
  <c r="M29" i="38" s="1"/>
  <c r="N18" i="32" l="1"/>
  <c r="J45" i="52"/>
  <c r="H45" i="52" s="1"/>
  <c r="I15" i="40"/>
  <c r="J15" i="40" s="1"/>
  <c r="F15" i="40"/>
  <c r="D16" i="40"/>
  <c r="H56" i="38"/>
  <c r="G17" i="40"/>
  <c r="H17" i="40" s="1"/>
  <c r="E15" i="40"/>
  <c r="F17" i="40"/>
  <c r="E17" i="40"/>
  <c r="G16" i="40"/>
  <c r="H16" i="40" s="1"/>
  <c r="D15" i="40"/>
  <c r="D17" i="40"/>
  <c r="M30" i="38"/>
  <c r="N38" i="38"/>
  <c r="N39" i="38" s="1"/>
  <c r="N28" i="38"/>
  <c r="N29" i="38" s="1"/>
  <c r="N30" i="38" s="1"/>
  <c r="N31" i="38" s="1"/>
  <c r="N32" i="38" s="1"/>
  <c r="N33" i="38" s="1"/>
  <c r="N34" i="38" s="1"/>
  <c r="N35" i="38" s="1"/>
  <c r="N36" i="38" s="1"/>
  <c r="D14" i="38"/>
  <c r="G14" i="38" s="1"/>
  <c r="D15" i="38"/>
  <c r="G15" i="38" s="1"/>
  <c r="D16" i="38"/>
  <c r="D17" i="38"/>
  <c r="G17" i="38" s="1"/>
  <c r="D18" i="38"/>
  <c r="G18" i="38" s="1"/>
  <c r="D19" i="38"/>
  <c r="G19" i="38" s="1"/>
  <c r="D20" i="38"/>
  <c r="G20" i="38" s="1"/>
  <c r="D21" i="38"/>
  <c r="G21" i="38" s="1"/>
  <c r="D22" i="38"/>
  <c r="G22" i="38" s="1"/>
  <c r="D23" i="38"/>
  <c r="D24" i="38"/>
  <c r="G24" i="38" s="1"/>
  <c r="D25" i="38"/>
  <c r="G25" i="38" s="1"/>
  <c r="D26" i="38"/>
  <c r="G26" i="38" s="1"/>
  <c r="D27" i="38"/>
  <c r="D28" i="38"/>
  <c r="D29" i="38"/>
  <c r="D30" i="38"/>
  <c r="D31" i="38"/>
  <c r="J31" i="38" s="1"/>
  <c r="D32" i="38"/>
  <c r="D33" i="38"/>
  <c r="J33" i="38" s="1"/>
  <c r="D34" i="38"/>
  <c r="J34" i="38" s="1"/>
  <c r="D35" i="38"/>
  <c r="D36" i="38"/>
  <c r="J36" i="38" s="1"/>
  <c r="D37" i="38"/>
  <c r="D38" i="38"/>
  <c r="D39" i="38"/>
  <c r="K39" i="38" s="1"/>
  <c r="D40" i="38"/>
  <c r="D41" i="38"/>
  <c r="K41" i="38" s="1"/>
  <c r="D42" i="38"/>
  <c r="D43" i="38"/>
  <c r="K43" i="38" s="1"/>
  <c r="D44" i="38"/>
  <c r="K44" i="38" s="1"/>
  <c r="D45" i="38"/>
  <c r="D13" i="38"/>
  <c r="G13" i="38" s="1"/>
  <c r="D12" i="38"/>
  <c r="F12" i="38" s="1"/>
  <c r="D11" i="38"/>
  <c r="F11" i="38" s="1"/>
  <c r="O15" i="32"/>
  <c r="P15" i="32"/>
  <c r="Q15" i="32"/>
  <c r="R15" i="32"/>
  <c r="S15" i="32"/>
  <c r="T15" i="32"/>
  <c r="U15" i="32"/>
  <c r="V15" i="32"/>
  <c r="W15" i="32"/>
  <c r="X15" i="32"/>
  <c r="Y15" i="32"/>
  <c r="J11" i="40" l="1"/>
  <c r="P18" i="32" s="1"/>
  <c r="K15" i="40"/>
  <c r="I11" i="40"/>
  <c r="O18" i="32" s="1"/>
  <c r="H12" i="40"/>
  <c r="J14" i="26" s="1"/>
  <c r="J74" i="26" s="1"/>
  <c r="I16" i="40"/>
  <c r="I17" i="40"/>
  <c r="H13" i="40"/>
  <c r="L20" i="30" s="1"/>
  <c r="G11" i="38"/>
  <c r="G12" i="38"/>
  <c r="H12" i="38" s="1"/>
  <c r="G23" i="38"/>
  <c r="H23" i="38"/>
  <c r="J38" i="38"/>
  <c r="K38" i="38"/>
  <c r="J37" i="38"/>
  <c r="K37" i="38"/>
  <c r="I28" i="38"/>
  <c r="J28" i="38"/>
  <c r="K28" i="38" s="1"/>
  <c r="H22" i="38"/>
  <c r="J35" i="38"/>
  <c r="I27" i="38"/>
  <c r="J27" i="38"/>
  <c r="H26" i="38"/>
  <c r="I26" i="38" s="1"/>
  <c r="K42" i="38"/>
  <c r="H25" i="38"/>
  <c r="I25" i="38" s="1"/>
  <c r="N40" i="38"/>
  <c r="J39" i="38"/>
  <c r="L39" i="38" s="1"/>
  <c r="J29" i="38"/>
  <c r="H24" i="38"/>
  <c r="I24" i="38" s="1"/>
  <c r="I30" i="38"/>
  <c r="J30" i="38"/>
  <c r="K45" i="38"/>
  <c r="K40" i="38"/>
  <c r="J32" i="38"/>
  <c r="G16" i="38"/>
  <c r="I29" i="38"/>
  <c r="K29" i="38" s="1"/>
  <c r="I56" i="38"/>
  <c r="M14" i="38"/>
  <c r="F13" i="38"/>
  <c r="M31" i="38"/>
  <c r="I31" i="38" s="1"/>
  <c r="K31" i="38" s="1"/>
  <c r="L15" i="40" l="1"/>
  <c r="K11" i="40"/>
  <c r="Q18" i="32" s="1"/>
  <c r="J17" i="40"/>
  <c r="I13" i="40"/>
  <c r="M20" i="30" s="1"/>
  <c r="I12" i="40"/>
  <c r="K14" i="26" s="1"/>
  <c r="K74" i="26" s="1"/>
  <c r="J16" i="40"/>
  <c r="K30" i="38"/>
  <c r="G46" i="38"/>
  <c r="G47" i="38" s="1"/>
  <c r="H11" i="38"/>
  <c r="I23" i="38"/>
  <c r="L38" i="38"/>
  <c r="L37" i="38"/>
  <c r="K27" i="38"/>
  <c r="N41" i="38"/>
  <c r="J40" i="38"/>
  <c r="L40" i="38" s="1"/>
  <c r="J56" i="38"/>
  <c r="H13" i="38"/>
  <c r="M15" i="38"/>
  <c r="F15" i="38" s="1"/>
  <c r="H15" i="38" s="1"/>
  <c r="F14" i="38"/>
  <c r="H14" i="38" s="1"/>
  <c r="M32" i="38"/>
  <c r="I32" i="38" s="1"/>
  <c r="K32" i="38" s="1"/>
  <c r="J12" i="40" l="1"/>
  <c r="L14" i="26" s="1"/>
  <c r="L74" i="26" s="1"/>
  <c r="K16" i="40"/>
  <c r="J13" i="40"/>
  <c r="N20" i="30" s="1"/>
  <c r="N15" i="30" s="1"/>
  <c r="K17" i="40"/>
  <c r="L11" i="40"/>
  <c r="R18" i="32" s="1"/>
  <c r="M15" i="40"/>
  <c r="M11" i="40" s="1"/>
  <c r="N42" i="38"/>
  <c r="J41" i="38"/>
  <c r="L41" i="38" s="1"/>
  <c r="M16" i="38"/>
  <c r="F16" i="38" s="1"/>
  <c r="H16" i="38" s="1"/>
  <c r="M33" i="38"/>
  <c r="I33" i="38" s="1"/>
  <c r="K33" i="38" s="1"/>
  <c r="L16" i="40" l="1"/>
  <c r="K12" i="40"/>
  <c r="M14" i="26" s="1"/>
  <c r="M74" i="26" s="1"/>
  <c r="L17" i="40"/>
  <c r="K13" i="40"/>
  <c r="O20" i="30" s="1"/>
  <c r="N43" i="38"/>
  <c r="J42" i="38"/>
  <c r="M17" i="38"/>
  <c r="F17" i="38" s="1"/>
  <c r="H17" i="38" s="1"/>
  <c r="M34" i="38"/>
  <c r="I34" i="38" s="1"/>
  <c r="O13" i="30" l="1"/>
  <c r="O15" i="30"/>
  <c r="M17" i="40"/>
  <c r="M13" i="40" s="1"/>
  <c r="Q20" i="30" s="1"/>
  <c r="L13" i="40"/>
  <c r="P20" i="30" s="1"/>
  <c r="L12" i="40"/>
  <c r="N14" i="26" s="1"/>
  <c r="N74" i="26" s="1"/>
  <c r="M16" i="40"/>
  <c r="M12" i="40" s="1"/>
  <c r="O14" i="26" s="1"/>
  <c r="O74" i="26" s="1"/>
  <c r="K34" i="38"/>
  <c r="L42" i="38"/>
  <c r="N44" i="38"/>
  <c r="J43" i="38"/>
  <c r="L43" i="38" s="1"/>
  <c r="M18" i="38"/>
  <c r="M35" i="38"/>
  <c r="I35" i="38" s="1"/>
  <c r="K35" i="38" s="1"/>
  <c r="Q13" i="30" l="1"/>
  <c r="Q15" i="30"/>
  <c r="P13" i="30"/>
  <c r="P15" i="30"/>
  <c r="N45" i="38"/>
  <c r="J45" i="38" s="1"/>
  <c r="L45" i="38" s="1"/>
  <c r="J44" i="38"/>
  <c r="M19" i="38"/>
  <c r="F18" i="38"/>
  <c r="M36" i="38"/>
  <c r="I36" i="38" s="1"/>
  <c r="K36" i="38" l="1"/>
  <c r="K46" i="38" s="1"/>
  <c r="K47" i="38" s="1"/>
  <c r="I46" i="38"/>
  <c r="I47" i="38" s="1"/>
  <c r="L44" i="38"/>
  <c r="J46" i="38"/>
  <c r="J47" i="38" s="1"/>
  <c r="L46" i="38"/>
  <c r="L47" i="38" s="1"/>
  <c r="H18" i="38"/>
  <c r="M20" i="38"/>
  <c r="F19" i="38"/>
  <c r="H19" i="38" s="1"/>
  <c r="J53" i="38" l="1"/>
  <c r="P17" i="32" s="1"/>
  <c r="H53" i="38"/>
  <c r="N17" i="32" s="1"/>
  <c r="I53" i="38"/>
  <c r="O17" i="32" s="1"/>
  <c r="H21" i="38"/>
  <c r="F20" i="38"/>
  <c r="H20" i="38" s="1"/>
  <c r="H54" i="38" l="1"/>
  <c r="H55" i="38" s="1"/>
  <c r="I54" i="38"/>
  <c r="M14" i="30" s="1"/>
  <c r="J54" i="38"/>
  <c r="N14" i="30" s="1"/>
  <c r="N13" i="30" s="1"/>
  <c r="H46" i="38"/>
  <c r="H47" i="38" s="1"/>
  <c r="F46" i="38"/>
  <c r="F47" i="38" s="1"/>
  <c r="I55" i="38" l="1"/>
  <c r="J55" i="38"/>
  <c r="L14" i="30"/>
  <c r="C13" i="35" l="1"/>
  <c r="D13" i="35"/>
  <c r="E13" i="35"/>
  <c r="F13" i="35"/>
  <c r="G13" i="35"/>
  <c r="H13" i="35"/>
  <c r="I13" i="35"/>
  <c r="J13" i="35"/>
  <c r="K13" i="35"/>
  <c r="L13" i="35"/>
  <c r="M13" i="35"/>
  <c r="N13" i="35"/>
  <c r="D14" i="35"/>
  <c r="E14" i="35"/>
  <c r="F14" i="35"/>
  <c r="G14" i="35"/>
  <c r="H14" i="35"/>
  <c r="I14" i="35"/>
  <c r="J14" i="35"/>
  <c r="K14" i="35"/>
  <c r="L14" i="35"/>
  <c r="M14" i="35"/>
  <c r="N14" i="35"/>
  <c r="C16" i="35"/>
  <c r="D16" i="35"/>
  <c r="E16" i="35"/>
  <c r="F16" i="35"/>
  <c r="G16" i="35"/>
  <c r="H16" i="35"/>
  <c r="I16" i="35"/>
  <c r="K16" i="35"/>
  <c r="L16" i="35"/>
  <c r="M16" i="35"/>
  <c r="N16" i="35"/>
  <c r="D15" i="35"/>
  <c r="F15" i="35"/>
  <c r="G15" i="35"/>
  <c r="H15" i="35"/>
  <c r="I15" i="35"/>
  <c r="J15" i="35"/>
  <c r="L15" i="35"/>
  <c r="M15" i="35"/>
  <c r="N15" i="35"/>
  <c r="P23" i="32" l="1"/>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D12" i="32" l="1"/>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0" i="33" s="1"/>
  <c r="E14" i="32" s="1"/>
  <c r="E52" i="32" s="1"/>
  <c r="F11" i="33"/>
  <c r="F10" i="33" s="1"/>
  <c r="F14" i="32" s="1"/>
  <c r="G11" i="33"/>
  <c r="G10" i="33" s="1"/>
  <c r="G14" i="32" s="1"/>
  <c r="H11" i="33"/>
  <c r="H10" i="33" s="1"/>
  <c r="I11" i="33"/>
  <c r="I10" i="33" s="1"/>
  <c r="I14" i="32" s="1"/>
  <c r="J11" i="33"/>
  <c r="J10" i="33" s="1"/>
  <c r="J14" i="32" s="1"/>
  <c r="K11" i="33"/>
  <c r="K10" i="33" s="1"/>
  <c r="K14" i="32" s="1"/>
  <c r="L11" i="33"/>
  <c r="L10" i="33" s="1"/>
  <c r="L14" i="32" s="1"/>
  <c r="M11" i="33"/>
  <c r="M10" i="33" s="1"/>
  <c r="M14" i="32" s="1"/>
  <c r="D11" i="33"/>
  <c r="D10" i="33" s="1"/>
  <c r="D14" i="32" l="1"/>
  <c r="D52" i="32" s="1"/>
  <c r="C22" i="33"/>
  <c r="H14" i="32"/>
  <c r="D22" i="33"/>
  <c r="G49" i="32"/>
  <c r="G51" i="32" s="1"/>
  <c r="G52" i="32"/>
  <c r="F49" i="32"/>
  <c r="F51" i="32" s="1"/>
  <c r="F52" i="32"/>
  <c r="E49" i="32"/>
  <c r="E51" i="32" s="1"/>
  <c r="E54" i="32" s="1"/>
  <c r="E20" i="32" s="1"/>
  <c r="E21" i="32" s="1"/>
  <c r="E22" i="32" s="1"/>
  <c r="D49" i="32"/>
  <c r="D51" i="32" s="1"/>
  <c r="D54" i="32" s="1"/>
  <c r="D20" i="32" s="1"/>
  <c r="D21" i="32" s="1"/>
  <c r="D22" i="32" s="1"/>
  <c r="G54" i="32" l="1"/>
  <c r="G20" i="32" s="1"/>
  <c r="G21" i="32" s="1"/>
  <c r="G22" i="32" s="1"/>
  <c r="D23" i="33"/>
  <c r="F54" i="32"/>
  <c r="F20" i="32" s="1"/>
  <c r="F21" i="32" s="1"/>
  <c r="F22" i="32" s="1"/>
  <c r="N11" i="33"/>
  <c r="N10" i="33" s="1"/>
  <c r="N14" i="32" l="1"/>
  <c r="C12" i="35"/>
  <c r="O11" i="33"/>
  <c r="O10" i="33" s="1"/>
  <c r="O14" i="32" l="1"/>
  <c r="D12" i="35"/>
  <c r="P11" i="33"/>
  <c r="P10" i="33" s="1"/>
  <c r="P14" i="32" l="1"/>
  <c r="E12" i="35"/>
  <c r="Q11" i="33"/>
  <c r="Q10" i="33" s="1"/>
  <c r="Q14" i="32" l="1"/>
  <c r="F12" i="35"/>
  <c r="R11" i="33"/>
  <c r="R10" i="33" s="1"/>
  <c r="R14" i="32" l="1"/>
  <c r="G12" i="35"/>
  <c r="S11" i="33"/>
  <c r="S10" i="33" s="1"/>
  <c r="T11" i="33" l="1"/>
  <c r="T10" i="33" s="1"/>
  <c r="T14" i="32" s="1"/>
  <c r="S14" i="32"/>
  <c r="H12" i="35"/>
  <c r="U11" i="33" l="1"/>
  <c r="U10" i="33" s="1"/>
  <c r="J12" i="35" s="1"/>
  <c r="I12" i="35"/>
  <c r="V11" i="33"/>
  <c r="V10" i="33" s="1"/>
  <c r="U14" i="32" l="1"/>
  <c r="V14" i="32"/>
  <c r="K12" i="35"/>
  <c r="W11" i="33"/>
  <c r="W10" i="33" s="1"/>
  <c r="W14" i="32" l="1"/>
  <c r="L12" i="35"/>
  <c r="X11" i="33"/>
  <c r="X10" i="33" s="1"/>
  <c r="X14" i="32" l="1"/>
  <c r="M12" i="35"/>
  <c r="Y11" i="33"/>
  <c r="Y10" i="33" s="1"/>
  <c r="Y14" i="32" l="1"/>
  <c r="N12" i="35"/>
  <c r="D30" i="32"/>
  <c r="E30" i="32"/>
  <c r="F30" i="32"/>
  <c r="G30" i="32"/>
  <c r="I30" i="32"/>
  <c r="F31" i="32" l="1"/>
  <c r="G31" i="32"/>
  <c r="E31" i="32"/>
  <c r="H30" i="32"/>
  <c r="H31" i="32" s="1"/>
  <c r="I31" i="32" l="1"/>
  <c r="G22" i="30" l="1"/>
  <c r="H22" i="30"/>
  <c r="I22" i="30"/>
  <c r="J22" i="30"/>
  <c r="K22" i="30"/>
  <c r="F22" i="30"/>
  <c r="G21" i="30"/>
  <c r="H21" i="30"/>
  <c r="I21" i="30"/>
  <c r="J21" i="30"/>
  <c r="K21" i="30"/>
  <c r="F21" i="30"/>
  <c r="G20" i="30"/>
  <c r="H20" i="30"/>
  <c r="I20" i="30"/>
  <c r="J20" i="30"/>
  <c r="K20" i="30"/>
  <c r="F20" i="30"/>
  <c r="G14" i="30"/>
  <c r="H14" i="30"/>
  <c r="I14" i="30"/>
  <c r="J14" i="30"/>
  <c r="K14" i="30"/>
  <c r="F14" i="30"/>
  <c r="G18" i="30"/>
  <c r="H18" i="30"/>
  <c r="I18" i="30"/>
  <c r="J18" i="30"/>
  <c r="K18" i="30"/>
  <c r="F18" i="30"/>
  <c r="G17" i="30"/>
  <c r="H17" i="30"/>
  <c r="I17" i="30"/>
  <c r="J17" i="30"/>
  <c r="K17" i="30"/>
  <c r="F17" i="30"/>
  <c r="G16" i="30"/>
  <c r="H16" i="30"/>
  <c r="I16" i="30"/>
  <c r="J16" i="30"/>
  <c r="K16" i="30"/>
  <c r="F16" i="30"/>
  <c r="I11" i="30"/>
  <c r="I34" i="30" s="1"/>
  <c r="J11" i="30"/>
  <c r="J34" i="30" s="1"/>
  <c r="K11" i="30"/>
  <c r="K34" i="30" s="1"/>
  <c r="H11" i="30"/>
  <c r="H34" i="30" s="1"/>
  <c r="G11" i="30"/>
  <c r="G34" i="30" s="1"/>
  <c r="F11" i="30"/>
  <c r="F34" i="30" s="1"/>
  <c r="J15" i="30" l="1"/>
  <c r="H15" i="30"/>
  <c r="G15" i="30"/>
  <c r="I13" i="30"/>
  <c r="I15" i="30"/>
  <c r="F13" i="30"/>
  <c r="F15" i="30"/>
  <c r="K15" i="30"/>
  <c r="H13" i="30"/>
  <c r="K13" i="30"/>
  <c r="J13" i="30"/>
  <c r="M17" i="30"/>
  <c r="L17" i="30"/>
  <c r="G13" i="30"/>
  <c r="G12" i="30" s="1"/>
  <c r="P12" i="30"/>
  <c r="L12" i="30"/>
  <c r="U12" i="30"/>
  <c r="U11" i="30" s="1"/>
  <c r="U34" i="30" s="1"/>
  <c r="L6" i="35" s="1"/>
  <c r="Q12" i="30"/>
  <c r="R12" i="30"/>
  <c r="M12" i="30"/>
  <c r="W12" i="30"/>
  <c r="W11" i="30" s="1"/>
  <c r="W34" i="30" s="1"/>
  <c r="N6" i="35" s="1"/>
  <c r="S12" i="30"/>
  <c r="T12" i="30"/>
  <c r="T11" i="30" s="1"/>
  <c r="T34" i="30" s="1"/>
  <c r="K6" i="35" s="1"/>
  <c r="N12" i="30"/>
  <c r="V12" i="30"/>
  <c r="V11" i="30" s="1"/>
  <c r="V34" i="30" s="1"/>
  <c r="M6" i="35" s="1"/>
  <c r="O12" i="30"/>
  <c r="F9" i="29"/>
  <c r="F11" i="29" s="1"/>
  <c r="J15" i="32" s="1"/>
  <c r="G9" i="29"/>
  <c r="G11" i="29" s="1"/>
  <c r="K15" i="32" s="1"/>
  <c r="H9" i="29"/>
  <c r="H11" i="29" s="1"/>
  <c r="L15" i="32" s="1"/>
  <c r="I9" i="29"/>
  <c r="I10" i="29" s="1"/>
  <c r="L73" i="48" s="1"/>
  <c r="L74" i="48" s="1"/>
  <c r="L84" i="48" l="1"/>
  <c r="J48" i="52" s="1"/>
  <c r="H48" i="52" s="1"/>
  <c r="N15" i="32"/>
  <c r="C14" i="35"/>
  <c r="I12" i="30"/>
  <c r="J12" i="30"/>
  <c r="H12" i="30"/>
  <c r="K12" i="30"/>
  <c r="O11" i="30"/>
  <c r="O34" i="30" s="1"/>
  <c r="F6" i="35" s="1"/>
  <c r="R11" i="30"/>
  <c r="R34" i="30" s="1"/>
  <c r="I6" i="35" s="1"/>
  <c r="N11" i="30"/>
  <c r="N34" i="30" s="1"/>
  <c r="E6" i="35" s="1"/>
  <c r="Q11" i="30"/>
  <c r="Q34" i="30" s="1"/>
  <c r="H6" i="35" s="1"/>
  <c r="P11" i="30"/>
  <c r="P34" i="30" s="1"/>
  <c r="G6" i="35" s="1"/>
  <c r="M15" i="32"/>
  <c r="S11" i="30"/>
  <c r="S34" i="30" s="1"/>
  <c r="J6" i="35" s="1"/>
  <c r="H22" i="26"/>
  <c r="C51" i="26"/>
  <c r="G22" i="26"/>
  <c r="I22" i="26"/>
  <c r="J22" i="26"/>
  <c r="K22" i="26"/>
  <c r="L22" i="26"/>
  <c r="U26" i="26"/>
  <c r="C43" i="26"/>
  <c r="F23" i="26" s="1"/>
  <c r="F6" i="27"/>
  <c r="C58" i="26" s="1"/>
  <c r="L29" i="26" s="1"/>
  <c r="F9" i="27"/>
  <c r="C59" i="26" s="1"/>
  <c r="J30" i="26" s="1"/>
  <c r="F8" i="27"/>
  <c r="C60" i="26" s="1"/>
  <c r="N31" i="26" s="1"/>
  <c r="F17" i="27"/>
  <c r="F16" i="27"/>
  <c r="F11" i="27"/>
  <c r="F12" i="27"/>
  <c r="F13" i="27"/>
  <c r="F14" i="27"/>
  <c r="F15" i="27"/>
  <c r="E9" i="26"/>
  <c r="F9" i="26"/>
  <c r="G9" i="26"/>
  <c r="H9" i="26"/>
  <c r="I9" i="26"/>
  <c r="D9" i="26"/>
  <c r="F7" i="27"/>
  <c r="F5" i="27"/>
  <c r="C57" i="26" s="1"/>
  <c r="I28" i="26" s="1"/>
  <c r="L29" i="30" l="1"/>
  <c r="M29" i="30"/>
  <c r="M26" i="30"/>
  <c r="L26" i="30"/>
  <c r="L10" i="48"/>
  <c r="C19" i="35" s="1"/>
  <c r="M11" i="48"/>
  <c r="L31" i="30"/>
  <c r="M31" i="30"/>
  <c r="M30" i="30"/>
  <c r="L30" i="30"/>
  <c r="M18" i="48"/>
  <c r="L17" i="48"/>
  <c r="C20" i="35" s="1"/>
  <c r="F22" i="26"/>
  <c r="V22" i="26" s="1"/>
  <c r="V23" i="26"/>
  <c r="W12" i="26" s="1"/>
  <c r="T32" i="26"/>
  <c r="Q31" i="26"/>
  <c r="P31" i="26"/>
  <c r="I30" i="26"/>
  <c r="T30" i="26"/>
  <c r="R29" i="26"/>
  <c r="S30" i="26"/>
  <c r="P32" i="26"/>
  <c r="Q29" i="26"/>
  <c r="L30" i="26"/>
  <c r="O32" i="26"/>
  <c r="P29" i="26"/>
  <c r="K30" i="26"/>
  <c r="R31" i="26"/>
  <c r="U32" i="26"/>
  <c r="O29" i="26"/>
  <c r="O31" i="26"/>
  <c r="Q30" i="26"/>
  <c r="N32" i="26"/>
  <c r="J28" i="26"/>
  <c r="N29" i="26"/>
  <c r="M31" i="26"/>
  <c r="P30" i="26"/>
  <c r="S32" i="26"/>
  <c r="K32" i="26"/>
  <c r="I29" i="26"/>
  <c r="I31" i="26"/>
  <c r="L31" i="26"/>
  <c r="O30" i="26"/>
  <c r="R32" i="26"/>
  <c r="J29" i="26"/>
  <c r="T31" i="26"/>
  <c r="T16" i="26" s="1"/>
  <c r="K31" i="26"/>
  <c r="K16" i="26" s="1"/>
  <c r="N30" i="26"/>
  <c r="N16" i="26" s="1"/>
  <c r="Q32" i="26"/>
  <c r="S29" i="26"/>
  <c r="S31" i="26"/>
  <c r="J31" i="26"/>
  <c r="J16" i="26" s="1"/>
  <c r="M30" i="26"/>
  <c r="L32" i="26"/>
  <c r="K29" i="26"/>
  <c r="M29" i="26"/>
  <c r="T29" i="26"/>
  <c r="R30" i="26"/>
  <c r="C56" i="26"/>
  <c r="C46" i="26" s="1"/>
  <c r="I27" i="26" s="1"/>
  <c r="E11" i="26"/>
  <c r="E19" i="26" s="1"/>
  <c r="E78" i="26" s="1"/>
  <c r="F11" i="26"/>
  <c r="H11" i="26"/>
  <c r="G11" i="26"/>
  <c r="I11" i="26"/>
  <c r="D11" i="26"/>
  <c r="O16" i="26" l="1"/>
  <c r="L16" i="26"/>
  <c r="M16" i="26"/>
  <c r="R16" i="26"/>
  <c r="S16" i="26"/>
  <c r="S76" i="26" s="1"/>
  <c r="V28" i="26"/>
  <c r="W13" i="26" s="1"/>
  <c r="J77" i="26"/>
  <c r="P16" i="26"/>
  <c r="P76" i="26" s="1"/>
  <c r="Q16" i="26"/>
  <c r="Q76" i="26" s="1"/>
  <c r="M10" i="48"/>
  <c r="D19" i="35" s="1"/>
  <c r="N11" i="48"/>
  <c r="L18" i="30"/>
  <c r="L25" i="30"/>
  <c r="M18" i="30"/>
  <c r="M25" i="30"/>
  <c r="M23" i="30"/>
  <c r="N18" i="48"/>
  <c r="M17" i="48"/>
  <c r="D20" i="35" s="1"/>
  <c r="L23" i="30"/>
  <c r="I75" i="26"/>
  <c r="V30" i="26"/>
  <c r="V31" i="26"/>
  <c r="V29" i="26"/>
  <c r="W14" i="26" s="1"/>
  <c r="K76" i="26"/>
  <c r="O76" i="26"/>
  <c r="J76" i="26"/>
  <c r="M76" i="26"/>
  <c r="R76" i="26"/>
  <c r="I15" i="26"/>
  <c r="T76" i="26"/>
  <c r="L76" i="26"/>
  <c r="J13" i="26"/>
  <c r="N76" i="26"/>
  <c r="D19" i="26"/>
  <c r="D78" i="26" s="1"/>
  <c r="I16" i="26"/>
  <c r="I26" i="26"/>
  <c r="J27" i="26"/>
  <c r="J75" i="26" s="1"/>
  <c r="C55" i="26"/>
  <c r="L13" i="30" l="1"/>
  <c r="L11" i="30" s="1"/>
  <c r="L34" i="30" s="1"/>
  <c r="C6" i="35" s="1"/>
  <c r="L15" i="30"/>
  <c r="N10" i="48"/>
  <c r="E19" i="35" s="1"/>
  <c r="O11" i="48"/>
  <c r="O18" i="48"/>
  <c r="N17" i="48"/>
  <c r="E20" i="35" s="1"/>
  <c r="M13" i="30"/>
  <c r="M11" i="30" s="1"/>
  <c r="M34" i="30" s="1"/>
  <c r="D6" i="35" s="1"/>
  <c r="M15" i="30"/>
  <c r="W16" i="26"/>
  <c r="V16" i="26"/>
  <c r="I76" i="26"/>
  <c r="J15" i="26"/>
  <c r="K27" i="26"/>
  <c r="K75" i="26" s="1"/>
  <c r="J26" i="26"/>
  <c r="P18" i="48" l="1"/>
  <c r="O17" i="48"/>
  <c r="F20" i="35" s="1"/>
  <c r="P11" i="48"/>
  <c r="O10" i="48"/>
  <c r="F19" i="35" s="1"/>
  <c r="K15" i="26"/>
  <c r="L27" i="26"/>
  <c r="L75" i="26" s="1"/>
  <c r="K26" i="26"/>
  <c r="P10" i="48" l="1"/>
  <c r="G19" i="35" s="1"/>
  <c r="Q11" i="48"/>
  <c r="Q18" i="48"/>
  <c r="P17" i="48"/>
  <c r="G20" i="35" s="1"/>
  <c r="L15" i="26"/>
  <c r="M27" i="26"/>
  <c r="M75" i="26" s="1"/>
  <c r="L26" i="26"/>
  <c r="R11" i="48" l="1"/>
  <c r="Q10" i="48"/>
  <c r="H19" i="35" s="1"/>
  <c r="R18" i="48"/>
  <c r="Q17" i="48"/>
  <c r="H20" i="35" s="1"/>
  <c r="M15" i="26"/>
  <c r="N27" i="26"/>
  <c r="N75" i="26" s="1"/>
  <c r="M26" i="26"/>
  <c r="S18" i="48" l="1"/>
  <c r="R17" i="48"/>
  <c r="I20" i="35" s="1"/>
  <c r="R10" i="48"/>
  <c r="I19" i="35" s="1"/>
  <c r="S11" i="48"/>
  <c r="N15" i="26"/>
  <c r="O27" i="26"/>
  <c r="O75" i="26" s="1"/>
  <c r="N26" i="26"/>
  <c r="T11" i="48" l="1"/>
  <c r="S10" i="48"/>
  <c r="J19" i="35" s="1"/>
  <c r="T18" i="48"/>
  <c r="S17" i="48"/>
  <c r="J20" i="35" s="1"/>
  <c r="O15" i="26"/>
  <c r="P27" i="26"/>
  <c r="P75" i="26" s="1"/>
  <c r="O26" i="26"/>
  <c r="U18" i="48" l="1"/>
  <c r="T17" i="48"/>
  <c r="K20" i="35" s="1"/>
  <c r="U11" i="48"/>
  <c r="T10" i="48"/>
  <c r="K19" i="35" s="1"/>
  <c r="P15" i="26"/>
  <c r="Q27" i="26"/>
  <c r="Q75" i="26" s="1"/>
  <c r="P26" i="26"/>
  <c r="V11" i="48" l="1"/>
  <c r="U10" i="48"/>
  <c r="L19" i="35" s="1"/>
  <c r="V18" i="48"/>
  <c r="U17" i="48"/>
  <c r="L20" i="35" s="1"/>
  <c r="Q15" i="26"/>
  <c r="R27" i="26"/>
  <c r="R75" i="26" s="1"/>
  <c r="Q26" i="26"/>
  <c r="W18" i="48" l="1"/>
  <c r="W17" i="48" s="1"/>
  <c r="N20" i="35" s="1"/>
  <c r="V17" i="48"/>
  <c r="M20" i="35" s="1"/>
  <c r="W11" i="48"/>
  <c r="W10" i="48" s="1"/>
  <c r="N19" i="35" s="1"/>
  <c r="V10" i="48"/>
  <c r="M19" i="35" s="1"/>
  <c r="R15" i="26"/>
  <c r="S27" i="26"/>
  <c r="S75" i="26" s="1"/>
  <c r="R26" i="26"/>
  <c r="S15" i="26" l="1"/>
  <c r="T27" i="26"/>
  <c r="S26" i="26"/>
  <c r="T75" i="26" l="1"/>
  <c r="V27" i="26"/>
  <c r="W15" i="26" s="1"/>
  <c r="T15" i="26"/>
  <c r="V15" i="26" s="1"/>
  <c r="T26" i="26"/>
  <c r="V26" i="26" s="1"/>
  <c r="D46" i="26" l="1"/>
  <c r="E46" i="26" l="1"/>
  <c r="B3" i="27" l="1"/>
  <c r="N14" i="25" l="1"/>
  <c r="N13" i="25" s="1"/>
  <c r="F14" i="26"/>
  <c r="G14" i="26"/>
  <c r="G74" i="26" s="1"/>
  <c r="H14" i="26"/>
  <c r="H74" i="26" s="1"/>
  <c r="I14" i="26"/>
  <c r="I74" i="26" s="1"/>
  <c r="F13" i="26"/>
  <c r="F77" i="26" s="1"/>
  <c r="G13" i="26"/>
  <c r="G77" i="26" s="1"/>
  <c r="H13" i="26"/>
  <c r="H77" i="26" s="1"/>
  <c r="I13" i="26"/>
  <c r="I77" i="26" s="1"/>
  <c r="F12" i="26"/>
  <c r="G12" i="26"/>
  <c r="H12" i="26"/>
  <c r="I12" i="26"/>
  <c r="V12" i="26" l="1"/>
  <c r="V14" i="26"/>
  <c r="F74" i="26"/>
  <c r="V13" i="26"/>
  <c r="H19" i="26"/>
  <c r="H78" i="26" s="1"/>
  <c r="G19" i="26"/>
  <c r="G78" i="26" s="1"/>
  <c r="I19" i="26"/>
  <c r="I78" i="26" s="1"/>
  <c r="F19" i="26"/>
  <c r="F78" i="26" s="1"/>
  <c r="D44" i="26"/>
  <c r="D43" i="26"/>
  <c r="D45" i="26"/>
  <c r="J19" i="26" l="1"/>
  <c r="I72" i="26"/>
  <c r="F72" i="26"/>
  <c r="E72" i="26"/>
  <c r="E42" i="20" s="1"/>
  <c r="D72" i="26"/>
  <c r="D42" i="20" s="1"/>
  <c r="G72" i="26"/>
  <c r="H72" i="26"/>
  <c r="E43" i="26"/>
  <c r="D42" i="26"/>
  <c r="E26" i="20"/>
  <c r="F26" i="20"/>
  <c r="G26" i="20"/>
  <c r="H26" i="20"/>
  <c r="I26" i="20"/>
  <c r="J28" i="20" s="1"/>
  <c r="C5" i="35" s="1"/>
  <c r="D26" i="20"/>
  <c r="E41" i="20"/>
  <c r="F41" i="20"/>
  <c r="G41" i="20"/>
  <c r="H41" i="20"/>
  <c r="D41" i="20"/>
  <c r="F42" i="20" l="1"/>
  <c r="C2" i="50"/>
  <c r="H42" i="20"/>
  <c r="H43" i="20" s="1"/>
  <c r="E2" i="50"/>
  <c r="I42" i="20"/>
  <c r="F2" i="50"/>
  <c r="G42" i="20"/>
  <c r="G43" i="20" s="1"/>
  <c r="D2" i="50"/>
  <c r="K19" i="26"/>
  <c r="K78" i="26" s="1"/>
  <c r="J78" i="26"/>
  <c r="J72" i="26" s="1"/>
  <c r="K11" i="26"/>
  <c r="K41" i="20"/>
  <c r="C3" i="35"/>
  <c r="D43" i="20"/>
  <c r="E43" i="20"/>
  <c r="F43" i="20"/>
  <c r="D28" i="20"/>
  <c r="I28" i="20"/>
  <c r="H28" i="20"/>
  <c r="G28" i="20"/>
  <c r="F28" i="20"/>
  <c r="E28" i="20"/>
  <c r="I41" i="20"/>
  <c r="J41" i="20"/>
  <c r="K28" i="20"/>
  <c r="I43" i="20" l="1"/>
  <c r="AJ54" i="20"/>
  <c r="AN54" i="20"/>
  <c r="AL54" i="20"/>
  <c r="AK54" i="20"/>
  <c r="AM54" i="20"/>
  <c r="L28" i="20"/>
  <c r="D5" i="35"/>
  <c r="L19" i="26"/>
  <c r="L78" i="26" s="1"/>
  <c r="D3" i="35"/>
  <c r="J42" i="20"/>
  <c r="J43" i="20" s="1"/>
  <c r="AP53" i="20" s="1"/>
  <c r="C2" i="35"/>
  <c r="G29" i="20"/>
  <c r="H29" i="20"/>
  <c r="K72" i="26"/>
  <c r="D2" i="35" s="1"/>
  <c r="E29" i="20"/>
  <c r="AM53" i="20"/>
  <c r="AK53" i="20"/>
  <c r="AN53" i="20"/>
  <c r="F29" i="20"/>
  <c r="D29" i="20"/>
  <c r="AJ53" i="20"/>
  <c r="AL53" i="20"/>
  <c r="AO54" i="20"/>
  <c r="AO53" i="20"/>
  <c r="I29" i="20"/>
  <c r="E9" i="20"/>
  <c r="E14" i="20" s="1"/>
  <c r="E15" i="20" s="1"/>
  <c r="F9" i="20"/>
  <c r="F14" i="20" s="1"/>
  <c r="F15" i="20" s="1"/>
  <c r="G9" i="20"/>
  <c r="G14" i="20" s="1"/>
  <c r="G15" i="20" s="1"/>
  <c r="H9" i="20"/>
  <c r="H14" i="20" s="1"/>
  <c r="H15" i="20" s="1"/>
  <c r="I9" i="20"/>
  <c r="D9" i="20"/>
  <c r="D14" i="20" s="1"/>
  <c r="D15" i="20" s="1"/>
  <c r="L11" i="26" l="1"/>
  <c r="J9" i="20"/>
  <c r="J14" i="20" s="1"/>
  <c r="I14" i="20"/>
  <c r="I15" i="20" s="1"/>
  <c r="M28" i="20"/>
  <c r="E5" i="35"/>
  <c r="M19" i="26"/>
  <c r="N19" i="26" s="1"/>
  <c r="E3" i="35"/>
  <c r="L41" i="20"/>
  <c r="K42" i="20"/>
  <c r="K43" i="20" s="1"/>
  <c r="K29" i="20" s="1"/>
  <c r="L72" i="26"/>
  <c r="E2" i="35" s="1"/>
  <c r="J29" i="20"/>
  <c r="AP54" i="20"/>
  <c r="I20" i="25"/>
  <c r="H13" i="32"/>
  <c r="M13" i="25"/>
  <c r="M20" i="25" s="1"/>
  <c r="L13" i="25"/>
  <c r="L20" i="25" s="1"/>
  <c r="K13" i="25"/>
  <c r="K20" i="25" s="1"/>
  <c r="J13" i="25"/>
  <c r="J20" i="25" s="1"/>
  <c r="I13" i="25"/>
  <c r="H13" i="25"/>
  <c r="O12" i="25"/>
  <c r="O14" i="25" s="1"/>
  <c r="O13" i="25" s="1"/>
  <c r="K9" i="20" l="1"/>
  <c r="K14" i="20" s="1"/>
  <c r="H49" i="32"/>
  <c r="H51" i="32" s="1"/>
  <c r="H52" i="32"/>
  <c r="N28" i="20"/>
  <c r="F5" i="35"/>
  <c r="N78" i="26"/>
  <c r="N11" i="26"/>
  <c r="O19" i="26"/>
  <c r="O78" i="26" s="1"/>
  <c r="M78" i="26"/>
  <c r="F3" i="35"/>
  <c r="M41" i="20"/>
  <c r="AQ53" i="20"/>
  <c r="AQ54" i="20"/>
  <c r="J15" i="20"/>
  <c r="C4" i="35"/>
  <c r="J19" i="25"/>
  <c r="J13" i="32" s="1"/>
  <c r="J49" i="32" s="1"/>
  <c r="J51" i="32" s="1"/>
  <c r="K19" i="25"/>
  <c r="K13" i="32" s="1"/>
  <c r="K49" i="32" s="1"/>
  <c r="K51" i="32" s="1"/>
  <c r="L19" i="25"/>
  <c r="L13" i="32" s="1"/>
  <c r="L49" i="32" s="1"/>
  <c r="L51" i="32" s="1"/>
  <c r="I19" i="25"/>
  <c r="I13" i="32" s="1"/>
  <c r="L42" i="20"/>
  <c r="L43" i="20" s="1"/>
  <c r="AR54" i="20" s="1"/>
  <c r="M72" i="26"/>
  <c r="L9" i="20"/>
  <c r="L14" i="20" s="1"/>
  <c r="P14" i="25"/>
  <c r="P13" i="25" s="1"/>
  <c r="M19" i="25"/>
  <c r="M13" i="32" s="1"/>
  <c r="M49" i="32" s="1"/>
  <c r="M51" i="32" s="1"/>
  <c r="O11" i="26" l="1"/>
  <c r="P19" i="26"/>
  <c r="P78" i="26" s="1"/>
  <c r="H54" i="32"/>
  <c r="H20" i="32" s="1"/>
  <c r="H21" i="32" s="1"/>
  <c r="H22" i="32" s="1"/>
  <c r="I49" i="32"/>
  <c r="I51" i="32" s="1"/>
  <c r="I52" i="32"/>
  <c r="J52" i="32" s="1"/>
  <c r="K52" i="32" s="1"/>
  <c r="L52" i="32" s="1"/>
  <c r="M52" i="32" s="1"/>
  <c r="C9" i="35"/>
  <c r="O28" i="20"/>
  <c r="G5" i="35"/>
  <c r="Q19" i="26"/>
  <c r="Q78" i="26" s="1"/>
  <c r="P11" i="26"/>
  <c r="G3" i="35"/>
  <c r="N41" i="20"/>
  <c r="K15" i="20"/>
  <c r="D4" i="35"/>
  <c r="M42" i="20"/>
  <c r="M43" i="20" s="1"/>
  <c r="AS53" i="20" s="1"/>
  <c r="F2" i="35"/>
  <c r="D9" i="35"/>
  <c r="L29" i="20"/>
  <c r="AR53" i="20"/>
  <c r="N72" i="26"/>
  <c r="G2" i="35" s="1"/>
  <c r="M9" i="20"/>
  <c r="M14" i="20" s="1"/>
  <c r="Q12" i="25"/>
  <c r="Q14" i="25" s="1"/>
  <c r="Q13" i="25" s="1"/>
  <c r="N19" i="25" l="1"/>
  <c r="J33" i="52"/>
  <c r="H33" i="52" s="1"/>
  <c r="M54" i="32"/>
  <c r="M20" i="32" s="1"/>
  <c r="M21" i="32" s="1"/>
  <c r="M22" i="32" s="1"/>
  <c r="I54" i="32"/>
  <c r="I20" i="32" s="1"/>
  <c r="I21" i="32" s="1"/>
  <c r="I22" i="32" s="1"/>
  <c r="K54" i="32"/>
  <c r="K20" i="32" s="1"/>
  <c r="K21" i="32" s="1"/>
  <c r="K22" i="32" s="1"/>
  <c r="J54" i="32"/>
  <c r="J20" i="32" s="1"/>
  <c r="J21" i="32" s="1"/>
  <c r="J22" i="32" s="1"/>
  <c r="L54" i="32"/>
  <c r="L20" i="32" s="1"/>
  <c r="L21" i="32" s="1"/>
  <c r="L22" i="32" s="1"/>
  <c r="P28" i="20"/>
  <c r="H5" i="35"/>
  <c r="R19" i="26"/>
  <c r="R78" i="26" s="1"/>
  <c r="Q11" i="26"/>
  <c r="H3" i="35"/>
  <c r="O41" i="20"/>
  <c r="O11" i="25"/>
  <c r="O19" i="25" s="1"/>
  <c r="M29" i="20"/>
  <c r="AS54" i="20"/>
  <c r="L15" i="20"/>
  <c r="E4" i="35"/>
  <c r="N13" i="32"/>
  <c r="N49" i="32" s="1"/>
  <c r="C8" i="35"/>
  <c r="P20" i="25"/>
  <c r="E9" i="35" s="1"/>
  <c r="N42" i="20"/>
  <c r="N43" i="20" s="1"/>
  <c r="N29" i="20" s="1"/>
  <c r="O72" i="26"/>
  <c r="N9" i="20"/>
  <c r="N14" i="20" s="1"/>
  <c r="R12" i="25"/>
  <c r="R14" i="25" s="1"/>
  <c r="R13" i="25" s="1"/>
  <c r="O13" i="32" l="1"/>
  <c r="O49" i="32" s="1"/>
  <c r="Q21" i="32"/>
  <c r="Q22" i="32" s="1"/>
  <c r="F17" i="35" s="1"/>
  <c r="N21" i="32"/>
  <c r="N22" i="32" s="1"/>
  <c r="C17" i="35" s="1"/>
  <c r="Q28" i="20"/>
  <c r="I5" i="35"/>
  <c r="S19" i="26"/>
  <c r="S78" i="26" s="1"/>
  <c r="R11" i="26"/>
  <c r="I3" i="35"/>
  <c r="P41" i="20"/>
  <c r="D8" i="35"/>
  <c r="M15" i="20"/>
  <c r="F4" i="35"/>
  <c r="O42" i="20"/>
  <c r="O43" i="20" s="1"/>
  <c r="AU53" i="20" s="1"/>
  <c r="H2" i="35"/>
  <c r="Q20" i="25"/>
  <c r="F9" i="35" s="1"/>
  <c r="P11" i="25"/>
  <c r="P19" i="25" s="1"/>
  <c r="AT53" i="20"/>
  <c r="AT54" i="20"/>
  <c r="P72" i="26"/>
  <c r="O9" i="20"/>
  <c r="O14" i="20" s="1"/>
  <c r="S12" i="25"/>
  <c r="S14" i="25" s="1"/>
  <c r="S13" i="25" s="1"/>
  <c r="N12" i="32" l="1"/>
  <c r="N50" i="32" s="1"/>
  <c r="R21" i="32"/>
  <c r="R22" i="32" s="1"/>
  <c r="G17" i="35" s="1"/>
  <c r="U21" i="32"/>
  <c r="O21" i="32"/>
  <c r="O22" i="32" s="1"/>
  <c r="D17" i="35" s="1"/>
  <c r="J5" i="35"/>
  <c r="R28" i="20"/>
  <c r="T19" i="26"/>
  <c r="T78" i="26" s="1"/>
  <c r="S11" i="26"/>
  <c r="J3" i="35"/>
  <c r="Q41" i="20"/>
  <c r="AU54" i="20"/>
  <c r="O29" i="20"/>
  <c r="P42" i="20"/>
  <c r="P43" i="20" s="1"/>
  <c r="P29" i="20" s="1"/>
  <c r="I2" i="35"/>
  <c r="N15" i="20"/>
  <c r="G4" i="35"/>
  <c r="P13" i="32"/>
  <c r="P49" i="32" s="1"/>
  <c r="E8" i="35"/>
  <c r="R20" i="25"/>
  <c r="G9" i="35" s="1"/>
  <c r="Q11" i="25"/>
  <c r="Q19" i="25" s="1"/>
  <c r="Q72" i="26"/>
  <c r="P9" i="20"/>
  <c r="P14" i="20" s="1"/>
  <c r="T12" i="25"/>
  <c r="T14" i="25" s="1"/>
  <c r="T13" i="25" s="1"/>
  <c r="Y21" i="32" l="1"/>
  <c r="Y22" i="32" s="1"/>
  <c r="N17" i="35" s="1"/>
  <c r="U22" i="32"/>
  <c r="J17" i="35" s="1"/>
  <c r="O12" i="32"/>
  <c r="V21" i="32"/>
  <c r="V22" i="32" s="1"/>
  <c r="K17" i="35" s="1"/>
  <c r="S21" i="32"/>
  <c r="S22" i="32" s="1"/>
  <c r="H17" i="35" s="1"/>
  <c r="P21" i="32"/>
  <c r="P22" i="32" s="1"/>
  <c r="E17" i="35" s="1"/>
  <c r="S28" i="20"/>
  <c r="K5" i="35"/>
  <c r="U19" i="26"/>
  <c r="T11" i="26"/>
  <c r="K3" i="35"/>
  <c r="R41" i="20"/>
  <c r="AV54" i="20"/>
  <c r="AV53" i="20"/>
  <c r="Q42" i="20"/>
  <c r="Q43" i="20" s="1"/>
  <c r="AW53" i="20" s="1"/>
  <c r="J2" i="35"/>
  <c r="Q13" i="32"/>
  <c r="Q49" i="32" s="1"/>
  <c r="F8" i="35"/>
  <c r="O15" i="20"/>
  <c r="H4" i="35"/>
  <c r="S20" i="25"/>
  <c r="H9" i="35" s="1"/>
  <c r="R11" i="25"/>
  <c r="R19" i="25" s="1"/>
  <c r="R72" i="26"/>
  <c r="Q9" i="20"/>
  <c r="Q14" i="20" s="1"/>
  <c r="U12" i="25"/>
  <c r="O50" i="32" l="1"/>
  <c r="T21" i="32"/>
  <c r="T22" i="32" s="1"/>
  <c r="I17" i="35" s="1"/>
  <c r="P12" i="32"/>
  <c r="W21" i="32"/>
  <c r="W22" i="32" s="1"/>
  <c r="L17" i="35" s="1"/>
  <c r="L5" i="35"/>
  <c r="T28" i="20"/>
  <c r="U11" i="26"/>
  <c r="U78" i="26"/>
  <c r="L3" i="35"/>
  <c r="S41" i="20"/>
  <c r="U14" i="25"/>
  <c r="U13" i="25" s="1"/>
  <c r="V12" i="25"/>
  <c r="Q29" i="20"/>
  <c r="AW54" i="20"/>
  <c r="Q12" i="32"/>
  <c r="Q50" i="32" s="1"/>
  <c r="K2" i="35"/>
  <c r="R42" i="20"/>
  <c r="R43" i="20" s="1"/>
  <c r="R29" i="20" s="1"/>
  <c r="R13" i="32"/>
  <c r="R49" i="32" s="1"/>
  <c r="G8" i="35"/>
  <c r="P15" i="20"/>
  <c r="I4" i="35"/>
  <c r="R9" i="20"/>
  <c r="R14" i="20" s="1"/>
  <c r="T20" i="25"/>
  <c r="I9" i="35" s="1"/>
  <c r="S11" i="25"/>
  <c r="S19" i="25" s="1"/>
  <c r="S72" i="26"/>
  <c r="P50" i="32" l="1"/>
  <c r="X21" i="32"/>
  <c r="X22" i="32" s="1"/>
  <c r="M17" i="35" s="1"/>
  <c r="M5" i="35"/>
  <c r="U28" i="20"/>
  <c r="N5" i="35" s="1"/>
  <c r="M3" i="35"/>
  <c r="T41" i="20"/>
  <c r="W12" i="25"/>
  <c r="V14" i="25"/>
  <c r="V13" i="25" s="1"/>
  <c r="L2" i="35"/>
  <c r="S42" i="20"/>
  <c r="S43" i="20" s="1"/>
  <c r="S29" i="20" s="1"/>
  <c r="R12" i="32"/>
  <c r="R50" i="32" s="1"/>
  <c r="S13" i="32"/>
  <c r="S49" i="32" s="1"/>
  <c r="H8" i="35"/>
  <c r="Q15" i="20"/>
  <c r="J4" i="35"/>
  <c r="S9" i="20"/>
  <c r="S14" i="20" s="1"/>
  <c r="U20" i="25"/>
  <c r="T11" i="25"/>
  <c r="T19" i="25" s="1"/>
  <c r="U72" i="26"/>
  <c r="T72" i="26"/>
  <c r="N3" i="35" l="1"/>
  <c r="U41" i="20"/>
  <c r="J9" i="35"/>
  <c r="V20" i="25"/>
  <c r="X12" i="25"/>
  <c r="W14" i="25"/>
  <c r="W13" i="25" s="1"/>
  <c r="N2" i="35"/>
  <c r="U42" i="20"/>
  <c r="T13" i="32"/>
  <c r="T49" i="32" s="1"/>
  <c r="I8" i="35"/>
  <c r="S12" i="32"/>
  <c r="S50" i="32" s="1"/>
  <c r="M2" i="35"/>
  <c r="T42" i="20"/>
  <c r="T43" i="20" s="1"/>
  <c r="T29" i="20" s="1"/>
  <c r="R15" i="20"/>
  <c r="K4" i="35"/>
  <c r="T9" i="20"/>
  <c r="T14" i="20" s="1"/>
  <c r="U11" i="25"/>
  <c r="U19" i="25" s="1"/>
  <c r="BI16" i="5"/>
  <c r="BH16" i="5"/>
  <c r="BG16" i="5"/>
  <c r="BF16" i="5"/>
  <c r="BE16" i="5"/>
  <c r="BD16" i="5"/>
  <c r="BC16" i="5"/>
  <c r="BB16" i="5"/>
  <c r="AX16" i="5"/>
  <c r="BJ16" i="5"/>
  <c r="AO16" i="5"/>
  <c r="AW16" i="5"/>
  <c r="AS16" i="5"/>
  <c r="AV16" i="5"/>
  <c r="AR16" i="5"/>
  <c r="AQ16" i="5"/>
  <c r="AU16" i="5"/>
  <c r="AN16" i="5"/>
  <c r="C66" i="26" s="1"/>
  <c r="AM16" i="5"/>
  <c r="AL16" i="5"/>
  <c r="C63" i="26" s="1"/>
  <c r="C44" i="26" s="1"/>
  <c r="AT16" i="5"/>
  <c r="AK16" i="5"/>
  <c r="AP16" i="5"/>
  <c r="AJ16" i="5"/>
  <c r="AI16" i="5"/>
  <c r="AH16" i="5"/>
  <c r="AG16" i="5"/>
  <c r="AF16" i="5"/>
  <c r="AE16" i="5"/>
  <c r="AD16" i="5"/>
  <c r="AC16" i="5"/>
  <c r="AB16" i="5"/>
  <c r="AA16" i="5"/>
  <c r="Z16" i="5"/>
  <c r="Y16" i="5"/>
  <c r="X16" i="5"/>
  <c r="W16" i="5"/>
  <c r="V16" i="5"/>
  <c r="U16" i="5"/>
  <c r="T16" i="5"/>
  <c r="S16" i="5"/>
  <c r="R16" i="5"/>
  <c r="Q16" i="5"/>
  <c r="P16" i="5"/>
  <c r="O16" i="5"/>
  <c r="C65" i="26" l="1"/>
  <c r="K16" i="5"/>
  <c r="U43" i="20"/>
  <c r="U29" i="20" s="1"/>
  <c r="C48" i="26"/>
  <c r="Y12" i="25"/>
  <c r="X14" i="25"/>
  <c r="X13" i="25" s="1"/>
  <c r="K9" i="35"/>
  <c r="W20" i="25"/>
  <c r="W11" i="25" s="1"/>
  <c r="W19" i="25" s="1"/>
  <c r="V11" i="25"/>
  <c r="V19" i="25" s="1"/>
  <c r="C64" i="26"/>
  <c r="C45" i="26" s="1"/>
  <c r="E45" i="26" s="1"/>
  <c r="N16" i="5"/>
  <c r="U13" i="32"/>
  <c r="U49" i="32" s="1"/>
  <c r="J8" i="35"/>
  <c r="S15" i="20"/>
  <c r="L4" i="35"/>
  <c r="T12" i="32"/>
  <c r="T50" i="32" s="1"/>
  <c r="C62" i="26"/>
  <c r="E44" i="26"/>
  <c r="U9" i="20"/>
  <c r="U14" i="20" s="1"/>
  <c r="L8" i="35" l="1"/>
  <c r="V13" i="32"/>
  <c r="V49" i="32" s="1"/>
  <c r="X20" i="25"/>
  <c r="L9" i="35"/>
  <c r="W13" i="32"/>
  <c r="W49" i="32" s="1"/>
  <c r="Y14" i="25"/>
  <c r="Y13" i="25" s="1"/>
  <c r="U15" i="20"/>
  <c r="N4" i="35"/>
  <c r="T15" i="20"/>
  <c r="M4" i="35"/>
  <c r="U12" i="32"/>
  <c r="U50" i="32" s="1"/>
  <c r="C47" i="26"/>
  <c r="C61" i="26"/>
  <c r="C50" i="26" s="1"/>
  <c r="M33" i="26"/>
  <c r="M18" i="26" s="1"/>
  <c r="J33" i="26"/>
  <c r="K8" i="35" l="1"/>
  <c r="V33" i="26"/>
  <c r="W18" i="26" s="1"/>
  <c r="W20" i="26" s="1"/>
  <c r="J18" i="26"/>
  <c r="V18" i="26" s="1"/>
  <c r="V20" i="26" s="1"/>
  <c r="Y20" i="25"/>
  <c r="M9" i="35"/>
  <c r="X11" i="25"/>
  <c r="X19" i="25" s="1"/>
  <c r="W12" i="32"/>
  <c r="W50" i="32" s="1"/>
  <c r="V12" i="32"/>
  <c r="V50" i="32" s="1"/>
  <c r="E47" i="26"/>
  <c r="E42" i="26" s="1"/>
  <c r="C42" i="26"/>
  <c r="M11" i="26"/>
  <c r="M32" i="26"/>
  <c r="J32" i="26"/>
  <c r="J11" i="26" l="1"/>
  <c r="M8" i="35"/>
  <c r="V32" i="26"/>
  <c r="N9" i="35"/>
  <c r="Y11" i="25"/>
  <c r="Y19" i="25" s="1"/>
  <c r="N8" i="35" l="1"/>
  <c r="X13" i="32"/>
  <c r="X12" i="32" s="1"/>
  <c r="X50" i="32" s="1"/>
  <c r="Y13" i="32"/>
  <c r="X49" i="32" l="1"/>
  <c r="Y49" i="32"/>
  <c r="Y12" i="32"/>
  <c r="Y50" i="32" l="1"/>
  <c r="F12" i="30" l="1"/>
  <c r="O12" i="49"/>
  <c r="P12" i="49" s="1"/>
  <c r="L27" i="49" s="1"/>
  <c r="K27" i="49"/>
  <c r="J29" i="49"/>
  <c r="J10" i="26" s="1"/>
  <c r="J9" i="26" s="1"/>
  <c r="C10" i="35"/>
  <c r="N12" i="49"/>
  <c r="J27" i="49"/>
  <c r="J25" i="49"/>
  <c r="K25" i="49" s="1"/>
  <c r="J29" i="32"/>
  <c r="J30" i="32"/>
  <c r="J31" i="32"/>
  <c r="L25" i="49" l="1"/>
  <c r="K29" i="32"/>
  <c r="K30" i="32" s="1"/>
  <c r="K31" i="32" s="1"/>
  <c r="K28" i="49"/>
  <c r="L28" i="49"/>
  <c r="J30" i="49"/>
  <c r="L29" i="49" l="1"/>
  <c r="E11" i="35"/>
  <c r="D11" i="35"/>
  <c r="K29" i="49"/>
  <c r="M25" i="49"/>
  <c r="L30" i="49"/>
  <c r="L29" i="32"/>
  <c r="L30" i="32" s="1"/>
  <c r="L31" i="32" s="1"/>
  <c r="M29" i="32" l="1"/>
  <c r="M30" i="32" s="1"/>
  <c r="N25" i="49"/>
  <c r="K10" i="26"/>
  <c r="K9" i="26" s="1"/>
  <c r="D10" i="35"/>
  <c r="K30" i="49"/>
  <c r="L10" i="26"/>
  <c r="L9" i="26" s="1"/>
  <c r="E10" i="35"/>
  <c r="G48" i="49" l="1"/>
  <c r="O25" i="49"/>
  <c r="N29" i="32"/>
  <c r="M31" i="32"/>
  <c r="N30" i="32"/>
  <c r="P25" i="49" l="1"/>
  <c r="O29" i="32"/>
  <c r="O30" i="32"/>
  <c r="N31" i="32"/>
  <c r="C18" i="35"/>
  <c r="N28" i="32"/>
  <c r="Q12" i="49"/>
  <c r="S12" i="49"/>
  <c r="O27" i="49" s="1"/>
  <c r="O28" i="49" s="1"/>
  <c r="R12" i="49" l="1"/>
  <c r="N27" i="49" s="1"/>
  <c r="N28" i="49" s="1"/>
  <c r="M27" i="49"/>
  <c r="M28" i="49" s="1"/>
  <c r="O28" i="32"/>
  <c r="O29" i="49"/>
  <c r="H11" i="35"/>
  <c r="D18" i="35"/>
  <c r="P30" i="32"/>
  <c r="O31" i="32"/>
  <c r="P29" i="32"/>
  <c r="Q25" i="49"/>
  <c r="Q29" i="32" l="1"/>
  <c r="R25" i="49"/>
  <c r="Q30" i="32"/>
  <c r="E18" i="35"/>
  <c r="P31" i="32"/>
  <c r="M29" i="49"/>
  <c r="F11" i="35"/>
  <c r="P28" i="32"/>
  <c r="H10" i="35"/>
  <c r="O10" i="26"/>
  <c r="O9" i="26" s="1"/>
  <c r="O30" i="49"/>
  <c r="H32" i="52"/>
  <c r="N29" i="49"/>
  <c r="G11" i="35"/>
  <c r="R29" i="32" l="1"/>
  <c r="S25" i="49"/>
  <c r="F10" i="35"/>
  <c r="M10" i="26"/>
  <c r="M9" i="26" s="1"/>
  <c r="M30" i="49"/>
  <c r="Q28" i="32"/>
  <c r="Q31" i="32"/>
  <c r="F18" i="35"/>
  <c r="R30" i="32"/>
  <c r="N10" i="26"/>
  <c r="N9" i="26" s="1"/>
  <c r="G10" i="35"/>
  <c r="N30" i="49"/>
  <c r="G18" i="35" l="1"/>
  <c r="R31" i="32"/>
  <c r="S30" i="32"/>
  <c r="T25" i="49"/>
  <c r="H48" i="49"/>
  <c r="T12" i="49" s="1"/>
  <c r="S29" i="32"/>
  <c r="S28" i="32" s="1"/>
  <c r="R28" i="32"/>
  <c r="P27" i="49" l="1"/>
  <c r="P28" i="49" s="1"/>
  <c r="U12" i="49"/>
  <c r="H18" i="35"/>
  <c r="S31" i="32"/>
  <c r="T30" i="32"/>
  <c r="T29" i="32"/>
  <c r="U25" i="49"/>
  <c r="I48" i="49"/>
  <c r="U29" i="32" l="1"/>
  <c r="T28" i="32"/>
  <c r="Q27" i="49"/>
  <c r="Q28" i="49" s="1"/>
  <c r="V12" i="49"/>
  <c r="U30" i="32"/>
  <c r="T31" i="32"/>
  <c r="I18" i="35"/>
  <c r="I11" i="35"/>
  <c r="P29" i="49"/>
  <c r="I10" i="35" l="1"/>
  <c r="P10" i="26"/>
  <c r="P9" i="26" s="1"/>
  <c r="P30" i="49"/>
  <c r="U31" i="32"/>
  <c r="J18" i="35"/>
  <c r="V30" i="32"/>
  <c r="U28" i="32"/>
  <c r="W12" i="49"/>
  <c r="R27" i="49"/>
  <c r="R28" i="49" s="1"/>
  <c r="J11" i="35"/>
  <c r="Q29" i="49"/>
  <c r="K18" i="35" l="1"/>
  <c r="V31" i="32"/>
  <c r="V28" i="32"/>
  <c r="W30" i="32"/>
  <c r="J10" i="35"/>
  <c r="Q10" i="26"/>
  <c r="Q9" i="26" s="1"/>
  <c r="Q30" i="49"/>
  <c r="R29" i="49"/>
  <c r="K11" i="35"/>
  <c r="S27" i="49"/>
  <c r="S28" i="49" s="1"/>
  <c r="X12" i="49"/>
  <c r="Y12" i="49" l="1"/>
  <c r="U27" i="49" s="1"/>
  <c r="U28" i="49" s="1"/>
  <c r="T27" i="49"/>
  <c r="T28" i="49" s="1"/>
  <c r="L11" i="35"/>
  <c r="S29" i="49"/>
  <c r="K10" i="35"/>
  <c r="R10" i="26"/>
  <c r="R9" i="26" s="1"/>
  <c r="R30" i="49"/>
  <c r="X30" i="32"/>
  <c r="W28" i="32"/>
  <c r="L18" i="35"/>
  <c r="W31" i="32"/>
  <c r="X31" i="32" l="1"/>
  <c r="X28" i="32"/>
  <c r="Y30" i="32"/>
  <c r="M18" i="35"/>
  <c r="T29" i="49"/>
  <c r="M11" i="35"/>
  <c r="L10" i="35"/>
  <c r="S10" i="26"/>
  <c r="S9" i="26" s="1"/>
  <c r="S30" i="49"/>
  <c r="U29" i="49"/>
  <c r="N11" i="35"/>
  <c r="U10" i="26" l="1"/>
  <c r="U9" i="26" s="1"/>
  <c r="N10" i="35"/>
  <c r="U30" i="49"/>
  <c r="T10" i="26"/>
  <c r="T9" i="26" s="1"/>
  <c r="M10" i="35"/>
  <c r="T30" i="49"/>
  <c r="N18" i="35"/>
  <c r="Y28" i="32"/>
  <c r="Y31"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tc={86B52C28-61FA-49B1-91B8-C7F47891C7DA}</author>
  </authors>
  <commentList>
    <comment ref="C52"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3"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4"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92" authorId="3" shapeId="0" xr:uid="{86B52C28-61FA-49B1-91B8-C7F47891C7DA}">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tc={740ECA18-D6DC-4F42-982C-CBA3C5290FBF}</author>
    <author>tc={1C07D7AD-E31D-4773-BE5C-B49586DCA617}</author>
  </authors>
  <commentList>
    <comment ref="B10"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1"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H47"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H48"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H50"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H51"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tc={FB38E986-39DB-4FBC-84F6-51B3AEAC8601}</author>
  </authors>
  <commentList>
    <comment ref="B26" authorId="0"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2"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CBO February 2021 Ten-Year Budget Projections, Table 1-3, Line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tc={D7348167-3C82-468E-B4C0-6427D8E833D4}</author>
    <author>tc={6EED6AD3-62EA-4002-BA5A-3406F4C9F84C}</author>
  </authors>
  <commentList>
    <comment ref="J52" authorId="0"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1"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tc={9B79EC37-D08B-4714-83D3-11420A1EE2A1}</author>
  </authors>
  <commentList>
    <comment ref="B87" authorId="0"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tc={3A4B33CB-C1E6-4A27-9D1E-0EA5418D3346}</author>
  </authors>
  <commentList>
    <comment ref="O14" authorId="0" shapeId="0" xr:uid="{3A4B33CB-C1E6-4A27-9D1E-0EA5418D3346}">
      <text>
        <t>[Threaded comment]
Your version of Excel allows you to read this threaded comment; however, any edits to it will get removed if the file is opened in a newer version of Excel. Learn more: https://go.microsoft.com/fwlink/?linkid=870924
Comment:
    Total amount legislated. Our score should total to this.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<sst xmlns="http://schemas.openxmlformats.org/spreadsheetml/2006/main" count="2121" uniqueCount="1127">
  <si>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</si>
  <si>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</si>
  <si>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</si>
  <si>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</si>
  <si>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</si>
  <si>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</si>
  <si>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</si>
  <si>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</si>
  <si>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</si>
  <si>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</si>
  <si>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</si>
  <si>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</si>
  <si>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</si>
  <si>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</si>
  <si>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</si>
  <si>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</si>
  <si>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</si>
  <si>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</si>
  <si>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</si>
  <si>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</si>
  <si>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</si>
  <si>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</si>
  <si>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</si>
  <si>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</si>
  <si>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</si>
  <si>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</si>
  <si>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</si>
  <si>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</si>
  <si>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</si>
  <si>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</si>
  <si>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</si>
  <si>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</si>
  <si>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</si>
  <si>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</si>
  <si>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</si>
  <si>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</si>
  <si>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</si>
  <si>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</si>
  <si>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</si>
  <si>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</si>
  <si>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</si>
  <si>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</si>
  <si>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</si>
  <si>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</si>
  <si>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</si>
  <si>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</si>
  <si>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</si>
  <si>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</si>
  <si>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</si>
  <si>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</si>
  <si>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</si>
  <si>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</si>
  <si>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</si>
  <si>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</si>
  <si>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</si>
  <si>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</si>
  <si>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</si>
  <si>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</si>
  <si>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</si>
  <si>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</si>
  <si>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</si>
  <si>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</si>
  <si>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</si>
  <si>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</si>
  <si>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</si>
  <si>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</si>
  <si>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</si>
  <si>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</si>
  <si>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</si>
  <si>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</si>
  <si>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</si>
  <si>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</si>
  <si>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</si>
  <si>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</si>
  <si>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</si>
  <si>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</si>
  <si>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</si>
  <si>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</si>
  <si>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</si>
  <si>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</si>
  <si>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</si>
  <si>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</si>
  <si>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</si>
  <si>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</si>
  <si>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</si>
  <si>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</si>
  <si>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</si>
  <si>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</si>
  <si>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</si>
  <si>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</si>
  <si>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</si>
  <si>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</si>
  <si>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</si>
  <si>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</si>
  <si>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</si>
  <si>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</si>
  <si>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</si>
  <si>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</si>
  <si>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</si>
  <si>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</si>
  <si>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</si>
  <si>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</si>
  <si>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</si>
  <si>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</si>
  <si>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</si>
  <si>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</si>
  <si>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</si>
  <si>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</si>
  <si>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</si>
  <si>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</si>
  <si>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</si>
  <si>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</si>
  <si>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</si>
  <si>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</si>
  <si>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</si>
  <si>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</si>
  <si>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</si>
  <si>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</si>
  <si>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</si>
  <si>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</si>
  <si>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</si>
  <si>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</si>
  <si>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</si>
  <si>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</si>
  <si>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</si>
  <si>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</si>
  <si>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</si>
  <si>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</si>
  <si>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</si>
  <si>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</si>
  <si>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</si>
  <si>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</si>
  <si>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</si>
  <si>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</si>
  <si>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</si>
  <si>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</si>
  <si>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</si>
  <si>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</si>
  <si>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</si>
  <si>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</si>
  <si>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</si>
  <si>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</si>
  <si>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</si>
  <si>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</si>
  <si>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</si>
  <si>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</si>
  <si>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</si>
  <si>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</si>
  <si>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</si>
  <si>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</si>
  <si>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</si>
  <si>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</si>
  <si>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</si>
  <si>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</si>
  <si>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</si>
  <si>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</si>
  <si>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</si>
  <si>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</si>
  <si>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</si>
  <si>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</si>
  <si>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</si>
  <si>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</si>
  <si>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</si>
  <si>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</si>
  <si>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ui</t>
  </si>
  <si>
    <t>2023 Q4</t>
  </si>
  <si>
    <t>2024 Q1</t>
  </si>
  <si>
    <t>2024 Q2</t>
  </si>
  <si>
    <t>2024 Q3</t>
  </si>
  <si>
    <t>2024 Q4</t>
  </si>
  <si>
    <t>2025 Q1</t>
  </si>
  <si>
    <t>2025 Q2</t>
  </si>
  <si>
    <t>2025 Q3</t>
  </si>
  <si>
    <t>2025 Q4</t>
  </si>
  <si>
    <t>Total Grants</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</si>
  <si>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</si>
  <si>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</si>
  <si>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</si>
  <si>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</si>
  <si>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</si>
  <si>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</si>
  <si>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</si>
  <si>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</si>
  <si>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</si>
  <si>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</si>
  <si>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Rebate checks</t>
  </si>
  <si>
    <t>Deflators</t>
  </si>
  <si>
    <t>Call cell in each specific sheet that updates the comments</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</si>
  <si>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</si>
  <si>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</si>
  <si>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</si>
  <si>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</si>
  <si>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</si>
  <si>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</si>
  <si>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</si>
  <si>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</si>
  <si>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</si>
  <si>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</si>
  <si>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</si>
  <si>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</si>
  <si>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</si>
  <si>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</si>
  <si>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</si>
  <si>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</si>
  <si>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</si>
  <si>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</si>
  <si>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</si>
  <si>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</si>
  <si>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</si>
  <si>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</si>
  <si>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</si>
  <si>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</si>
  <si>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</si>
  <si>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</si>
  <si>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</si>
  <si>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</si>
  <si>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</si>
  <si>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</si>
  <si>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</si>
  <si>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</si>
  <si>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</si>
  <si>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</si>
  <si>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</si>
  <si>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</si>
  <si>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</si>
  <si>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</si>
  <si>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</si>
  <si>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</si>
  <si>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</si>
  <si>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</si>
  <si>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</si>
  <si>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</si>
  <si>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</si>
  <si>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</si>
  <si>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</si>
  <si>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</si>
  <si>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</si>
  <si>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</si>
  <si>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</si>
  <si>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</si>
  <si>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</si>
  <si>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</si>
  <si>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</si>
  <si>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</si>
  <si>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</si>
  <si>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</si>
  <si>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</si>
  <si>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</si>
  <si>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</si>
  <si>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</si>
  <si>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</si>
  <si>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</si>
  <si>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</si>
  <si>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</si>
  <si>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</si>
  <si>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</si>
  <si>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</si>
  <si>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</si>
  <si>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</si>
  <si>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</si>
  <si>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</si>
  <si>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</si>
  <si>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</si>
  <si>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</si>
  <si>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</si>
  <si>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</si>
  <si>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</si>
  <si>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</si>
  <si>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</si>
  <si>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</si>
  <si>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</si>
  <si>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</si>
  <si>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</si>
  <si>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</si>
  <si>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</si>
  <si>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</si>
  <si>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</si>
  <si>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</si>
  <si>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</si>
  <si>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</si>
  <si>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</si>
  <si>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</si>
  <si>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</si>
  <si>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</si>
  <si>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</si>
  <si>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</si>
  <si>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</si>
  <si>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</si>
  <si>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</si>
  <si>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</si>
  <si>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</si>
  <si>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</si>
  <si>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CBO Federal Purchases Growth (annualized)</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</si>
  <si>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</si>
  <si>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</si>
  <si>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</si>
  <si>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</si>
  <si>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</si>
  <si>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</si>
  <si>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</si>
  <si>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</si>
  <si>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</si>
  <si>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</si>
  <si>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</si>
  <si>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</si>
  <si>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</si>
  <si>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</si>
  <si>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</si>
  <si>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</si>
  <si>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</si>
  <si>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</si>
  <si>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</si>
  <si>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</si>
  <si>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</si>
  <si>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 xml:space="preserve">CBO Projection of Federal Purchases </t>
  </si>
  <si>
    <r>
      <rPr>
        <b/>
        <sz val="11"/>
        <color theme="1"/>
        <rFont val="Arial"/>
        <family val="2"/>
      </rPr>
      <t xml:space="preserve">Methodology: </t>
    </r>
    <r>
      <rPr>
        <sz val="11"/>
        <color theme="1"/>
        <rFont val="Arial"/>
        <family val="2"/>
      </rPr>
      <t xml:space="preserve">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</si>
  <si>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</si>
  <si>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</si>
  <si>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</si>
  <si>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</si>
  <si>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</si>
  <si>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</si>
  <si>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</si>
  <si>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</si>
  <si>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</si>
  <si>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</si>
  <si>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</si>
  <si>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</si>
  <si>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</si>
  <si>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</si>
  <si>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</si>
  <si>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</si>
  <si>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</si>
  <si>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</si>
  <si>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</si>
  <si>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</si>
  <si>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</si>
  <si>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</si>
  <si>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</si>
  <si>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</si>
  <si>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</si>
  <si>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</si>
  <si>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</si>
  <si>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</si>
  <si>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</si>
  <si>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</si>
  <si>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</si>
  <si>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</si>
  <si>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</si>
  <si>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</si>
  <si>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</si>
  <si>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</si>
  <si>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</si>
  <si>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</si>
  <si>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</si>
  <si>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</si>
  <si>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</si>
  <si>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</si>
  <si>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</si>
  <si>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</si>
  <si>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</si>
  <si>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</si>
  <si>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</si>
  <si>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</si>
  <si>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</si>
  <si>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</si>
  <si>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</si>
  <si>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</si>
  <si>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</si>
  <si>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</si>
  <si>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</si>
  <si>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</si>
  <si>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</si>
  <si>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</si>
  <si>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</si>
  <si>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</si>
  <si>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</si>
  <si>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</si>
  <si>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</si>
  <si>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</si>
  <si>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</si>
  <si>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</si>
  <si>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</si>
  <si>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</si>
  <si>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</si>
  <si>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</si>
  <si>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</si>
  <si>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</si>
  <si>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</si>
  <si>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</si>
  <si>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</si>
  <si>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</si>
  <si>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</si>
  <si>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</si>
  <si>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</si>
  <si>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</si>
  <si>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</si>
  <si>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</si>
  <si>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</si>
  <si>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</si>
  <si>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</si>
  <si>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</si>
  <si>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</si>
  <si>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</si>
  <si>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</si>
  <si>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</si>
  <si>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</si>
  <si>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</si>
  <si>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</si>
  <si>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</si>
  <si>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</si>
  <si>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</si>
  <si>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</si>
  <si>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</si>
  <si>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</si>
  <si>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</si>
  <si>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</si>
  <si>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</si>
  <si>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</si>
  <si>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</si>
  <si>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Comment needed here.</t>
  </si>
  <si>
    <t>Table 1</t>
  </si>
  <si>
    <t>Table 2</t>
  </si>
  <si>
    <t>Table 3</t>
  </si>
  <si>
    <t>Table 4</t>
  </si>
  <si>
    <t>We anticipate that BEA will add this fund as a separate category; until the data comes in, we assume 40% goes out in Q1, 60% the next year. See "tranching of funds" in link to the right.</t>
  </si>
  <si>
    <t>Spending assumptions come from ARP quarterly.</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</si>
  <si>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</si>
  <si>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</si>
  <si>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t>With the exception of the Coronavirus Fiscal Recovery Fund, our ARP disbursement assumptions come from our ARP score, timing assumptions and ARP grants MPC for spending (see ARP Score, ARP Timing and ARP Quarterly).</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</si>
  <si>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</si>
  <si>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</si>
  <si>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</si>
  <si>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</si>
  <si>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</si>
  <si>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</si>
  <si>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</si>
  <si>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</si>
  <si>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</si>
  <si>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</si>
  <si>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</si>
  <si>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</si>
  <si>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</si>
  <si>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</si>
  <si>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</si>
  <si>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</si>
  <si>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</si>
  <si>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</si>
  <si>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</si>
  <si>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</si>
  <si>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</si>
  <si>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</si>
  <si>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</si>
  <si>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CBO Annual Medicare Spending</t>
  </si>
  <si>
    <t>Total Rebate Checks
(ARP + non-ARP)</t>
  </si>
  <si>
    <t>Total Unemployment Insurance
(Federal + State)</t>
  </si>
  <si>
    <t>Total Medicaid (Federal + State)</t>
  </si>
  <si>
    <t>Other Direct Aid</t>
  </si>
  <si>
    <t xml:space="preserve">Q3 </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</si>
  <si>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</si>
  <si>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</si>
  <si>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</si>
  <si>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</si>
  <si>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</si>
  <si>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</si>
  <si>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</si>
  <si>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</si>
  <si>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</si>
  <si>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</si>
  <si>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</si>
  <si>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</si>
  <si>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</si>
  <si>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</si>
  <si>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</si>
  <si>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</si>
  <si>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</si>
  <si>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</si>
  <si>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</si>
  <si>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</si>
  <si>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</si>
  <si>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</si>
  <si>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</si>
  <si>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</si>
  <si>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</si>
  <si>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</si>
  <si>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</si>
  <si>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</si>
  <si>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</si>
  <si>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</si>
  <si>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</si>
  <si>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</si>
  <si>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</si>
  <si>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</si>
  <si>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</si>
  <si>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</si>
  <si>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</si>
  <si>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</si>
  <si>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</si>
  <si>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</si>
  <si>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</si>
  <si>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</si>
  <si>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</si>
  <si>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</si>
  <si>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</si>
  <si>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</si>
  <si>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</si>
  <si>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</si>
  <si>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</si>
  <si>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</si>
  <si>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</si>
  <si>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</si>
  <si>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</si>
  <si>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</si>
  <si>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</si>
  <si>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</si>
  <si>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</si>
  <si>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</si>
  <si>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</si>
  <si>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</si>
  <si>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</si>
  <si>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</si>
  <si>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</si>
  <si>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</si>
  <si>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</si>
  <si>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</si>
  <si>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</si>
  <si>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</si>
  <si>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</si>
  <si>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</si>
  <si>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</si>
  <si>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</si>
  <si>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</si>
  <si>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</si>
  <si>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</si>
  <si>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</si>
  <si>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</si>
  <si>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</si>
  <si>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</si>
  <si>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</si>
  <si>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</si>
  <si>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</si>
  <si>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</si>
  <si>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</si>
  <si>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</si>
  <si>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</si>
  <si>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</si>
  <si>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</si>
  <si>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</si>
  <si>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</si>
  <si>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</si>
  <si>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</si>
  <si>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</si>
  <si>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</si>
  <si>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</si>
  <si>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</si>
  <si>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</si>
  <si>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</si>
  <si>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</si>
  <si>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</si>
  <si>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</si>
  <si>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</si>
  <si>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</si>
  <si>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</si>
  <si>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</si>
  <si>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</si>
  <si>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</si>
  <si>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</si>
  <si>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</si>
  <si>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</si>
  <si>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</si>
  <si>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</si>
  <si>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</si>
  <si>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</si>
  <si>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</si>
  <si>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</si>
  <si>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</si>
  <si>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</si>
  <si>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</si>
  <si>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</si>
  <si>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</si>
  <si>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</si>
  <si>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</si>
  <si>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</si>
  <si>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</si>
  <si>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</si>
  <si>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</si>
  <si>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</si>
  <si>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</si>
  <si>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</si>
  <si>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</si>
  <si>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</si>
  <si>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</si>
  <si>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</si>
  <si>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Total COVID</t>
  </si>
  <si>
    <t>We think total through 2024 Q1 should be</t>
  </si>
  <si>
    <t>Same as Disbursements</t>
  </si>
  <si>
    <t>Different spending pattern</t>
  </si>
  <si>
    <t>Baseline (non-COVID) grants</t>
  </si>
  <si>
    <t>Our assumptions about disbursement (DOES NOT CHANGE WITH BEA DATA, DO NOT EDIT)</t>
  </si>
  <si>
    <t>Total Non-Medicaid Consumption Grant Spending</t>
  </si>
  <si>
    <t>just flatline it at 2020 average</t>
  </si>
  <si>
    <t>can update as data come in</t>
  </si>
  <si>
    <r>
      <t xml:space="preserve">Methodology: </t>
    </r>
    <r>
      <rPr>
        <sz val="11"/>
        <color theme="1"/>
        <rFont val="Arial"/>
        <family val="2"/>
      </rPr>
      <t>We take Haver's historical investment grants data and hold grants flat at recent average</t>
    </r>
  </si>
  <si>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the data come in , we should adjust the projection so that we are always hitting the total $ amount to be disbursed (column W). Next, we need to use our assumed disbursement schedule to project when state and local governments actually spend the money they receive (Table 3). For the majority of grants we assume spending occurs with disbursement, with the exception of the CARES Act grants  and the Coronavirus Fiscal Recovery Fund, which BEA records as disbursed in one or two quarters rather than spread out over time.</t>
    </r>
  </si>
  <si>
    <t>Subsidies (non-ARP) + ARP PPP and Provider Relief</t>
  </si>
  <si>
    <t>ARP: Subsidies ex PPP,  Child care stabilization, grants to small businesses, paid sick leave, employee retention tax credit, pensions, transit and  aviation  support</t>
  </si>
  <si>
    <t>ARP Federal Purchases Projection</t>
  </si>
  <si>
    <t>From ARP CBO Score and our timing assumptions about disbursement; remember to change when new CBO data includes ARP</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</si>
  <si>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</si>
  <si>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</si>
  <si>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</si>
  <si>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</si>
  <si>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</si>
  <si>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</si>
  <si>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</si>
  <si>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</si>
  <si>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</si>
  <si>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</si>
  <si>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</si>
  <si>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</si>
  <si>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</si>
  <si>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</si>
  <si>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</si>
  <si>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</si>
  <si>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</si>
  <si>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</si>
  <si>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</si>
  <si>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</si>
  <si>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</si>
  <si>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</si>
  <si>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</si>
  <si>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</si>
  <si>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</si>
  <si>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</si>
  <si>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</si>
  <si>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</si>
  <si>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</si>
  <si>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</si>
  <si>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</si>
  <si>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</si>
  <si>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</si>
  <si>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</si>
  <si>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</si>
  <si>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</si>
  <si>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</si>
  <si>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r>
      <t xml:space="preserve">Methodology: </t>
    </r>
    <r>
      <rPr>
        <sz val="11"/>
        <color theme="1"/>
        <rFont val="Calibri"/>
        <family val="2"/>
        <scheme val="minor"/>
      </rPr>
      <t xml:space="preserve">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</si>
  <si>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Dividing PPP into Subsidies and Social Benefits</t>
  </si>
  <si>
    <t>Paycheck Protection Program Loans to NPISH (Social Benefits)</t>
  </si>
  <si>
    <t>Paycheck Protection Program Loans to Businesses (Subsidies)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</si>
  <si>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</si>
  <si>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</si>
  <si>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</si>
  <si>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</si>
  <si>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</si>
  <si>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</si>
  <si>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</si>
  <si>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</si>
  <si>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</si>
  <si>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</si>
  <si>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</si>
  <si>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</si>
  <si>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</si>
  <si>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</si>
  <si>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</si>
  <si>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</si>
  <si>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</si>
  <si>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</si>
  <si>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</si>
  <si>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</si>
  <si>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</si>
  <si>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</si>
  <si>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</si>
  <si>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</si>
  <si>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</si>
  <si>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</si>
  <si>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</si>
  <si>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</si>
  <si>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</si>
  <si>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</si>
  <si>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 
We get our unemployment rate projection for Q1 and Q2 of 2020 by calculating the average of the three months in each quarter using monthly UR data from the BLS, and project beyond that using the Fed Survey of Economic Projections.</t>
    </r>
  </si>
  <si>
    <t>Use change in projected unemployment rate to project state UI</t>
  </si>
  <si>
    <t>BLS for 2021 Q1 and Q2, SEP forecast onwards.</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</si>
  <si>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</si>
  <si>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</si>
  <si>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</si>
  <si>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</si>
  <si>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</si>
  <si>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</si>
  <si>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</si>
  <si>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</si>
  <si>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</si>
  <si>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</si>
  <si>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</si>
  <si>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</si>
  <si>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</si>
  <si>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</si>
  <si>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</si>
  <si>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</si>
  <si>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</si>
  <si>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</si>
  <si>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</si>
  <si>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</si>
  <si>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</si>
  <si>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</si>
  <si>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</si>
  <si>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</si>
  <si>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</si>
  <si>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</si>
  <si>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</si>
  <si>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</si>
  <si>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</si>
  <si>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</si>
  <si>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</si>
  <si>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</si>
  <si>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</si>
  <si>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</si>
  <si>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</si>
  <si>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</si>
  <si>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</si>
  <si>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</si>
  <si>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</si>
  <si>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</si>
  <si>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</si>
  <si>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</si>
  <si>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</si>
  <si>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</si>
  <si>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</si>
  <si>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</si>
  <si>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</si>
  <si>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</si>
  <si>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</si>
  <si>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</si>
  <si>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</si>
  <si>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</si>
  <si>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</si>
  <si>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</si>
  <si>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</si>
  <si>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</si>
  <si>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</si>
  <si>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</si>
  <si>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</si>
  <si>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</si>
  <si>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</si>
  <si>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</si>
  <si>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</si>
  <si>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</si>
  <si>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</si>
  <si>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</si>
  <si>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</si>
  <si>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</si>
  <si>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</si>
  <si>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</si>
  <si>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</si>
  <si>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</si>
  <si>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 </t>
    </r>
  </si>
  <si>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</si>
  <si>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</si>
  <si>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</si>
  <si>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</si>
  <si>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</si>
  <si>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</si>
  <si>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</si>
  <si>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</si>
  <si>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</si>
  <si>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</si>
  <si>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</si>
  <si>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</si>
  <si>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</si>
  <si>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</si>
  <si>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</si>
  <si>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</si>
  <si>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</si>
  <si>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</si>
  <si>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Here we compare the BEA and CBO tax revenujes</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</si>
  <si>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</si>
  <si>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</si>
  <si>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</si>
  <si>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</si>
  <si>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</si>
  <si>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</si>
  <si>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In this table we grow BEA historical tax revenues by the growth rate of the tax revenues projected in the last table of this sheet. See the comments above sheets for more info. Will update this more thoroughly later.</t>
  </si>
  <si>
    <t>q1</t>
  </si>
  <si>
    <t>q2</t>
  </si>
  <si>
    <t>q3</t>
  </si>
  <si>
    <t>q4</t>
  </si>
  <si>
    <t xml:space="preserve">q2 </t>
  </si>
  <si>
    <t>NOT IN GDP</t>
  </si>
  <si>
    <t>Spending out of coronavirus relief fund and other grants, not including education stabilization</t>
  </si>
  <si>
    <t>Spending out of  education stabilization</t>
  </si>
  <si>
    <t>Other non-ARP COVID aid to state, local and tribal governments</t>
  </si>
  <si>
    <t>Other non-ARP COVID grants</t>
  </si>
  <si>
    <t>Other ARP aid to S&amp;L</t>
  </si>
  <si>
    <t>Coronavirus Fiscal Recovery Fund and other ARP, NEC</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</si>
  <si>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</si>
  <si>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</si>
  <si>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</si>
  <si>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</si>
  <si>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</si>
  <si>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</si>
  <si>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</si>
  <si>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We pull in the latest historical BEA data by running a script to replace the data in Haver Pivoted. This will autofill the spreadsheets where we make our forecast assumptions with the new BEA data. This will also autofill the "Current Update" column in Revisions.</t>
  </si>
  <si>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(hard-coded).</t>
    </r>
  </si>
  <si>
    <t>We save a new copy of the spreadsheet each month so that we can refer to last month's assumptions and data.</t>
  </si>
  <si>
    <t>Prepare this month's spreadsheet and Revisions sheet.</t>
  </si>
  <si>
    <t xml:space="preserve">Education Stabilization Fund NOW ALSO DIFF SPENDING </t>
  </si>
  <si>
    <t>Don't count timing shift due to COVID Legislation</t>
  </si>
  <si>
    <t>ex legislation</t>
  </si>
  <si>
    <t>NIPA Average</t>
  </si>
  <si>
    <t>cbo jan 2020</t>
  </si>
  <si>
    <r>
      <t xml:space="preserve">Methodology: </t>
    </r>
    <r>
      <rPr>
        <sz val="11"/>
        <color theme="1"/>
        <rFont val="Arial"/>
        <family val="2"/>
      </rPr>
      <t>BEA gives us total Medicare spending (all federal), which we grow using the growth rate of the four-quarter moving average of CBO's projected Medicare spending. We also add in 12 billion in 2021 to account for the Medicare Sequester (ASK).</t>
    </r>
    <r>
      <rPr>
        <b/>
        <sz val="11"/>
        <color theme="1"/>
        <rFont val="Arial"/>
        <family val="2"/>
      </rPr>
      <t xml:space="preserve"> Methodology: CBO Medicare in 2020 is higher because of advance payments to providers that BEA doesn't appear to account for. Using growth rate from pre-pandemic CBO to adjust. Also, CARES act temporarily suspended sequestration and that's going back on at end of 2021, so we subtract $12 billion in 2022 to reflect that higher level now because of lack of sequestration.  																							
																							</t>
    </r>
  </si>
  <si>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</si>
  <si>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</si>
  <si>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</si>
  <si>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</si>
  <si>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</si>
  <si>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</si>
  <si>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</si>
  <si>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</si>
  <si>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</si>
  <si>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</si>
  <si>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</si>
  <si>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</si>
  <si>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</si>
  <si>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</si>
  <si>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</si>
  <si>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</si>
  <si>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</si>
  <si>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</si>
  <si>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</si>
  <si>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</si>
  <si>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</si>
  <si>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</si>
  <si>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</si>
  <si>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</si>
  <si>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</si>
  <si>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</si>
  <si>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</si>
  <si>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</si>
  <si>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</si>
  <si>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</si>
  <si>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</si>
  <si>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</si>
  <si>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</si>
  <si>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</si>
  <si>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</si>
  <si>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</si>
  <si>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</si>
  <si>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</si>
  <si>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</si>
  <si>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</si>
  <si>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</si>
  <si>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</si>
  <si>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</si>
  <si>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</si>
  <si>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</si>
  <si>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</si>
  <si>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</si>
  <si>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</si>
  <si>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</si>
  <si>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</si>
  <si>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</si>
  <si>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</si>
  <si>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</si>
  <si>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</si>
  <si>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</si>
  <si>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</si>
  <si>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</si>
  <si>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</si>
  <si>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</si>
  <si>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</si>
  <si>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</si>
  <si>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</si>
  <si>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</si>
  <si>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</si>
  <si>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</si>
  <si>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</si>
  <si>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</si>
  <si>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</si>
  <si>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</si>
  <si>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</si>
  <si>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</si>
  <si>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</si>
  <si>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</si>
  <si>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</si>
  <si>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</si>
  <si>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</si>
  <si>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</si>
  <si>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</si>
  <si>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</si>
  <si>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</si>
  <si>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</si>
  <si>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</si>
  <si>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</si>
  <si>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</si>
  <si>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</si>
  <si>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</si>
  <si>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</si>
  <si>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</si>
  <si>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</si>
  <si>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</si>
  <si>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</si>
  <si>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</si>
  <si>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</si>
  <si>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</si>
  <si>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</si>
  <si>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</si>
  <si>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</si>
  <si>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</si>
  <si>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</si>
  <si>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</si>
  <si>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</si>
  <si>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</si>
  <si>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</si>
  <si>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</si>
  <si>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</si>
  <si>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</si>
  <si>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</si>
  <si>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</si>
  <si>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</si>
  <si>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</si>
  <si>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</si>
  <si>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</si>
  <si>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</si>
  <si>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</si>
  <si>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</si>
  <si>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</si>
  <si>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</si>
  <si>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</si>
  <si>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</si>
  <si>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</si>
  <si>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</si>
  <si>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</si>
  <si>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</si>
  <si>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</si>
  <si>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</si>
  <si>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</si>
  <si>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</si>
  <si>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</si>
  <si>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</si>
  <si>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</si>
  <si>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</si>
  <si>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</si>
  <si>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</si>
  <si>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</si>
  <si>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</si>
  <si>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</si>
  <si>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</si>
  <si>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</si>
  <si>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</si>
  <si>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</si>
  <si>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</si>
  <si>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</si>
  <si>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</si>
  <si>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</si>
  <si>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</si>
  <si>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</si>
  <si>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</si>
  <si>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</si>
  <si>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</si>
  <si>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</si>
  <si>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</si>
  <si>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</si>
  <si>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</si>
  <si>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</si>
  <si>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</si>
  <si>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</si>
  <si>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</si>
  <si>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</si>
  <si>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</si>
  <si>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</si>
  <si>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</si>
  <si>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</si>
  <si>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</si>
  <si>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</si>
  <si>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</si>
  <si>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</si>
  <si>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</si>
  <si>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</si>
  <si>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</si>
  <si>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</si>
  <si>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</si>
  <si>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</si>
  <si>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</si>
  <si>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</si>
  <si>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</si>
  <si>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</si>
  <si>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</si>
  <si>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</si>
  <si>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</si>
  <si>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</si>
  <si>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</si>
  <si>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</si>
  <si>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</si>
  <si>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</si>
  <si>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</si>
  <si>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</si>
  <si>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</si>
  <si>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</si>
  <si>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</si>
  <si>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</si>
  <si>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</si>
  <si>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</si>
  <si>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</si>
  <si>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</si>
  <si>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</si>
  <si>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</si>
  <si>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</si>
  <si>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</si>
  <si>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</si>
  <si>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</si>
  <si>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Effects of Selected Federal Pandemic Response Programs on Personal Income, April 2021</t>
  </si>
  <si>
    <r>
      <t>(Billions of dollars, seasonally adjusted at</t>
    </r>
    <r>
      <rPr>
        <b/>
        <sz val="11"/>
        <rFont val="Calibri"/>
        <family val="2"/>
        <scheme val="minor"/>
      </rPr>
      <t xml:space="preserve"> annual</t>
    </r>
    <r>
      <rPr>
        <b/>
        <sz val="11"/>
        <color theme="1"/>
        <rFont val="Calibri"/>
        <family val="2"/>
        <scheme val="minor"/>
      </rPr>
      <t xml:space="preserve"> rates)</t>
    </r>
  </si>
  <si>
    <t>Line</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</si>
  <si>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</si>
  <si>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</si>
  <si>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</si>
  <si>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</si>
  <si>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</si>
  <si>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</si>
  <si>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</si>
  <si>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</si>
  <si>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</si>
  <si>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</si>
  <si>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</si>
  <si>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</si>
  <si>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</si>
  <si>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</si>
  <si>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</si>
  <si>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</si>
  <si>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</si>
  <si>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</si>
  <si>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</si>
  <si>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</si>
  <si>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</si>
  <si>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</si>
  <si>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</si>
  <si>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</si>
  <si>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</si>
  <si>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</si>
  <si>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</si>
  <si>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</si>
  <si>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</si>
  <si>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</si>
  <si>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</si>
  <si>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</si>
  <si>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</si>
  <si>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</si>
  <si>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</si>
  <si>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</si>
  <si>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</si>
  <si>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</si>
  <si>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</si>
  <si>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</si>
  <si>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</si>
  <si>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</si>
  <si>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</si>
  <si>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</si>
  <si>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</si>
  <si>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</si>
  <si>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</si>
  <si>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</si>
  <si>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</si>
  <si>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</si>
  <si>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</si>
  <si>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</si>
  <si>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</si>
  <si>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</si>
  <si>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</si>
  <si>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</si>
  <si>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</si>
  <si>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</si>
  <si>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</si>
  <si>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t>
  </si>
  <si>
    <t xml:space="preserve">     by the COVID-19 pandemic.</t>
  </si>
  <si>
    <t>2. The Paycheck Protection Program, initially established by the CARES Act, provides forgivable loans to help small businesses and nonprofit institutions make payroll and cover other expenses.</t>
  </si>
  <si>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</si>
  <si>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</si>
  <si>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t>3. A two percent reduction in reimbursements paid to Medicare service providers that went into effect in 2013 was initially suspended by the CARES Act. The resulting increased reimbursement rates</t>
  </si>
  <si>
    <t xml:space="preserve">     went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</si>
  <si>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</si>
  <si>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</si>
  <si>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</si>
  <si>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</si>
  <si>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</si>
  <si>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</si>
  <si>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t>
  </si>
  <si>
    <t xml:space="preserve">     hospitals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</si>
  <si>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</si>
  <si>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</si>
  <si>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</si>
  <si>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</si>
  <si>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</si>
  <si>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</si>
  <si>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</si>
  <si>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</si>
  <si>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t>Our Q2</t>
  </si>
  <si>
    <t>Implied June</t>
  </si>
  <si>
    <t>AVG Apr - May</t>
  </si>
  <si>
    <t>Release Date: June 25, 2021</t>
  </si>
  <si>
    <t>Effects of Selected Federal Pandemic Response Programs on Personal Income, May 2021</t>
  </si>
  <si>
    <r>
      <t>(Billions of dollars, seasonally adjusted at</t>
    </r>
    <r>
      <rPr>
        <b/>
        <sz val="11"/>
        <rFont val="Calibri"/>
        <family val="2"/>
        <scheme val="minor"/>
      </rPr>
      <t xml:space="preserve"> annual</t>
    </r>
    <r>
      <rPr>
        <b/>
        <sz val="11"/>
        <color rgb="FF000000"/>
        <rFont val="Calibri"/>
        <family val="2"/>
        <scheme val="minor"/>
      </rPr>
      <t xml:space="preserve"> rates)</t>
    </r>
  </si>
  <si>
    <t>Levels</t>
  </si>
  <si>
    <t>Oct.</t>
  </si>
  <si>
    <t>Nov.</t>
  </si>
  <si>
    <t>Dec.</t>
  </si>
  <si>
    <r>
      <t xml:space="preserve">                        Coronavirus Food Assistance Program </t>
    </r>
    <r>
      <rPr>
        <vertAlign val="superscript"/>
        <sz val="11"/>
        <color rgb="FF000000"/>
        <rFont val="Calibri"/>
        <family val="2"/>
        <scheme val="minor"/>
      </rPr>
      <t>1</t>
    </r>
  </si>
  <si>
    <r>
      <t xml:space="preserve">                        Paycheck Protection Program loans to businesses </t>
    </r>
    <r>
      <rPr>
        <vertAlign val="superscript"/>
        <sz val="11"/>
        <color rgb="FF000000"/>
        <rFont val="Calibri"/>
        <family val="2"/>
        <scheme val="minor"/>
      </rPr>
      <t>2</t>
    </r>
  </si>
  <si>
    <r>
      <t xml:space="preserve">                                 Increase in Medicare reimbursement rates </t>
    </r>
    <r>
      <rPr>
        <vertAlign val="superscript"/>
        <sz val="11"/>
        <color rgb="FF000000"/>
        <rFont val="Calibri"/>
        <family val="2"/>
        <scheme val="minor"/>
      </rPr>
      <t>3</t>
    </r>
  </si>
  <si>
    <r>
      <t xml:space="preserve">                             Of which: </t>
    </r>
    <r>
      <rPr>
        <i/>
        <vertAlign val="superscript"/>
        <sz val="11"/>
        <color rgb="FF000000"/>
        <rFont val="Calibri"/>
        <family val="2"/>
        <scheme val="minor"/>
      </rPr>
      <t>4</t>
    </r>
  </si>
  <si>
    <r>
      <t xml:space="preserve">                               Economic impact payments</t>
    </r>
    <r>
      <rPr>
        <vertAlign val="superscript"/>
        <sz val="11"/>
        <color rgb="FF000000"/>
        <rFont val="Calibri"/>
        <family val="2"/>
        <scheme val="minor"/>
      </rPr>
      <t xml:space="preserve"> 5</t>
    </r>
  </si>
  <si>
    <r>
      <t xml:space="preserve">                               Lost wages supplemental payments </t>
    </r>
    <r>
      <rPr>
        <vertAlign val="superscript"/>
        <sz val="11"/>
        <color rgb="FF000000"/>
        <rFont val="Calibri"/>
        <family val="2"/>
        <scheme val="minor"/>
      </rPr>
      <t>6</t>
    </r>
  </si>
  <si>
    <r>
      <t xml:space="preserve">                               Paycheck Protection Program loans to NPISH </t>
    </r>
    <r>
      <rPr>
        <vertAlign val="superscript"/>
        <sz val="11"/>
        <color rgb="FF000000"/>
        <rFont val="Calibri"/>
        <family val="2"/>
        <scheme val="minor"/>
      </rPr>
      <t>2</t>
    </r>
  </si>
  <si>
    <r>
      <t xml:space="preserve">                               Provider Relief Fund to NPISH </t>
    </r>
    <r>
      <rPr>
        <vertAlign val="superscript"/>
        <sz val="11"/>
        <color rgb="FF000000"/>
        <rFont val="Calibri"/>
        <family val="2"/>
        <scheme val="minor"/>
      </rPr>
      <t>7</t>
    </r>
  </si>
  <si>
    <r>
      <t xml:space="preserve">               Student loan forbearance</t>
    </r>
    <r>
      <rPr>
        <vertAlign val="superscript"/>
        <sz val="11"/>
        <rFont val="Calibri"/>
        <family val="2"/>
        <scheme val="minor"/>
      </rPr>
      <t xml:space="preserve"> 8</t>
    </r>
  </si>
  <si>
    <t xml:space="preserve">     It also provides funding to reimburse private lending institutions for the costs of administering these loans. For more information, see "How does the Paycheck Protection Program</t>
  </si>
  <si>
    <t xml:space="preserve">     impact the national income and product accounts (NIPAs)?".</t>
  </si>
  <si>
    <r>
      <t xml:space="preserve">4. Unemployment insurance benefits were expanded through several programs that were initially established through the CARES Act. For more information, see </t>
    </r>
    <r>
      <rPr>
        <u/>
        <sz val="11"/>
        <color rgb="FF2F75B5"/>
        <rFont val="Calibri"/>
        <family val="2"/>
        <scheme val="minor"/>
      </rPr>
      <t>"How will the expansion of</t>
    </r>
  </si>
  <si>
    <t xml:space="preserve">    unemployment benefits in response to the COVID-19 pandemic be recorded in the NIPAs?".</t>
  </si>
  <si>
    <r>
      <t xml:space="preserve">5. Economic impact payments, initially established by the CARES Act, provide direct payments to individuals. For more information, see </t>
    </r>
    <r>
      <rPr>
        <u/>
        <sz val="11"/>
        <color rgb="FF2F75B5"/>
        <rFont val="Calibri"/>
        <family val="2"/>
        <scheme val="minor"/>
      </rPr>
      <t>"How are federal economic impact payments to support individuals</t>
    </r>
  </si>
  <si>
    <t xml:space="preserve">     during the COVID-19 pandemic recorded in the NIPAs?".</t>
  </si>
  <si>
    <r>
      <t xml:space="preserve">8. Interest payments due on certain categories of federally-held student loans were initially suspended by the CARES Act. For more information, see </t>
    </r>
    <r>
      <rPr>
        <u/>
        <sz val="11"/>
        <color rgb="FF2F75B5"/>
        <rFont val="Calibri"/>
        <family val="2"/>
        <scheme val="minor"/>
      </rPr>
      <t>"How does the federal response to the COVID-19</t>
    </r>
  </si>
  <si>
    <t xml:space="preserve">     pandemic affect BEA's estimate of personal interest payments?".</t>
  </si>
  <si>
    <t>consistent, the figures in this table also are annualized. For more information, see the FAQ "Why does BEA publish estimates at annual rates?" on BEA's website.</t>
  </si>
  <si>
    <t>New</t>
  </si>
  <si>
    <t>Personal income federal share</t>
  </si>
  <si>
    <t>Social insurance federal share</t>
  </si>
  <si>
    <t>Total smoothed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</si>
</sst>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s>
  <fonts count="9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
      <sz val="8"/>
      <color rgb="FF333333"/>
      <name val="Arial"/>
      <family val="2"/>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10"/>
      <name val="Calibri"/>
      <family val="2"/>
      <scheme val="minor"/>
    </font>
    <font>
      <sz val="11"/>
      <color theme="8" tint="-0.249977111117893"/>
      <name val="Calibri"/>
      <family val="2"/>
      <scheme val="minor"/>
    </font>
    <font>
      <b/>
      <sz val="11"/>
      <color rgb="FF000000"/>
      <name val="Calibri"/>
      <family val="2"/>
      <scheme val="minor"/>
    </font>
    <font>
      <i/>
      <sz val="11"/>
      <color rgb="FF000000"/>
      <name val="Calibri"/>
      <family val="2"/>
      <scheme val="minor"/>
    </font>
    <font>
      <vertAlign val="superscript"/>
      <sz val="11"/>
      <color rgb="FF000000"/>
      <name val="Calibri"/>
      <family val="2"/>
      <scheme val="minor"/>
    </font>
    <font>
      <i/>
      <vertAlign val="superscript"/>
      <sz val="11"/>
      <color rgb="FF000000"/>
      <name val="Calibri"/>
      <family val="2"/>
      <scheme val="minor"/>
    </font>
    <font>
      <i/>
      <sz val="11"/>
      <name val="Calibri"/>
      <family val="2"/>
      <scheme val="minor"/>
    </font>
    <font>
      <vertAlign val="superscript"/>
      <sz val="11"/>
      <name val="Calibri"/>
      <family val="2"/>
      <scheme val="minor"/>
    </font>
    <font>
      <u/>
      <sz val="11"/>
      <color rgb="FF2F75B5"/>
      <name val="Calibri"/>
      <family val="2"/>
      <scheme val="minor"/>
    </font>
    <font>
      <sz val="11"/>
      <color rgb="FF0563C1"/>
      <name val="Calibri"/>
      <family val="2"/>
      <scheme val="minor"/>
    </font>
    <font>
      <sz val="11"/>
      <color rgb="FF2F75B5"/>
      <name val="Calibri"/>
      <family val="2"/>
      <scheme val="minor"/>
    </font>
  </fonts>
  <fills count="59">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D9D9"/>
        <bgColor rgb="FF000000"/>
      </patternFill>
    </fill>
  </fills>
  <borders count="86">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bottom/>
      <diagonal/>
    </border>
    <border>
      <left style="thin">
        <color theme="0" tint="-0.499984740745262"/>
      </left>
      <right style="thin">
        <color theme="0" tint="-0.499984740745262"/>
      </right>
      <top/>
      <bottom/>
      <diagonal/>
    </border>
    <border>
      <left style="medium">
        <color theme="2"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right style="medium">
        <color theme="0" tint="-0.499984740745262"/>
      </right>
      <top/>
      <bottom style="medium">
        <color theme="0" tint="-0.499984740745262"/>
      </bottom>
      <diagonal/>
    </border>
    <border>
      <left/>
      <right/>
      <top/>
      <bottom style="medium">
        <color rgb="FF808080"/>
      </bottom>
      <diagonal/>
    </border>
    <border>
      <left style="medium">
        <color rgb="FF808080"/>
      </left>
      <right style="medium">
        <color rgb="FF808080"/>
      </right>
      <top/>
      <bottom/>
      <diagonal/>
    </border>
    <border>
      <left/>
      <right/>
      <top style="medium">
        <color rgb="FF808080"/>
      </top>
      <bottom style="thin">
        <color rgb="FF808080"/>
      </bottom>
      <diagonal/>
    </border>
    <border>
      <left style="medium">
        <color rgb="FF808080"/>
      </left>
      <right/>
      <top style="medium">
        <color rgb="FF808080"/>
      </top>
      <bottom style="thin">
        <color rgb="FF808080"/>
      </bottom>
      <diagonal/>
    </border>
    <border>
      <left/>
      <right style="medium">
        <color rgb="FF808080"/>
      </right>
      <top style="medium">
        <color rgb="FF808080"/>
      </top>
      <bottom style="thin">
        <color rgb="FF808080"/>
      </bottom>
      <diagonal/>
    </border>
    <border>
      <left/>
      <right/>
      <top style="thin">
        <color rgb="FF808080"/>
      </top>
      <bottom style="thin">
        <color rgb="FF808080"/>
      </bottom>
      <diagonal/>
    </border>
    <border>
      <left style="thin">
        <color rgb="FF808080"/>
      </left>
      <right/>
      <top style="thin">
        <color rgb="FF808080"/>
      </top>
      <bottom style="thin">
        <color rgb="FF808080"/>
      </bottom>
      <diagonal/>
    </border>
    <border>
      <left style="medium">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style="medium">
        <color rgb="FF808080"/>
      </right>
      <top style="thin">
        <color rgb="FF808080"/>
      </top>
      <bottom style="thin">
        <color rgb="FF808080"/>
      </bottom>
      <diagonal/>
    </border>
    <border>
      <left/>
      <right/>
      <top/>
      <bottom style="thin">
        <color rgb="FF808080"/>
      </bottom>
      <diagonal/>
    </border>
    <border>
      <left style="medium">
        <color rgb="FF808080"/>
      </left>
      <right/>
      <top/>
      <bottom style="thin">
        <color rgb="FF808080"/>
      </bottom>
      <diagonal/>
    </border>
    <border>
      <left style="medium">
        <color rgb="FF808080"/>
      </left>
      <right style="thin">
        <color rgb="FF808080"/>
      </right>
      <top/>
      <bottom style="thin">
        <color rgb="FF808080"/>
      </bottom>
      <diagonal/>
    </border>
    <border>
      <left/>
      <right style="thin">
        <color rgb="FF808080"/>
      </right>
      <top/>
      <bottom style="thin">
        <color rgb="FF808080"/>
      </bottom>
      <diagonal/>
    </border>
    <border>
      <left style="thin">
        <color rgb="FF808080"/>
      </left>
      <right style="thin">
        <color rgb="FF808080"/>
      </right>
      <top/>
      <bottom style="thin">
        <color rgb="FF808080"/>
      </bottom>
      <diagonal/>
    </border>
    <border>
      <left style="thin">
        <color rgb="FF808080"/>
      </left>
      <right/>
      <top/>
      <bottom style="thin">
        <color rgb="FF808080"/>
      </bottom>
      <diagonal/>
    </border>
    <border>
      <left style="thin">
        <color rgb="FF808080"/>
      </left>
      <right style="medium">
        <color rgb="FF808080"/>
      </right>
      <top/>
      <bottom style="thin">
        <color rgb="FF808080"/>
      </bottom>
      <diagonal/>
    </border>
    <border>
      <left style="medium">
        <color rgb="FF808080"/>
      </left>
      <right/>
      <top/>
      <bottom/>
      <diagonal/>
    </border>
    <border>
      <left style="thin">
        <color rgb="FF808080"/>
      </left>
      <right style="thin">
        <color rgb="FF808080"/>
      </right>
      <top/>
      <bottom/>
      <diagonal/>
    </border>
    <border>
      <left/>
      <right style="thin">
        <color rgb="FF808080"/>
      </right>
      <top/>
      <bottom/>
      <diagonal/>
    </border>
    <border>
      <left style="medium">
        <color rgb="FF757171"/>
      </left>
      <right/>
      <top/>
      <bottom/>
      <diagonal/>
    </border>
    <border>
      <left style="medium">
        <color rgb="FF808080"/>
      </left>
      <right/>
      <top/>
      <bottom style="medium">
        <color rgb="FF808080"/>
      </bottom>
      <diagonal/>
    </border>
    <border>
      <left style="thin">
        <color rgb="FF808080"/>
      </left>
      <right style="thin">
        <color rgb="FF808080"/>
      </right>
      <top/>
      <bottom style="medium">
        <color rgb="FF808080"/>
      </bottom>
      <diagonal/>
    </border>
    <border>
      <left/>
      <right style="thin">
        <color rgb="FF808080"/>
      </right>
      <top/>
      <bottom style="medium">
        <color rgb="FF808080"/>
      </bottom>
      <diagonal/>
    </border>
    <border>
      <left style="medium">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thin">
        <color theme="0" tint="-0.499984740745262"/>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415">
    <xf numFmtId="0" fontId="0" fillId="0" borderId="0" xfId="0"/>
    <xf numFmtId="0" fontId="0" fillId="0" borderId="0" xfId="0" applyAlignment="1">
      <alignment wrapText="1"/>
    </xf>
    <xf numFmtId="0" fontId="2" fillId="0" borderId="0" xfId="0" applyFont="1" applyAlignment="1">
      <alignment horizontal="center"/>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Alignment="1">
      <alignment vertical="center"/>
    </xf>
    <xf numFmtId="0" fontId="14" fillId="0" borderId="0" xfId="0" applyFont="1" applyBorder="1" applyAlignment="1">
      <alignment horizontal="center"/>
    </xf>
    <xf numFmtId="0" fontId="14" fillId="41" borderId="19" xfId="0" applyFont="1" applyFill="1" applyBorder="1" applyAlignment="1">
      <alignment horizontal="center"/>
    </xf>
    <xf numFmtId="0" fontId="14" fillId="0" borderId="24" xfId="0" applyFont="1" applyBorder="1"/>
    <xf numFmtId="0" fontId="14" fillId="0" borderId="23" xfId="0" applyFont="1" applyBorder="1"/>
    <xf numFmtId="0" fontId="45" fillId="0" borderId="0" xfId="511"/>
    <xf numFmtId="169" fontId="0" fillId="0" borderId="0" xfId="0" applyNumberFormat="1"/>
    <xf numFmtId="0" fontId="20" fillId="0" borderId="0" xfId="11" applyFont="1" applyAlignment="1">
      <alignment horizontal="left" indent="1"/>
    </xf>
    <xf numFmtId="3" fontId="20" fillId="0" borderId="0" xfId="11" applyNumberFormat="1" applyFont="1" applyAlignment="1">
      <alignment horizontal="right"/>
    </xf>
    <xf numFmtId="0" fontId="14" fillId="0" borderId="19" xfId="0" applyFont="1" applyBorder="1" applyAlignment="1">
      <alignment horizontal="lef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0" fontId="14" fillId="0" borderId="7" xfId="0" applyFont="1" applyBorder="1" applyAlignment="1">
      <alignment horizontal="left" wrapText="1"/>
    </xf>
    <xf numFmtId="166" fontId="14" fillId="0" borderId="5" xfId="0" applyNumberFormat="1" applyFont="1" applyBorder="1" applyAlignment="1">
      <alignment horizontal="center"/>
    </xf>
    <xf numFmtId="166" fontId="20" fillId="0" borderId="5" xfId="37" applyNumberFormat="1" applyFont="1" applyBorder="1" applyAlignment="1">
      <alignment horizontal="center"/>
    </xf>
    <xf numFmtId="166" fontId="20" fillId="0" borderId="21" xfId="37" applyNumberFormat="1" applyFont="1" applyBorder="1" applyAlignment="1">
      <alignment horizontal="center"/>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43" fontId="14" fillId="0" borderId="0" xfId="1" applyFont="1" applyBorder="1"/>
    <xf numFmtId="0" fontId="14" fillId="0" borderId="0" xfId="0" applyFont="1" applyBorder="1" applyAlignment="1">
      <alignment horizontal="left" wrapText="1"/>
    </xf>
    <xf numFmtId="0" fontId="14" fillId="0" borderId="7" xfId="0" applyFont="1" applyBorder="1" applyAlignment="1">
      <alignment horizontal="left"/>
    </xf>
    <xf numFmtId="0" fontId="14" fillId="0" borderId="1" xfId="0" applyFont="1" applyBorder="1" applyAlignment="1">
      <alignment wrapText="1"/>
    </xf>
    <xf numFmtId="0" fontId="14" fillId="41" borderId="18" xfId="0" applyFont="1" applyFill="1" applyBorder="1" applyAlignment="1">
      <alignment horizontal="center"/>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0" fontId="14" fillId="44" borderId="1" xfId="0" applyFont="1" applyFill="1" applyBorder="1"/>
    <xf numFmtId="0" fontId="14" fillId="44" borderId="0"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0" borderId="21" xfId="0" applyFont="1" applyBorder="1" applyAlignment="1">
      <alignment horizontal="left"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166" fontId="14" fillId="0" borderId="0" xfId="0" quotePrefix="1" applyNumberFormat="1" applyFont="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166" fontId="14" fillId="44" borderId="7" xfId="0" applyNumberFormat="1" applyFont="1" applyFill="1" applyBorder="1" applyAlignment="1">
      <alignment horizontal="center"/>
    </xf>
    <xf numFmtId="3" fontId="14" fillId="44" borderId="1" xfId="0" applyNumberFormat="1" applyFont="1" applyFill="1" applyBorder="1"/>
    <xf numFmtId="3" fontId="14" fillId="44" borderId="0" xfId="0" applyNumberFormat="1" applyFont="1" applyFill="1" applyBorder="1"/>
    <xf numFmtId="3" fontId="14" fillId="44" borderId="7" xfId="0" applyNumberFormat="1" applyFont="1" applyFill="1" applyBorder="1"/>
    <xf numFmtId="0" fontId="14" fillId="44" borderId="0" xfId="0" applyFont="1" applyFill="1" applyBorder="1"/>
    <xf numFmtId="0" fontId="14" fillId="44" borderId="7" xfId="0" applyFont="1" applyFill="1" applyBorder="1"/>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166" fontId="14" fillId="0" borderId="17" xfId="0" quotePrefix="1" applyNumberFormat="1" applyFont="1" applyBorder="1" applyAlignment="1">
      <alignment horizontal="center"/>
    </xf>
    <xf numFmtId="0" fontId="14" fillId="0" borderId="7" xfId="0" applyFont="1" applyBorder="1" applyAlignment="1">
      <alignment horizontal="center" wrapText="1"/>
    </xf>
    <xf numFmtId="166" fontId="14" fillId="0" borderId="6" xfId="0" quotePrefix="1" applyNumberFormat="1" applyFont="1" applyBorder="1" applyAlignment="1">
      <alignment horizontal="center"/>
    </xf>
    <xf numFmtId="166" fontId="14" fillId="0" borderId="5" xfId="0" quotePrefix="1" applyNumberFormat="1" applyFont="1" applyBorder="1" applyAlignment="1">
      <alignment horizontal="center"/>
    </xf>
    <xf numFmtId="0" fontId="14" fillId="44" borderId="24" xfId="0" applyFont="1" applyFill="1" applyBorder="1" applyAlignment="1">
      <alignment horizontal="center"/>
    </xf>
    <xf numFmtId="166" fontId="14" fillId="44" borderId="6" xfId="0" applyNumberFormat="1" applyFont="1" applyFill="1" applyBorder="1" applyAlignment="1">
      <alignment horizontal="center"/>
    </xf>
    <xf numFmtId="166" fontId="14" fillId="44" borderId="5" xfId="0" applyNumberFormat="1" applyFont="1" applyFill="1" applyBorder="1" applyAlignment="1">
      <alignment horizontal="center"/>
    </xf>
    <xf numFmtId="4" fontId="14" fillId="44" borderId="5" xfId="0" applyNumberFormat="1"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5" xfId="0" applyFont="1" applyBorder="1" applyAlignment="1">
      <alignment horizontal="left" wrapText="1"/>
    </xf>
    <xf numFmtId="0" fontId="14" fillId="0" borderId="1" xfId="0" applyFont="1" applyFill="1" applyBorder="1" applyAlignment="1">
      <alignment horizontal="left" wrapText="1" indent="2"/>
    </xf>
    <xf numFmtId="166" fontId="14" fillId="44" borderId="1" xfId="0" applyNumberFormat="1" applyFont="1" applyFill="1" applyBorder="1" applyAlignment="1">
      <alignment horizontal="center" wrapText="1"/>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1" xfId="0" applyNumberFormat="1" applyFont="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14" fillId="41" borderId="18" xfId="0" applyFont="1" applyFill="1" applyBorder="1" applyAlignment="1">
      <alignment horizontal="center"/>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0" fontId="14" fillId="0" borderId="6" xfId="0" applyFont="1" applyFill="1" applyBorder="1" applyAlignment="1">
      <alignment wrapText="1"/>
    </xf>
    <xf numFmtId="166" fontId="14" fillId="0" borderId="7" xfId="0" quotePrefix="1" applyNumberFormat="1" applyFont="1" applyBorder="1" applyAlignment="1">
      <alignment horizontal="center"/>
    </xf>
    <xf numFmtId="166" fontId="14" fillId="0" borderId="7" xfId="0" applyNumberFormat="1" applyFont="1" applyBorder="1" applyAlignment="1">
      <alignment horizontal="center"/>
    </xf>
    <xf numFmtId="3" fontId="14" fillId="0" borderId="1" xfId="0" applyNumberFormat="1" applyFont="1" applyBorder="1"/>
    <xf numFmtId="3" fontId="14" fillId="0" borderId="0" xfId="0" applyNumberFormat="1" applyFont="1" applyBorder="1"/>
    <xf numFmtId="3" fontId="14" fillId="0" borderId="7" xfId="0" applyNumberFormat="1" applyFont="1" applyBorder="1"/>
    <xf numFmtId="3" fontId="14" fillId="0" borderId="6" xfId="0" applyNumberFormat="1" applyFont="1" applyBorder="1"/>
    <xf numFmtId="3" fontId="14" fillId="0" borderId="5" xfId="0" applyNumberFormat="1" applyFont="1" applyBorder="1"/>
    <xf numFmtId="3" fontId="14" fillId="0" borderId="21" xfId="0" applyNumberFormat="1" applyFont="1" applyBorder="1"/>
    <xf numFmtId="3" fontId="14" fillId="44" borderId="6" xfId="0" applyNumberFormat="1" applyFont="1" applyFill="1" applyBorder="1"/>
    <xf numFmtId="3" fontId="14" fillId="44" borderId="5" xfId="0" applyNumberFormat="1" applyFont="1" applyFill="1" applyBorder="1"/>
    <xf numFmtId="3" fontId="14" fillId="44" borderId="21" xfId="0" applyNumberFormat="1" applyFont="1" applyFill="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44" borderId="0" xfId="0" applyFont="1" applyFill="1" applyBorder="1" applyAlignment="1">
      <alignment horizontal="center"/>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164" fontId="14" fillId="44" borderId="1" xfId="0" applyNumberFormat="1" applyFont="1" applyFill="1" applyBorder="1" applyAlignment="1">
      <alignment horizontal="center"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21" xfId="0" quotePrefix="1" applyNumberFormat="1" applyFont="1" applyBorder="1" applyAlignment="1">
      <alignment horizontal="center" vertical="top" wrapText="1"/>
    </xf>
    <xf numFmtId="3" fontId="14" fillId="0" borderId="5" xfId="0" applyNumberFormat="1" applyFont="1" applyBorder="1" applyAlignment="1">
      <alignment horizontal="center" vertical="top" wrapText="1"/>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44" borderId="22" xfId="0" applyNumberFormat="1" applyFont="1" applyFill="1" applyBorder="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3" fontId="14" fillId="0" borderId="5" xfId="0" applyNumberFormat="1" applyFont="1" applyBorder="1" applyAlignment="1">
      <alignment horizontal="center" wrapText="1"/>
    </xf>
    <xf numFmtId="0" fontId="53" fillId="0" borderId="0" xfId="0" applyFont="1"/>
    <xf numFmtId="0" fontId="49" fillId="0" borderId="18" xfId="0" applyFont="1" applyBorder="1" applyAlignment="1">
      <alignment wrapText="1"/>
    </xf>
    <xf numFmtId="0" fontId="14" fillId="0" borderId="19" xfId="0" applyFont="1" applyBorder="1" applyAlignment="1">
      <alignment horizontal="center" wrapText="1"/>
    </xf>
    <xf numFmtId="0" fontId="14" fillId="0" borderId="17" xfId="0" applyFont="1" applyFill="1" applyBorder="1" applyAlignment="1">
      <alignment horizontal="center"/>
    </xf>
    <xf numFmtId="0" fontId="48" fillId="0" borderId="0" xfId="0" applyFont="1" applyFill="1" applyBorder="1" applyAlignment="1">
      <alignment vertical="top" wrapText="1"/>
    </xf>
    <xf numFmtId="3" fontId="14" fillId="0" borderId="6" xfId="0" applyNumberFormat="1" applyFont="1" applyBorder="1" applyAlignment="1">
      <alignment horizontal="center" wrapText="1"/>
    </xf>
    <xf numFmtId="166" fontId="14" fillId="0" borderId="5" xfId="0" applyNumberFormat="1" applyFont="1" applyBorder="1" applyAlignment="1">
      <alignment horizontal="center" wrapText="1"/>
    </xf>
    <xf numFmtId="166" fontId="14" fillId="44" borderId="5"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166" fontId="14" fillId="0" borderId="19" xfId="0" quotePrefix="1" applyNumberFormat="1" applyFont="1" applyBorder="1" applyAlignment="1">
      <alignment horizontal="center"/>
    </xf>
    <xf numFmtId="166" fontId="14" fillId="0" borderId="21" xfId="0" quotePrefix="1" applyNumberFormat="1" applyFont="1" applyBorder="1" applyAlignment="1">
      <alignment horizontal="center"/>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8" xfId="0" applyNumberFormat="1" applyFont="1" applyFill="1" applyBorder="1" applyAlignment="1">
      <alignment horizontal="center" wrapText="1"/>
    </xf>
    <xf numFmtId="166" fontId="14" fillId="44" borderId="17" xfId="0" applyNumberFormat="1" applyFont="1" applyFill="1" applyBorder="1" applyAlignment="1">
      <alignment horizontal="center" wrapText="1"/>
    </xf>
    <xf numFmtId="166" fontId="14" fillId="44" borderId="19" xfId="0" applyNumberFormat="1" applyFont="1" applyFill="1" applyBorder="1" applyAlignment="1">
      <alignment horizontal="center" wrapText="1"/>
    </xf>
    <xf numFmtId="164" fontId="14" fillId="0" borderId="0"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1" xfId="0" applyNumberFormat="1" applyFont="1" applyBorder="1" applyAlignment="1">
      <alignment horizontal="center"/>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7" xfId="0" applyFont="1" applyBorder="1"/>
    <xf numFmtId="0" fontId="49" fillId="0" borderId="6" xfId="0" applyFont="1" applyBorder="1"/>
    <xf numFmtId="0" fontId="49" fillId="0" borderId="5" xfId="0" applyFont="1" applyBorder="1"/>
    <xf numFmtId="0" fontId="49" fillId="0" borderId="21"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3" fontId="14" fillId="44" borderId="0" xfId="0" applyNumberFormat="1" applyFont="1" applyFill="1" applyBorder="1" applyAlignment="1">
      <alignment horizontal="center" wrapText="1"/>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4" fontId="14" fillId="44" borderId="1" xfId="0" quotePrefix="1" applyNumberFormat="1" applyFont="1" applyFill="1" applyBorder="1" applyAlignment="1">
      <alignment horizontal="center" wrapText="1"/>
    </xf>
    <xf numFmtId="167" fontId="14" fillId="0" borderId="0" xfId="2" applyNumberFormat="1" applyFont="1"/>
    <xf numFmtId="0" fontId="55" fillId="0" borderId="18" xfId="0" applyFont="1" applyBorder="1" applyAlignment="1">
      <alignment horizontal="left"/>
    </xf>
    <xf numFmtId="0" fontId="58" fillId="0" borderId="0" xfId="0" applyFont="1"/>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64" fontId="55" fillId="44" borderId="18" xfId="0" applyNumberFormat="1" applyFont="1" applyFill="1" applyBorder="1" applyAlignment="1">
      <alignment horizontal="center"/>
    </xf>
    <xf numFmtId="10" fontId="14" fillId="0" borderId="0" xfId="2" applyNumberFormat="1" applyFont="1"/>
    <xf numFmtId="0" fontId="20" fillId="41" borderId="23" xfId="0"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2" borderId="1" xfId="0" applyNumberFormat="1" applyFont="1" applyFill="1" applyBorder="1" applyAlignment="1">
      <alignment horizontal="center"/>
    </xf>
    <xf numFmtId="164" fontId="55" fillId="44" borderId="19" xfId="0" applyNumberFormat="1" applyFont="1" applyFill="1" applyBorder="1" applyAlignment="1">
      <alignment horizontal="center"/>
    </xf>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9" fillId="0" borderId="0" xfId="0" applyFont="1"/>
    <xf numFmtId="0" fontId="14" fillId="0" borderId="5" xfId="0" applyFont="1" applyFill="1" applyBorder="1" applyAlignment="1"/>
    <xf numFmtId="0" fontId="57" fillId="0" borderId="0" xfId="0" applyFont="1" applyAlignment="1">
      <alignment vertical="center" wrapText="1"/>
    </xf>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0" fontId="14" fillId="0" borderId="0" xfId="0" applyFont="1" applyBorder="1" applyAlignment="1">
      <alignment horizontal="center" vertical="top" wrapText="1"/>
    </xf>
    <xf numFmtId="164" fontId="55" fillId="44" borderId="17" xfId="0" applyNumberFormat="1" applyFont="1" applyFill="1" applyBorder="1" applyAlignment="1">
      <alignment horizontal="center"/>
    </xf>
    <xf numFmtId="0" fontId="14" fillId="0" borderId="1" xfId="0" applyFont="1" applyBorder="1" applyAlignment="1">
      <alignment horizontal="left" indent="4"/>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168" fontId="14" fillId="0" borderId="0" xfId="2" applyNumberFormat="1" applyFont="1" applyBorder="1"/>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2" fontId="20" fillId="0" borderId="21" xfId="37" applyNumberFormat="1" applyFont="1" applyBorder="1" applyAlignment="1">
      <alignment horizontal="right"/>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0" borderId="21" xfId="2" applyNumberFormat="1" applyFont="1" applyBorder="1" applyAlignment="1">
      <alignment horizontal="center"/>
    </xf>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164" fontId="55" fillId="0" borderId="18" xfId="0" applyNumberFormat="1" applyFont="1" applyBorder="1" applyAlignment="1">
      <alignment horizontal="center"/>
    </xf>
    <xf numFmtId="2" fontId="20" fillId="0" borderId="5" xfId="37" applyNumberFormat="1" applyFont="1" applyBorder="1" applyAlignment="1">
      <alignment horizontal="right"/>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55" fillId="0" borderId="17" xfId="0" applyNumberFormat="1" applyFont="1" applyBorder="1" applyAlignment="1">
      <alignment horizontal="center"/>
    </xf>
    <xf numFmtId="164" fontId="55" fillId="0" borderId="19" xfId="0" applyNumberFormat="1" applyFont="1" applyBorder="1" applyAlignment="1">
      <alignment horizontal="center"/>
    </xf>
    <xf numFmtId="0" fontId="14" fillId="42" borderId="4" xfId="0" applyFont="1" applyFill="1" applyBorder="1"/>
    <xf numFmtId="0" fontId="14" fillId="42" borderId="2" xfId="0" applyFont="1" applyFill="1" applyBorder="1"/>
    <xf numFmtId="164" fontId="14" fillId="44" borderId="7" xfId="0" applyNumberFormat="1" applyFont="1" applyFill="1" applyBorder="1" applyAlignment="1">
      <alignment horizontal="center"/>
    </xf>
    <xf numFmtId="164" fontId="14" fillId="0" borderId="1" xfId="2" applyNumberFormat="1" applyFont="1" applyBorder="1" applyAlignment="1">
      <alignment horizontal="center"/>
    </xf>
    <xf numFmtId="164" fontId="14" fillId="0" borderId="0" xfId="2" applyNumberFormat="1" applyFont="1" applyBorder="1" applyAlignment="1">
      <alignment horizontal="center"/>
    </xf>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168" fontId="14" fillId="44" borderId="6" xfId="2" applyNumberFormat="1" applyFont="1" applyFill="1" applyBorder="1" applyAlignment="1">
      <alignment horizontal="center"/>
    </xf>
    <xf numFmtId="168" fontId="14" fillId="0" borderId="5" xfId="2" applyNumberFormat="1" applyFont="1" applyBorder="1" applyAlignment="1">
      <alignment horizontal="center"/>
    </xf>
    <xf numFmtId="164" fontId="14" fillId="0" borderId="6" xfId="1" applyNumberFormat="1" applyFont="1" applyBorder="1" applyAlignment="1">
      <alignment horizontal="center"/>
    </xf>
    <xf numFmtId="164" fontId="14" fillId="2" borderId="0" xfId="0" applyNumberFormat="1" applyFont="1" applyFill="1" applyBorder="1" applyAlignment="1">
      <alignment horizontal="center"/>
    </xf>
    <xf numFmtId="2" fontId="14" fillId="0" borderId="6" xfId="0" applyNumberFormat="1" applyFont="1" applyBorder="1"/>
    <xf numFmtId="164" fontId="14" fillId="2" borderId="7" xfId="0" applyNumberFormat="1" applyFont="1" applyFill="1" applyBorder="1" applyAlignment="1">
      <alignment horizontal="center"/>
    </xf>
    <xf numFmtId="164" fontId="14" fillId="0" borderId="5" xfId="1" applyNumberFormat="1" applyFont="1" applyBorder="1" applyAlignment="1">
      <alignment horizontal="center"/>
    </xf>
    <xf numFmtId="0" fontId="14" fillId="42" borderId="3" xfId="0" applyFont="1" applyFill="1" applyBorder="1"/>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2"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164" fontId="14" fillId="52" borderId="7" xfId="0" applyNumberFormat="1" applyFont="1" applyFill="1" applyBorder="1" applyAlignment="1">
      <alignment horizontal="center"/>
    </xf>
    <xf numFmtId="0" fontId="14" fillId="52" borderId="7" xfId="0" applyFont="1" applyFill="1" applyBorder="1" applyAlignment="1">
      <alignment horizontal="center"/>
    </xf>
    <xf numFmtId="0" fontId="14" fillId="52" borderId="1" xfId="0" applyFont="1" applyFill="1" applyBorder="1" applyAlignment="1">
      <alignment horizontal="center"/>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64" fontId="49" fillId="52" borderId="7" xfId="0" applyNumberFormat="1" applyFont="1" applyFill="1" applyBorder="1" applyAlignment="1">
      <alignment horizontal="center"/>
    </xf>
    <xf numFmtId="164" fontId="49" fillId="52" borderId="1" xfId="0" applyNumberFormat="1" applyFont="1" applyFill="1" applyBorder="1" applyAlignment="1">
      <alignment horizontal="center"/>
    </xf>
    <xf numFmtId="1" fontId="0" fillId="0" borderId="0" xfId="0" applyNumberFormat="1" applyAlignment="1">
      <alignment horizontal="center"/>
    </xf>
    <xf numFmtId="164" fontId="14" fillId="52" borderId="1" xfId="0" applyNumberFormat="1" applyFont="1" applyFill="1" applyBorder="1" applyAlignment="1">
      <alignment horizontal="center"/>
    </xf>
    <xf numFmtId="0" fontId="14" fillId="52" borderId="24" xfId="0" applyFont="1" applyFill="1" applyBorder="1" applyAlignment="1">
      <alignment horizontal="center"/>
    </xf>
    <xf numFmtId="0" fontId="14" fillId="52" borderId="0" xfId="0" applyFont="1" applyFill="1" applyBorder="1" applyAlignment="1">
      <alignment horizontal="center"/>
    </xf>
    <xf numFmtId="0" fontId="14" fillId="52" borderId="22" xfId="0" applyFont="1" applyFill="1" applyBorder="1" applyAlignment="1">
      <alignment horizontal="center"/>
    </xf>
    <xf numFmtId="0" fontId="14" fillId="0" borderId="1" xfId="0" applyFont="1" applyBorder="1" applyAlignment="1">
      <alignment horizontal="left" vertical="top" wrapText="1" indent="5"/>
    </xf>
    <xf numFmtId="3" fontId="0" fillId="0" borderId="0" xfId="0" applyNumberFormat="1"/>
    <xf numFmtId="0" fontId="48" fillId="41" borderId="3" xfId="0" applyFont="1" applyFill="1" applyBorder="1" applyAlignment="1"/>
    <xf numFmtId="0" fontId="48" fillId="41" borderId="2" xfId="0" applyFont="1" applyFill="1" applyBorder="1" applyAlignment="1"/>
    <xf numFmtId="0" fontId="0" fillId="0" borderId="0" xfId="0" applyFill="1"/>
    <xf numFmtId="166" fontId="20" fillId="0" borderId="0" xfId="0" applyNumberFormat="1" applyFont="1" applyFill="1" applyBorder="1" applyAlignment="1">
      <alignment horizontal="right"/>
    </xf>
    <xf numFmtId="1" fontId="14" fillId="0" borderId="0" xfId="0" applyNumberFormat="1" applyFont="1" applyAlignment="1">
      <alignment horizontal="center"/>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48" fillId="3" borderId="0" xfId="0" applyFont="1" applyFill="1" applyAlignment="1">
      <alignment horizontal="center"/>
    </xf>
    <xf numFmtId="0" fontId="14" fillId="44" borderId="0" xfId="0" applyFont="1" applyFill="1" applyBorder="1" applyAlignment="1">
      <alignment horizontal="center"/>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5"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14" fillId="0" borderId="28" xfId="0" applyFont="1" applyBorder="1"/>
    <xf numFmtId="0" fontId="14" fillId="0" borderId="0" xfId="0" applyFont="1" applyBorder="1" applyAlignment="1"/>
    <xf numFmtId="0" fontId="49" fillId="0" borderId="1" xfId="0" applyFont="1" applyFill="1" applyBorder="1" applyAlignment="1">
      <alignment horizontal="left" wrapText="1"/>
    </xf>
    <xf numFmtId="0" fontId="0" fillId="53" borderId="0" xfId="0" applyFill="1" applyAlignment="1">
      <alignment wrapText="1"/>
    </xf>
    <xf numFmtId="0" fontId="65"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5"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5"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7" fillId="53" borderId="0" xfId="0" applyFont="1" applyFill="1" applyBorder="1" applyAlignment="1">
      <alignment horizontal="center" wrapText="1"/>
    </xf>
    <xf numFmtId="0" fontId="67"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7"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1" fontId="14" fillId="0" borderId="1" xfId="0" applyNumberFormat="1" applyFont="1" applyBorder="1" applyAlignment="1">
      <alignment horizontal="center" wrapText="1"/>
    </xf>
    <xf numFmtId="1" fontId="14" fillId="0" borderId="0" xfId="0" applyNumberFormat="1" applyFont="1" applyBorder="1" applyAlignment="1">
      <alignment horizontal="center" wrapText="1"/>
    </xf>
    <xf numFmtId="1" fontId="14" fillId="0" borderId="0" xfId="0" quotePrefix="1" applyNumberFormat="1" applyFont="1" applyBorder="1" applyAlignment="1">
      <alignment horizontal="center" wrapText="1"/>
    </xf>
    <xf numFmtId="1" fontId="48" fillId="0" borderId="1" xfId="0" applyNumberFormat="1" applyFont="1" applyBorder="1" applyAlignment="1">
      <alignment horizontal="center" wrapText="1"/>
    </xf>
    <xf numFmtId="1" fontId="48" fillId="0" borderId="0" xfId="0" applyNumberFormat="1" applyFont="1" applyBorder="1" applyAlignment="1">
      <alignment horizontal="center" wrapText="1"/>
    </xf>
    <xf numFmtId="1" fontId="14" fillId="0" borderId="1" xfId="0" quotePrefix="1" applyNumberFormat="1" applyFont="1" applyBorder="1" applyAlignment="1">
      <alignment horizontal="center" wrapText="1"/>
    </xf>
    <xf numFmtId="1" fontId="0" fillId="0" borderId="0" xfId="0" applyNumberFormat="1"/>
    <xf numFmtId="3" fontId="14" fillId="52" borderId="0" xfId="0" quotePrefix="1" applyNumberFormat="1" applyFont="1" applyFill="1" applyBorder="1" applyAlignment="1">
      <alignment horizontal="center" wrapText="1"/>
    </xf>
    <xf numFmtId="3" fontId="14" fillId="52" borderId="1" xfId="0" quotePrefix="1" applyNumberFormat="1" applyFont="1" applyFill="1" applyBorder="1" applyAlignment="1">
      <alignment horizontal="center" wrapText="1"/>
    </xf>
    <xf numFmtId="3" fontId="0" fillId="44" borderId="0" xfId="0" applyNumberFormat="1" applyFill="1" applyBorder="1"/>
    <xf numFmtId="3" fontId="0" fillId="44" borderId="7" xfId="0" applyNumberFormat="1" applyFill="1" applyBorder="1"/>
    <xf numFmtId="0" fontId="0" fillId="52" borderId="1" xfId="0" applyFill="1" applyBorder="1"/>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164" fontId="14" fillId="52" borderId="26" xfId="0" applyNumberFormat="1" applyFont="1" applyFill="1" applyBorder="1" applyAlignment="1">
      <alignment horizontal="center"/>
    </xf>
    <xf numFmtId="164" fontId="14" fillId="52" borderId="27" xfId="0" applyNumberFormat="1" applyFont="1" applyFill="1" applyBorder="1" applyAlignment="1">
      <alignment horizontal="center"/>
    </xf>
    <xf numFmtId="0" fontId="17" fillId="50" borderId="0" xfId="5" applyFill="1" applyAlignment="1">
      <alignment horizontal="left" indent="2"/>
    </xf>
    <xf numFmtId="164" fontId="14" fillId="52" borderId="28" xfId="0" applyNumberFormat="1" applyFont="1" applyFill="1" applyBorder="1" applyAlignment="1">
      <alignment horizontal="center"/>
    </xf>
    <xf numFmtId="0" fontId="48" fillId="44" borderId="0" xfId="0" applyFont="1" applyFill="1" applyBorder="1" applyAlignment="1">
      <alignment horizontal="center"/>
    </xf>
    <xf numFmtId="0" fontId="48" fillId="49" borderId="0" xfId="0" applyFont="1" applyFill="1" applyBorder="1" applyAlignment="1">
      <alignment horizontal="center" vertical="center" wrapText="1"/>
    </xf>
    <xf numFmtId="0" fontId="14" fillId="44" borderId="0" xfId="0" applyNumberFormat="1" applyFont="1" applyFill="1" applyBorder="1" applyAlignment="1">
      <alignment horizontal="center"/>
    </xf>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166" fontId="14" fillId="52" borderId="0" xfId="0" applyNumberFormat="1" applyFont="1" applyFill="1" applyBorder="1" applyAlignment="1">
      <alignment horizontal="center"/>
    </xf>
    <xf numFmtId="166" fontId="14" fillId="52" borderId="5"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0" fontId="14" fillId="54" borderId="1" xfId="0" applyFont="1" applyFill="1" applyBorder="1" applyAlignment="1">
      <alignment horizontal="left" vertical="top" wrapText="1"/>
    </xf>
    <xf numFmtId="0" fontId="49" fillId="54" borderId="1" xfId="0" applyFont="1" applyFill="1" applyBorder="1" applyAlignment="1">
      <alignment horizontal="left" wrapText="1"/>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49" fillId="52" borderId="27" xfId="0" quotePrefix="1" applyNumberFormat="1" applyFont="1" applyFill="1" applyBorder="1" applyAlignment="1">
      <alignment horizontal="center" wrapText="1"/>
    </xf>
    <xf numFmtId="166" fontId="49" fillId="52" borderId="28" xfId="0" quotePrefix="1" applyNumberFormat="1" applyFont="1" applyFill="1" applyBorder="1" applyAlignment="1">
      <alignment horizontal="center" wrapText="1"/>
    </xf>
    <xf numFmtId="0" fontId="49" fillId="0" borderId="26" xfId="0" applyFont="1" applyBorder="1" applyAlignment="1">
      <alignment horizontal="left" wrapText="1"/>
    </xf>
    <xf numFmtId="0" fontId="49" fillId="0" borderId="27" xfId="0" applyFont="1" applyBorder="1" applyAlignment="1">
      <alignment horizontal="center" wrapText="1"/>
    </xf>
    <xf numFmtId="166" fontId="49" fillId="0" borderId="27" xfId="0" quotePrefix="1" applyNumberFormat="1" applyFont="1" applyBorder="1" applyAlignment="1">
      <alignment horizontal="center"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0" fontId="14" fillId="44" borderId="0" xfId="0" applyFont="1" applyFill="1" applyBorder="1" applyAlignment="1">
      <alignment horizontal="left"/>
    </xf>
    <xf numFmtId="166" fontId="14" fillId="52" borderId="7" xfId="0" applyNumberFormat="1" applyFont="1" applyFill="1" applyBorder="1" applyAlignment="1">
      <alignment horizontal="center"/>
    </xf>
    <xf numFmtId="3" fontId="14" fillId="0" borderId="6" xfId="0" quotePrefix="1" applyNumberFormat="1" applyFont="1" applyFill="1" applyBorder="1" applyAlignment="1">
      <alignment horizontal="center"/>
    </xf>
    <xf numFmtId="3" fontId="14" fillId="44" borderId="6" xfId="0" quotePrefix="1" applyNumberFormat="1" applyFont="1" applyFill="1" applyBorder="1" applyAlignment="1">
      <alignment horizontal="center"/>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3" fontId="20" fillId="44" borderId="7" xfId="37" applyNumberFormat="1" applyFont="1" applyFill="1" applyBorder="1" applyAlignment="1">
      <alignment horizontal="center"/>
    </xf>
    <xf numFmtId="164" fontId="20" fillId="44" borderId="0" xfId="37" applyNumberFormat="1" applyFont="1" applyFill="1" applyBorder="1" applyAlignment="1">
      <alignment horizontal="center"/>
    </xf>
    <xf numFmtId="164" fontId="20" fillId="44" borderId="7" xfId="37" applyNumberFormat="1" applyFont="1" applyFill="1" applyBorder="1" applyAlignment="1">
      <alignment horizontal="center"/>
    </xf>
    <xf numFmtId="3" fontId="14" fillId="0" borderId="5" xfId="0" quotePrefix="1" applyNumberFormat="1" applyFont="1" applyBorder="1" applyAlignment="1">
      <alignment horizontal="center"/>
    </xf>
    <xf numFmtId="166" fontId="14" fillId="52" borderId="1" xfId="0" applyNumberFormat="1" applyFont="1" applyFill="1" applyBorder="1" applyAlignment="1">
      <alignment horizontal="center"/>
    </xf>
    <xf numFmtId="0" fontId="5" fillId="54" borderId="0" xfId="0" applyFont="1" applyFill="1" applyAlignment="1">
      <alignment wrapText="1"/>
    </xf>
    <xf numFmtId="0" fontId="0" fillId="54" borderId="0" xfId="0" applyFill="1"/>
    <xf numFmtId="1" fontId="14" fillId="52" borderId="0" xfId="0" quotePrefix="1" applyNumberFormat="1" applyFont="1" applyFill="1" applyBorder="1" applyAlignment="1">
      <alignment horizontal="center" wrapText="1"/>
    </xf>
    <xf numFmtId="3" fontId="14" fillId="52" borderId="7" xfId="0" quotePrefix="1" applyNumberFormat="1" applyFont="1" applyFill="1" applyBorder="1" applyAlignment="1">
      <alignment horizontal="center" wrapText="1"/>
    </xf>
    <xf numFmtId="1" fontId="14" fillId="52" borderId="7" xfId="0" quotePrefix="1" applyNumberFormat="1" applyFont="1" applyFill="1" applyBorder="1" applyAlignment="1">
      <alignment horizontal="center" wrapText="1"/>
    </xf>
    <xf numFmtId="1" fontId="14" fillId="52" borderId="1" xfId="0" quotePrefix="1" applyNumberFormat="1" applyFont="1" applyFill="1" applyBorder="1" applyAlignment="1">
      <alignment horizontal="center" wrapText="1"/>
    </xf>
    <xf numFmtId="3" fontId="14" fillId="52" borderId="27" xfId="0" applyNumberFormat="1" applyFont="1" applyFill="1" applyBorder="1" applyAlignment="1">
      <alignment horizontal="center" wrapText="1"/>
    </xf>
    <xf numFmtId="1" fontId="14" fillId="52" borderId="5" xfId="0" applyNumberFormat="1" applyFont="1" applyFill="1" applyBorder="1" applyAlignment="1">
      <alignment horizontal="center"/>
    </xf>
    <xf numFmtId="1" fontId="14" fillId="52" borderId="21" xfId="0" applyNumberFormat="1" applyFont="1" applyFill="1" applyBorder="1" applyAlignment="1">
      <alignment horizontal="center"/>
    </xf>
    <xf numFmtId="1" fontId="14" fillId="0" borderId="5" xfId="0" applyNumberFormat="1" applyFont="1" applyBorder="1" applyAlignment="1">
      <alignment horizontal="center"/>
    </xf>
    <xf numFmtId="1" fontId="14" fillId="0" borderId="21" xfId="0" applyNumberFormat="1" applyFont="1" applyBorder="1" applyAlignment="1">
      <alignment horizontal="center"/>
    </xf>
    <xf numFmtId="1" fontId="14" fillId="0" borderId="6" xfId="0" applyNumberFormat="1" applyFont="1" applyBorder="1" applyAlignment="1">
      <alignment horizontal="center"/>
    </xf>
    <xf numFmtId="0" fontId="14" fillId="44" borderId="29" xfId="0" applyFont="1" applyFill="1" applyBorder="1" applyAlignment="1">
      <alignment horizontal="center"/>
    </xf>
    <xf numFmtId="0" fontId="0" fillId="52" borderId="0" xfId="0" applyFill="1" applyBorder="1"/>
    <xf numFmtId="0" fontId="0" fillId="52" borderId="7" xfId="0" applyFill="1" applyBorder="1"/>
    <xf numFmtId="0" fontId="0" fillId="52" borderId="27" xfId="0" applyFill="1" applyBorder="1"/>
    <xf numFmtId="0" fontId="48" fillId="0" borderId="0" xfId="0" applyFont="1" applyBorder="1" applyAlignment="1">
      <alignment horizontal="center" vertical="top" wrapText="1"/>
    </xf>
    <xf numFmtId="0" fontId="21" fillId="0" borderId="26" xfId="0" applyFont="1" applyBorder="1" applyAlignment="1">
      <alignment horizontal="center"/>
    </xf>
    <xf numFmtId="1" fontId="0" fillId="0" borderId="1" xfId="0" applyNumberFormat="1" applyBorder="1"/>
    <xf numFmtId="0" fontId="14" fillId="0" borderId="7" xfId="0" applyFont="1" applyBorder="1" applyAlignment="1">
      <alignment horizontal="center"/>
    </xf>
    <xf numFmtId="0" fontId="14" fillId="41" borderId="18"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21" fillId="41" borderId="17" xfId="0" applyFont="1" applyFill="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14" fillId="44" borderId="26"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0" fillId="0" borderId="0" xfId="0"/>
    <xf numFmtId="0" fontId="64" fillId="51" borderId="25" xfId="0" applyFont="1" applyFill="1" applyBorder="1" applyAlignment="1">
      <alignment horizontal="center"/>
    </xf>
    <xf numFmtId="0" fontId="0" fillId="0" borderId="0" xfId="0"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0" xfId="0" applyFont="1" applyFill="1" applyAlignment="1">
      <alignment horizontal="center"/>
    </xf>
    <xf numFmtId="0" fontId="21" fillId="0" borderId="18" xfId="0" applyFont="1" applyBorder="1" applyAlignment="1">
      <alignment horizontal="center"/>
    </xf>
    <xf numFmtId="164" fontId="20" fillId="0" borderId="27" xfId="0" applyNumberFormat="1" applyFont="1" applyBorder="1" applyAlignment="1">
      <alignment horizontal="right"/>
    </xf>
    <xf numFmtId="164" fontId="14" fillId="0" borderId="27" xfId="0" applyNumberFormat="1" applyFont="1" applyBorder="1" applyAlignment="1">
      <alignment horizontal="right"/>
    </xf>
    <xf numFmtId="164" fontId="14" fillId="44" borderId="27" xfId="0" applyNumberFormat="1" applyFont="1" applyFill="1" applyBorder="1" applyAlignment="1">
      <alignment horizontal="right"/>
    </xf>
    <xf numFmtId="164" fontId="14" fillId="44" borderId="28"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0" xfId="0" quotePrefix="1" applyNumberFormat="1" applyFont="1" applyAlignment="1">
      <alignment horizontal="right" vertical="top" wrapText="1"/>
    </xf>
    <xf numFmtId="164" fontId="14" fillId="44" borderId="1" xfId="0" applyNumberFormat="1" applyFont="1" applyFill="1" applyBorder="1" applyAlignment="1">
      <alignment horizontal="right" vertical="top" wrapText="1"/>
    </xf>
    <xf numFmtId="166" fontId="14" fillId="0" borderId="0" xfId="0" quotePrefix="1" applyNumberFormat="1" applyFont="1" applyAlignment="1">
      <alignment horizontal="center" vertical="top" wrapText="1"/>
    </xf>
    <xf numFmtId="164" fontId="14" fillId="0" borderId="1" xfId="0" quotePrefix="1" applyNumberFormat="1" applyFont="1" applyBorder="1" applyAlignment="1">
      <alignment horizontal="right" vertical="top" wrapText="1"/>
    </xf>
    <xf numFmtId="3" fontId="14" fillId="0" borderId="0" xfId="0" quotePrefix="1" applyNumberFormat="1" applyFont="1" applyAlignment="1">
      <alignment horizontal="center" vertical="top" wrapText="1"/>
    </xf>
    <xf numFmtId="0" fontId="68"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7" xfId="1" applyNumberFormat="1" applyFont="1" applyBorder="1"/>
    <xf numFmtId="168" fontId="14" fillId="0" borderId="0" xfId="2" applyNumberFormat="1" applyFont="1"/>
    <xf numFmtId="168" fontId="14" fillId="0" borderId="5" xfId="2" applyNumberFormat="1" applyFont="1" applyBorder="1"/>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8" fillId="0" borderId="0" xfId="0" applyFont="1"/>
    <xf numFmtId="171" fontId="54" fillId="0" borderId="0" xfId="0" applyNumberFormat="1" applyFont="1"/>
    <xf numFmtId="168" fontId="14" fillId="0" borderId="7" xfId="0" applyNumberFormat="1" applyFont="1" applyBorder="1"/>
    <xf numFmtId="0" fontId="2" fillId="0" borderId="0" xfId="0" applyFont="1"/>
    <xf numFmtId="0" fontId="0" fillId="0" borderId="0" xfId="0" applyAlignment="1">
      <alignment horizontal="center" wrapText="1"/>
    </xf>
    <xf numFmtId="166" fontId="0" fillId="0" borderId="0" xfId="0" quotePrefix="1" applyNumberFormat="1" applyAlignment="1">
      <alignment horizontal="center" vertical="top" wrapText="1"/>
    </xf>
    <xf numFmtId="3" fontId="0" fillId="0" borderId="0" xfId="0" quotePrefix="1" applyNumberFormat="1" applyAlignment="1">
      <alignment horizontal="center" vertical="top" wrapText="1"/>
    </xf>
    <xf numFmtId="0" fontId="0" fillId="0" borderId="0" xfId="0" applyAlignment="1">
      <alignment horizontal="left" vertical="top"/>
    </xf>
    <xf numFmtId="0" fontId="0" fillId="0" borderId="0" xfId="0" applyAlignment="1">
      <alignment horizontal="left"/>
    </xf>
    <xf numFmtId="0" fontId="54" fillId="0" borderId="0" xfId="0" applyFont="1" applyAlignment="1">
      <alignment horizontal="left" indent="2"/>
    </xf>
    <xf numFmtId="0" fontId="68" fillId="0" borderId="0" xfId="0" applyFont="1" applyAlignment="1">
      <alignment horizontal="left" indent="2"/>
    </xf>
    <xf numFmtId="3" fontId="48" fillId="0" borderId="0" xfId="0" quotePrefix="1" applyNumberFormat="1" applyFont="1" applyAlignment="1">
      <alignment horizontal="center" vertical="top" wrapText="1"/>
    </xf>
    <xf numFmtId="0" fontId="45" fillId="0" borderId="0" xfId="0" applyFont="1" applyAlignment="1">
      <alignment horizontal="left"/>
    </xf>
    <xf numFmtId="0" fontId="14" fillId="41" borderId="29" xfId="0" applyFont="1" applyFill="1" applyBorder="1" applyAlignment="1">
      <alignment horizontal="center"/>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18" xfId="0" applyNumberFormat="1" applyFont="1" applyFill="1" applyBorder="1" applyAlignment="1">
      <alignment horizontal="center"/>
    </xf>
    <xf numFmtId="3" fontId="14" fillId="0" borderId="27" xfId="0" applyNumberFormat="1" applyFont="1" applyFill="1" applyBorder="1" applyAlignment="1">
      <alignment horizontal="center"/>
    </xf>
    <xf numFmtId="3" fontId="14" fillId="52" borderId="18"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0" borderId="7" xfId="0" applyNumberFormat="1" applyFont="1" applyBorder="1" applyAlignment="1">
      <alignment horizontal="center"/>
    </xf>
    <xf numFmtId="3" fontId="14" fillId="52" borderId="1" xfId="0" applyNumberFormat="1" applyFont="1" applyFill="1" applyBorder="1" applyAlignment="1">
      <alignment horizontal="center"/>
    </xf>
    <xf numFmtId="3" fontId="14" fillId="52" borderId="7" xfId="0" applyNumberFormat="1" applyFont="1" applyFill="1" applyBorder="1" applyAlignment="1">
      <alignment horizontal="center"/>
    </xf>
    <xf numFmtId="167" fontId="14" fillId="0" borderId="6" xfId="2" applyNumberFormat="1" applyFont="1" applyBorder="1" applyAlignment="1">
      <alignment horizontal="center"/>
    </xf>
    <xf numFmtId="167" fontId="14" fillId="0" borderId="5" xfId="2" applyNumberFormat="1" applyFont="1" applyBorder="1" applyAlignment="1">
      <alignment horizontal="center"/>
    </xf>
    <xf numFmtId="167" fontId="14" fillId="0" borderId="21"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6" xfId="0" applyFont="1" applyFill="1" applyBorder="1" applyAlignment="1">
      <alignment horizontal="center" wrapText="1"/>
    </xf>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3" fontId="14" fillId="52" borderId="18" xfId="0" applyNumberFormat="1" applyFont="1" applyFill="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3" fontId="14" fillId="0" borderId="1" xfId="0" quotePrefix="1" applyNumberFormat="1" applyFont="1" applyBorder="1" applyAlignment="1">
      <alignment horizontal="center" wrapText="1"/>
    </xf>
    <xf numFmtId="165" fontId="14" fillId="0" borderId="27" xfId="0" applyNumberFormat="1" applyFont="1" applyBorder="1" applyAlignment="1">
      <alignment horizontal="center" wrapText="1"/>
    </xf>
    <xf numFmtId="0" fontId="14" fillId="0" borderId="7" xfId="0" applyFont="1" applyBorder="1" applyAlignment="1">
      <alignment wrapText="1"/>
    </xf>
    <xf numFmtId="0" fontId="14" fillId="0" borderId="21" xfId="0" applyFont="1" applyBorder="1" applyAlignment="1">
      <alignment wrapText="1"/>
    </xf>
    <xf numFmtId="0" fontId="69" fillId="0" borderId="0" xfId="0" applyFont="1"/>
    <xf numFmtId="0" fontId="69"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0" fontId="49" fillId="0" borderId="7"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3" fontId="49" fillId="52" borderId="0" xfId="0" applyNumberFormat="1" applyFont="1" applyFill="1" applyBorder="1" applyAlignment="1">
      <alignment horizontal="center" wrapText="1"/>
    </xf>
    <xf numFmtId="3" fontId="49" fillId="52" borderId="7" xfId="0" applyNumberFormat="1" applyFont="1" applyFill="1" applyBorder="1" applyAlignment="1">
      <alignment horizontal="center" wrapText="1"/>
    </xf>
    <xf numFmtId="1" fontId="49" fillId="0" borderId="5" xfId="0" applyNumberFormat="1" applyFont="1" applyBorder="1" applyAlignment="1">
      <alignment horizontal="center"/>
    </xf>
    <xf numFmtId="1" fontId="49" fillId="52" borderId="5" xfId="0" applyNumberFormat="1" applyFont="1" applyFill="1" applyBorder="1" applyAlignment="1">
      <alignment horizontal="center"/>
    </xf>
    <xf numFmtId="1" fontId="49" fillId="52" borderId="21" xfId="0" applyNumberFormat="1" applyFont="1" applyFill="1" applyBorder="1" applyAlignment="1">
      <alignment horizontal="center"/>
    </xf>
    <xf numFmtId="0" fontId="69" fillId="0" borderId="31" xfId="0" applyFont="1" applyBorder="1"/>
    <xf numFmtId="2" fontId="14" fillId="0" borderId="18" xfId="0" applyNumberFormat="1" applyFont="1" applyBorder="1" applyAlignment="1">
      <alignment horizontal="center"/>
    </xf>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166" fontId="0" fillId="0" borderId="5" xfId="0" applyNumberFormat="1" applyBorder="1" applyAlignment="1">
      <alignment horizontal="right"/>
    </xf>
    <xf numFmtId="166" fontId="0" fillId="0" borderId="21"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0" fillId="41" borderId="21" xfId="0" applyFill="1" applyBorder="1" applyAlignment="1">
      <alignment horizontal="center"/>
    </xf>
    <xf numFmtId="0" fontId="19" fillId="0" borderId="0" xfId="7" applyBorder="1"/>
    <xf numFmtId="0" fontId="14" fillId="41" borderId="6" xfId="0" applyFont="1" applyFill="1" applyBorder="1" applyAlignment="1"/>
    <xf numFmtId="0" fontId="14" fillId="41" borderId="5" xfId="0" applyFont="1" applyFill="1" applyBorder="1" applyAlignment="1"/>
    <xf numFmtId="0" fontId="14" fillId="41" borderId="21" xfId="0" applyFont="1" applyFill="1" applyBorder="1" applyAlignment="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0" borderId="0" xfId="0" applyNumberFormat="1" applyFont="1" applyAlignment="1">
      <alignment horizontal="center" vertical="top" wrapText="1"/>
    </xf>
    <xf numFmtId="164" fontId="14" fillId="44" borderId="1" xfId="0" applyNumberFormat="1" applyFont="1" applyFill="1" applyBorder="1" applyAlignment="1">
      <alignment horizontal="center" vertical="top" wrapText="1"/>
    </xf>
    <xf numFmtId="164" fontId="14" fillId="44" borderId="7" xfId="0" applyNumberFormat="1" applyFont="1" applyFill="1" applyBorder="1" applyAlignment="1">
      <alignment horizontal="center" vertical="top" wrapText="1"/>
    </xf>
    <xf numFmtId="168" fontId="14" fillId="44" borderId="7" xfId="0" applyNumberFormat="1" applyFont="1" applyFill="1" applyBorder="1" applyAlignment="1">
      <alignment horizontal="right" vertical="top" wrapText="1"/>
    </xf>
    <xf numFmtId="164" fontId="14" fillId="52" borderId="1" xfId="0" applyNumberFormat="1" applyFont="1" applyFill="1" applyBorder="1" applyAlignment="1">
      <alignment horizontal="right" vertical="top" wrapText="1"/>
    </xf>
    <xf numFmtId="0" fontId="61" fillId="0" borderId="1" xfId="0" applyFont="1" applyBorder="1" applyAlignment="1">
      <alignment horizontal="left"/>
    </xf>
    <xf numFmtId="164" fontId="14" fillId="52" borderId="1" xfId="0" applyNumberFormat="1" applyFont="1" applyFill="1" applyBorder="1" applyAlignment="1">
      <alignment horizontal="center" vertical="top" wrapText="1"/>
    </xf>
    <xf numFmtId="164" fontId="14" fillId="52" borderId="7" xfId="0" applyNumberFormat="1" applyFont="1" applyFill="1" applyBorder="1" applyAlignment="1">
      <alignment horizontal="center" vertical="top" wrapText="1"/>
    </xf>
    <xf numFmtId="0" fontId="70"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1" fontId="14" fillId="0" borderId="7" xfId="0" applyNumberFormat="1" applyFont="1" applyBorder="1" applyAlignment="1">
      <alignment horizontal="center"/>
    </xf>
    <xf numFmtId="1" fontId="54" fillId="0" borderId="5"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0" borderId="0" xfId="37" applyNumberFormat="1" applyFont="1" applyAlignment="1">
      <alignment horizontal="center"/>
    </xf>
    <xf numFmtId="1" fontId="20" fillId="52" borderId="0" xfId="37" applyNumberFormat="1" applyFont="1" applyFill="1" applyAlignment="1">
      <alignment horizontal="center"/>
    </xf>
    <xf numFmtId="1" fontId="20" fillId="52" borderId="7" xfId="37" applyNumberFormat="1" applyFont="1" applyFill="1" applyBorder="1" applyAlignment="1">
      <alignment horizontal="center"/>
    </xf>
    <xf numFmtId="1" fontId="20" fillId="0" borderId="5" xfId="37" applyNumberFormat="1" applyFont="1" applyBorder="1" applyAlignment="1">
      <alignment horizontal="center"/>
    </xf>
    <xf numFmtId="1" fontId="20" fillId="52" borderId="5" xfId="37" applyNumberFormat="1" applyFont="1" applyFill="1" applyBorder="1" applyAlignment="1">
      <alignment horizontal="center"/>
    </xf>
    <xf numFmtId="1" fontId="20" fillId="52" borderId="21"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1" fontId="14" fillId="52" borderId="0" xfId="0" applyNumberFormat="1" applyFont="1" applyFill="1" applyAlignment="1">
      <alignment horizontal="center"/>
    </xf>
    <xf numFmtId="1" fontId="14" fillId="52" borderId="7" xfId="0" applyNumberFormat="1" applyFont="1" applyFill="1" applyBorder="1" applyAlignment="1">
      <alignment horizontal="center"/>
    </xf>
    <xf numFmtId="1" fontId="20" fillId="52" borderId="1" xfId="37" applyNumberFormat="1" applyFont="1" applyFill="1" applyBorder="1" applyAlignment="1">
      <alignment horizontal="center"/>
    </xf>
    <xf numFmtId="0" fontId="14" fillId="0" borderId="6" xfId="0" applyFont="1" applyBorder="1" applyAlignment="1">
      <alignment horizontal="left" indent="2"/>
    </xf>
    <xf numFmtId="164" fontId="14" fillId="44" borderId="26" xfId="0" applyNumberFormat="1" applyFont="1" applyFill="1" applyBorder="1" applyAlignment="1">
      <alignment horizontal="right"/>
    </xf>
    <xf numFmtId="9" fontId="14" fillId="0" borderId="0" xfId="2" quotePrefix="1" applyFont="1" applyAlignment="1">
      <alignment horizontal="center" vertical="top" wrapText="1"/>
    </xf>
    <xf numFmtId="0" fontId="21" fillId="0" borderId="28" xfId="0" applyFont="1" applyBorder="1" applyAlignment="1">
      <alignment horizontal="center"/>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3" fontId="49" fillId="0" borderId="7" xfId="0" quotePrefix="1" applyNumberFormat="1" applyFont="1" applyBorder="1" applyAlignment="1">
      <alignment horizontal="center" vertical="top" wrapText="1"/>
    </xf>
    <xf numFmtId="164" fontId="49" fillId="0" borderId="0" xfId="0" quotePrefix="1" applyNumberFormat="1" applyFont="1" applyAlignment="1">
      <alignment horizontal="right" vertical="top" wrapText="1"/>
    </xf>
    <xf numFmtId="164" fontId="49" fillId="0" borderId="0" xfId="0" applyNumberFormat="1" applyFont="1" applyAlignment="1">
      <alignment horizontal="center" vertical="top" wrapText="1"/>
    </xf>
    <xf numFmtId="164" fontId="49" fillId="52" borderId="1" xfId="0" applyNumberFormat="1" applyFont="1" applyFill="1" applyBorder="1" applyAlignment="1">
      <alignment horizontal="center" vertical="top" wrapText="1"/>
    </xf>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0" fontId="60" fillId="0" borderId="7" xfId="0" applyFont="1" applyBorder="1" applyAlignment="1">
      <alignment horizontal="center" vertical="top" wrapText="1"/>
    </xf>
    <xf numFmtId="164" fontId="49" fillId="0" borderId="0" xfId="0" applyNumberFormat="1" applyFont="1" applyAlignment="1">
      <alignment horizontal="right" vertical="top" wrapText="1"/>
    </xf>
    <xf numFmtId="1" fontId="49" fillId="0" borderId="0" xfId="0" quotePrefix="1" applyNumberFormat="1" applyFont="1" applyAlignment="1">
      <alignment horizontal="center" vertical="top" wrapText="1"/>
    </xf>
    <xf numFmtId="1" fontId="49" fillId="52" borderId="1" xfId="0" quotePrefix="1"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3" fontId="49" fillId="0" borderId="21" xfId="0" quotePrefix="1" applyNumberFormat="1" applyFont="1" applyBorder="1" applyAlignment="1">
      <alignment horizontal="center" vertical="top" wrapText="1"/>
    </xf>
    <xf numFmtId="164" fontId="49" fillId="0" borderId="5" xfId="0" quotePrefix="1" applyNumberFormat="1" applyFont="1" applyBorder="1" applyAlignment="1">
      <alignment horizontal="right" vertical="top" wrapText="1"/>
    </xf>
    <xf numFmtId="164" fontId="49" fillId="0" borderId="5" xfId="0" applyNumberFormat="1" applyFont="1" applyBorder="1" applyAlignment="1">
      <alignment horizontal="center" vertical="top" wrapText="1"/>
    </xf>
    <xf numFmtId="164" fontId="49" fillId="52" borderId="6" xfId="0" applyNumberFormat="1" applyFont="1" applyFill="1" applyBorder="1" applyAlignment="1">
      <alignment horizontal="center"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0" fontId="49" fillId="0" borderId="7" xfId="0" applyFont="1" applyBorder="1" applyAlignment="1">
      <alignment horizontal="center" vertical="top" wrapText="1"/>
    </xf>
    <xf numFmtId="164" fontId="49" fillId="44" borderId="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164" fontId="49" fillId="52" borderId="23" xfId="0" applyNumberFormat="1" applyFont="1" applyFill="1" applyBorder="1" applyAlignment="1">
      <alignment horizontal="center"/>
    </xf>
    <xf numFmtId="164" fontId="49" fillId="52" borderId="5" xfId="0" applyNumberFormat="1" applyFont="1" applyFill="1" applyBorder="1" applyAlignment="1">
      <alignment horizontal="center"/>
    </xf>
    <xf numFmtId="164" fontId="49" fillId="52" borderId="21" xfId="0" applyNumberFormat="1" applyFont="1" applyFill="1" applyBorder="1" applyAlignment="1">
      <alignment horizontal="center"/>
    </xf>
    <xf numFmtId="164" fontId="49" fillId="52" borderId="6" xfId="0" applyNumberFormat="1" applyFont="1" applyFill="1" applyBorder="1" applyAlignment="1">
      <alignment horizontal="center"/>
    </xf>
    <xf numFmtId="164" fontId="49" fillId="52" borderId="24" xfId="0" applyNumberFormat="1" applyFont="1" applyFill="1" applyBorder="1" applyAlignment="1">
      <alignment horizontal="center"/>
    </xf>
    <xf numFmtId="164" fontId="49" fillId="52" borderId="0" xfId="0" applyNumberFormat="1" applyFont="1" applyFill="1" applyAlignment="1">
      <alignment horizontal="center"/>
    </xf>
    <xf numFmtId="164" fontId="14" fillId="52" borderId="24" xfId="0" applyNumberFormat="1" applyFont="1" applyFill="1" applyBorder="1" applyAlignment="1">
      <alignment horizontal="center"/>
    </xf>
    <xf numFmtId="164" fontId="14" fillId="52" borderId="0" xfId="0" applyNumberFormat="1" applyFont="1" applyFill="1" applyAlignment="1">
      <alignment horizontal="center"/>
    </xf>
    <xf numFmtId="164" fontId="14" fillId="0" borderId="0" xfId="0" applyNumberFormat="1" applyFont="1" applyAlignment="1">
      <alignment horizontal="center"/>
    </xf>
    <xf numFmtId="164" fontId="14" fillId="52" borderId="37" xfId="0" applyNumberFormat="1" applyFont="1" applyFill="1" applyBorder="1" applyAlignment="1">
      <alignment horizontal="center"/>
    </xf>
    <xf numFmtId="164" fontId="14" fillId="0" borderId="26" xfId="0" applyNumberFormat="1" applyFont="1" applyBorder="1" applyAlignment="1">
      <alignment horizontal="center"/>
    </xf>
    <xf numFmtId="0" fontId="14" fillId="44" borderId="37" xfId="0" applyFont="1" applyFill="1" applyBorder="1" applyAlignment="1">
      <alignment horizontal="center"/>
    </xf>
    <xf numFmtId="0" fontId="14" fillId="41" borderId="37" xfId="0" applyFont="1" applyFill="1" applyBorder="1" applyAlignment="1">
      <alignment horizontal="center"/>
    </xf>
    <xf numFmtId="168" fontId="14" fillId="0" borderId="0" xfId="0" applyNumberFormat="1" applyFont="1" applyAlignment="1">
      <alignment horizontal="center"/>
    </xf>
    <xf numFmtId="3" fontId="20" fillId="0" borderId="28" xfId="11" applyNumberFormat="1" applyFont="1" applyBorder="1" applyAlignment="1">
      <alignment horizontal="center"/>
    </xf>
    <xf numFmtId="3" fontId="20" fillId="0" borderId="27" xfId="11" applyNumberFormat="1" applyFont="1" applyBorder="1" applyAlignment="1">
      <alignment horizontal="center"/>
    </xf>
    <xf numFmtId="3" fontId="20" fillId="0" borderId="26" xfId="11" applyNumberFormat="1" applyFont="1" applyBorder="1" applyAlignment="1">
      <alignment horizontal="center"/>
    </xf>
    <xf numFmtId="0" fontId="20" fillId="0" borderId="0" xfId="0" applyFont="1" applyAlignment="1">
      <alignment horizontal="center"/>
    </xf>
    <xf numFmtId="0" fontId="20" fillId="49" borderId="28" xfId="0" applyFont="1" applyFill="1" applyBorder="1" applyAlignment="1">
      <alignment horizontal="center"/>
    </xf>
    <xf numFmtId="0" fontId="20" fillId="49" borderId="27" xfId="0" applyFont="1" applyFill="1" applyBorder="1" applyAlignment="1">
      <alignment horizontal="center"/>
    </xf>
    <xf numFmtId="0" fontId="20" fillId="49" borderId="26" xfId="0" applyFont="1" applyFill="1" applyBorder="1" applyAlignment="1">
      <alignment horizontal="center"/>
    </xf>
    <xf numFmtId="0" fontId="21" fillId="49" borderId="33" xfId="0" applyFont="1" applyFill="1" applyBorder="1"/>
    <xf numFmtId="168" fontId="14" fillId="0" borderId="21" xfId="0" applyNumberFormat="1" applyFont="1" applyBorder="1"/>
    <xf numFmtId="164" fontId="14" fillId="0" borderId="27" xfId="0" applyNumberFormat="1" applyFont="1" applyBorder="1"/>
    <xf numFmtId="0" fontId="14" fillId="41" borderId="26" xfId="0" applyFont="1" applyFill="1" applyBorder="1" applyAlignment="1">
      <alignment horizontal="center"/>
    </xf>
    <xf numFmtId="0" fontId="20" fillId="41" borderId="37" xfId="0" applyFont="1" applyFill="1" applyBorder="1" applyAlignment="1">
      <alignment horizontal="center"/>
    </xf>
    <xf numFmtId="164" fontId="14" fillId="44" borderId="26" xfId="0" applyNumberFormat="1" applyFont="1" applyFill="1" applyBorder="1" applyAlignment="1">
      <alignment horizontal="center"/>
    </xf>
    <xf numFmtId="164" fontId="14" fillId="44" borderId="27" xfId="0" applyNumberFormat="1" applyFont="1" applyFill="1" applyBorder="1" applyAlignment="1">
      <alignment horizontal="center"/>
    </xf>
    <xf numFmtId="164" fontId="14" fillId="44" borderId="28" xfId="0" applyNumberFormat="1" applyFont="1" applyFill="1" applyBorder="1" applyAlignment="1">
      <alignment horizontal="center"/>
    </xf>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168" fontId="14" fillId="44" borderId="21" xfId="0" applyNumberFormat="1" applyFont="1" applyFill="1" applyBorder="1" applyAlignment="1">
      <alignment horizontal="center"/>
    </xf>
    <xf numFmtId="0" fontId="14" fillId="0" borderId="27" xfId="0" applyFont="1" applyFill="1" applyBorder="1" applyAlignment="1">
      <alignment horizontal="center"/>
    </xf>
    <xf numFmtId="0" fontId="48" fillId="0" borderId="34" xfId="0" applyFont="1" applyBorder="1"/>
    <xf numFmtId="0" fontId="48" fillId="0" borderId="35" xfId="0" applyFont="1" applyBorder="1"/>
    <xf numFmtId="3" fontId="66" fillId="0" borderId="0" xfId="0" applyNumberFormat="1" applyFont="1" applyBorder="1"/>
    <xf numFmtId="3" fontId="66"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164" fontId="14" fillId="0" borderId="0" xfId="0" applyNumberFormat="1" applyFont="1" applyBorder="1"/>
    <xf numFmtId="168" fontId="14" fillId="0" borderId="0" xfId="0" applyNumberFormat="1" applyFont="1" applyBorder="1"/>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164" fontId="0" fillId="0" borderId="0" xfId="0" applyNumberFormat="1"/>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Alignment="1">
      <alignment vertical="center"/>
    </xf>
    <xf numFmtId="3" fontId="14" fillId="44" borderId="26" xfId="0" quotePrefix="1" applyNumberFormat="1" applyFont="1" applyFill="1" applyBorder="1" applyAlignment="1">
      <alignment horizontal="center"/>
    </xf>
    <xf numFmtId="3" fontId="14" fillId="44" borderId="28" xfId="0" quotePrefix="1" applyNumberFormat="1" applyFont="1" applyFill="1" applyBorder="1" applyAlignment="1">
      <alignment horizontal="center"/>
    </xf>
    <xf numFmtId="0" fontId="14" fillId="0" borderId="1" xfId="0" applyFont="1" applyFill="1" applyBorder="1" applyAlignment="1">
      <alignment horizontal="center"/>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 fontId="49" fillId="44" borderId="1" xfId="0" applyNumberFormat="1" applyFont="1" applyFill="1" applyBorder="1" applyAlignment="1">
      <alignment horizontal="center"/>
    </xf>
    <xf numFmtId="1" fontId="49" fillId="44" borderId="0" xfId="0" applyNumberFormat="1" applyFont="1" applyFill="1" applyBorder="1" applyAlignment="1">
      <alignment horizontal="center"/>
    </xf>
    <xf numFmtId="1" fontId="49" fillId="44" borderId="7" xfId="0" applyNumberFormat="1" applyFont="1" applyFill="1" applyBorder="1" applyAlignment="1">
      <alignment horizontal="center"/>
    </xf>
    <xf numFmtId="164" fontId="49" fillId="44" borderId="6"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172" fontId="0" fillId="0" borderId="0" xfId="0" applyNumberFormat="1"/>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7"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14" fillId="0" borderId="26" xfId="0"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164" fontId="14" fillId="0" borderId="28" xfId="0" applyNumberFormat="1" applyFont="1" applyBorder="1" applyAlignment="1">
      <alignment horizontal="center"/>
    </xf>
    <xf numFmtId="0" fontId="14" fillId="0" borderId="21" xfId="0" applyFont="1" applyFill="1" applyBorder="1" applyAlignment="1">
      <alignment horizontal="center"/>
    </xf>
    <xf numFmtId="0" fontId="21" fillId="0" borderId="0" xfId="11" applyFont="1" applyAlignment="1">
      <alignment horizontal="left" indent="1"/>
    </xf>
    <xf numFmtId="0" fontId="2" fillId="0" borderId="0" xfId="0" applyFont="1" applyAlignment="1">
      <alignment vertical="top" wrapText="1"/>
    </xf>
    <xf numFmtId="3" fontId="14" fillId="44" borderId="17" xfId="0" applyNumberFormat="1" applyFont="1" applyFill="1" applyBorder="1" applyAlignment="1">
      <alignment horizontal="center" wrapText="1"/>
    </xf>
    <xf numFmtId="0" fontId="0" fillId="44" borderId="17" xfId="0" applyFill="1" applyBorder="1"/>
    <xf numFmtId="0" fontId="0" fillId="44" borderId="19" xfId="0" applyFill="1" applyBorder="1"/>
    <xf numFmtId="0" fontId="0" fillId="52" borderId="19" xfId="0" applyFill="1" applyBorder="1"/>
    <xf numFmtId="3" fontId="49" fillId="52" borderId="1" xfId="0" applyNumberFormat="1" applyFont="1" applyFill="1" applyBorder="1" applyAlignment="1">
      <alignment horizontal="center" wrapText="1"/>
    </xf>
    <xf numFmtId="1" fontId="49" fillId="52" borderId="6" xfId="0" applyNumberFormat="1" applyFont="1" applyFill="1" applyBorder="1" applyAlignment="1">
      <alignment horizontal="center"/>
    </xf>
    <xf numFmtId="0" fontId="20" fillId="41" borderId="29" xfId="0" applyFont="1" applyFill="1" applyBorder="1" applyAlignment="1">
      <alignment horizontal="center"/>
    </xf>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8" fillId="0" borderId="20" xfId="0" applyFont="1" applyBorder="1" applyAlignment="1">
      <alignment wrapText="1"/>
    </xf>
    <xf numFmtId="0" fontId="48" fillId="0" borderId="30" xfId="0" applyFont="1" applyBorder="1" applyAlignment="1">
      <alignment horizontal="center"/>
    </xf>
    <xf numFmtId="171" fontId="68"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8" fillId="52" borderId="31" xfId="0" applyNumberFormat="1" applyFont="1" applyFill="1" applyBorder="1" applyAlignment="1">
      <alignment horizontal="center"/>
    </xf>
    <xf numFmtId="171" fontId="68"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19" xfId="37" applyNumberFormat="1" applyFont="1" applyBorder="1" applyAlignment="1">
      <alignment horizontal="center"/>
    </xf>
    <xf numFmtId="1" fontId="20" fillId="0" borderId="7" xfId="37" applyNumberFormat="1" applyFont="1" applyBorder="1" applyAlignment="1">
      <alignment horizontal="center"/>
    </xf>
    <xf numFmtId="0" fontId="14" fillId="0" borderId="18" xfId="0" applyFont="1" applyBorder="1" applyAlignment="1">
      <alignment horizontal="left" indent="2"/>
    </xf>
    <xf numFmtId="168" fontId="14" fillId="0" borderId="19" xfId="1" applyNumberFormat="1" applyFont="1" applyBorder="1"/>
    <xf numFmtId="168" fontId="14" fillId="0" borderId="21" xfId="2" applyNumberFormat="1" applyFont="1" applyBorder="1"/>
    <xf numFmtId="171" fontId="68" fillId="44" borderId="31" xfId="0" applyNumberFormat="1" applyFont="1" applyFill="1" applyBorder="1" applyAlignment="1">
      <alignment horizontal="center"/>
    </xf>
    <xf numFmtId="171" fontId="68" fillId="44" borderId="32"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 fontId="54" fillId="44" borderId="5" xfId="0" applyNumberFormat="1" applyFont="1" applyFill="1" applyBorder="1" applyAlignment="1">
      <alignment horizontal="center"/>
    </xf>
    <xf numFmtId="1" fontId="54" fillId="44" borderId="21" xfId="0" applyNumberFormat="1" applyFont="1" applyFill="1" applyBorder="1" applyAlignment="1">
      <alignment horizontal="center"/>
    </xf>
    <xf numFmtId="171" fontId="68"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 fontId="54" fillId="44" borderId="6" xfId="0" applyNumberFormat="1" applyFont="1" applyFill="1" applyBorder="1" applyAlignment="1">
      <alignment horizontal="center"/>
    </xf>
    <xf numFmtId="171" fontId="68" fillId="52" borderId="30" xfId="0" applyNumberFormat="1" applyFont="1" applyFill="1" applyBorder="1" applyAlignment="1">
      <alignment horizontal="center"/>
    </xf>
    <xf numFmtId="1" fontId="20" fillId="52" borderId="6" xfId="37"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3" fontId="14" fillId="44" borderId="23" xfId="0" applyNumberFormat="1" applyFont="1" applyFill="1" applyBorder="1" applyAlignment="1">
      <alignment horizontal="center" vertical="top"/>
    </xf>
    <xf numFmtId="164" fontId="14" fillId="44" borderId="24" xfId="0" applyNumberFormat="1" applyFont="1" applyFill="1" applyBorder="1" applyAlignment="1">
      <alignment horizontal="center" wrapText="1"/>
    </xf>
    <xf numFmtId="166" fontId="14" fillId="44" borderId="24" xfId="0" applyNumberFormat="1" applyFont="1" applyFill="1" applyBorder="1" applyAlignment="1">
      <alignment horizontal="center" wrapText="1"/>
    </xf>
    <xf numFmtId="3" fontId="14" fillId="52" borderId="23" xfId="0" applyNumberFormat="1" applyFont="1" applyFill="1" applyBorder="1" applyAlignment="1">
      <alignment horizontal="center"/>
    </xf>
    <xf numFmtId="3" fontId="14" fillId="52" borderId="24" xfId="0" applyNumberFormat="1" applyFont="1" applyFill="1" applyBorder="1" applyAlignment="1">
      <alignment horizontal="center" wrapText="1"/>
    </xf>
    <xf numFmtId="3" fontId="14" fillId="52" borderId="29" xfId="0" applyNumberFormat="1" applyFont="1" applyFill="1" applyBorder="1" applyAlignment="1">
      <alignment horizontal="center"/>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14" fillId="0" borderId="0" xfId="0" applyFont="1" applyFill="1" applyBorder="1" applyAlignment="1">
      <alignment horizontal="left"/>
    </xf>
    <xf numFmtId="0" fontId="20" fillId="0" borderId="0" xfId="509" quotePrefix="1" applyFont="1" applyFill="1" applyBorder="1" applyAlignment="1">
      <alignment horizontal="left" vertical="top"/>
    </xf>
    <xf numFmtId="0" fontId="2" fillId="0" borderId="0" xfId="0" applyFont="1" applyFill="1" applyBorder="1"/>
    <xf numFmtId="0" fontId="0" fillId="0" borderId="0" xfId="0" applyFont="1" applyFill="1" applyBorder="1" applyAlignment="1"/>
    <xf numFmtId="167" fontId="14" fillId="42" borderId="5" xfId="2" applyNumberFormat="1" applyFont="1" applyFill="1" applyBorder="1" applyAlignment="1">
      <alignment horizontal="center"/>
    </xf>
    <xf numFmtId="0" fontId="0" fillId="42" borderId="0" xfId="0" applyFill="1" applyAlignment="1">
      <alignment horizontal="center"/>
    </xf>
    <xf numFmtId="0" fontId="0" fillId="42" borderId="1" xfId="0" applyFill="1" applyBorder="1" applyAlignment="1">
      <alignment horizontal="left"/>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0"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applyFill="1" applyBorder="1" applyAlignment="1">
      <alignment horizontal="left" indent="2"/>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0" fontId="14" fillId="44" borderId="29" xfId="0" applyFont="1" applyFill="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0" fontId="14" fillId="0" borderId="0" xfId="0" applyFont="1" applyFill="1" applyBorder="1" applyAlignment="1"/>
    <xf numFmtId="0" fontId="14" fillId="0" borderId="27" xfId="0" applyFont="1" applyBorder="1"/>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66" fontId="20" fillId="44" borderId="21" xfId="37" applyNumberFormat="1" applyFont="1" applyFill="1" applyBorder="1" applyAlignment="1">
      <alignment horizontal="center"/>
    </xf>
    <xf numFmtId="1" fontId="0" fillId="0" borderId="0" xfId="0" applyNumberFormat="1" applyAlignment="1">
      <alignment horizontal="center"/>
    </xf>
    <xf numFmtId="0" fontId="14" fillId="52" borderId="29" xfId="0" applyFont="1" applyFill="1" applyBorder="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27" xfId="0" quotePrefix="1" applyNumberFormat="1" applyFont="1" applyFill="1" applyBorder="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0" fontId="0" fillId="0" borderId="0" xfId="0" applyFill="1" applyBorder="1"/>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3" fontId="14" fillId="52" borderId="27"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2" fillId="0" borderId="0" xfId="0" applyFont="1" applyBorder="1"/>
    <xf numFmtId="0" fontId="14" fillId="0" borderId="7" xfId="0" applyFont="1" applyBorder="1" applyAlignment="1">
      <alignment horizontal="center"/>
    </xf>
    <xf numFmtId="0" fontId="0" fillId="0" borderId="0" xfId="0" applyBorder="1" applyAlignment="1">
      <alignment horizontal="center"/>
    </xf>
    <xf numFmtId="0" fontId="0" fillId="41" borderId="18" xfId="0" applyFill="1" applyBorder="1" applyAlignment="1">
      <alignment horizontal="center"/>
    </xf>
    <xf numFmtId="3" fontId="48" fillId="0" borderId="35" xfId="0" quotePrefix="1" applyNumberFormat="1" applyFont="1" applyBorder="1" applyAlignment="1">
      <alignment horizontal="left"/>
    </xf>
    <xf numFmtId="0" fontId="0" fillId="0" borderId="19" xfId="0" applyBorder="1" applyAlignment="1">
      <alignment horizontal="left" wrapText="1" indent="2"/>
    </xf>
    <xf numFmtId="166" fontId="0" fillId="0" borderId="17" xfId="0" applyNumberFormat="1" applyBorder="1" applyAlignment="1">
      <alignment horizontal="center"/>
    </xf>
    <xf numFmtId="166" fontId="0" fillId="44" borderId="17" xfId="0" applyNumberFormat="1" applyFill="1" applyBorder="1" applyAlignment="1">
      <alignment horizontal="center"/>
    </xf>
    <xf numFmtId="0" fontId="0" fillId="44" borderId="19" xfId="0"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164" fontId="14" fillId="56" borderId="7" xfId="0" applyNumberFormat="1" applyFont="1" applyFill="1" applyBorder="1" applyAlignment="1">
      <alignment horizontal="center"/>
    </xf>
    <xf numFmtId="0" fontId="64" fillId="0" borderId="0" xfId="0" applyFont="1" applyFill="1" applyBorder="1" applyAlignment="1">
      <alignment horizontal="center"/>
    </xf>
    <xf numFmtId="0" fontId="0" fillId="0" borderId="0" xfId="0" applyFill="1" applyBorder="1" applyAlignment="1">
      <alignment vertical="top" wrapText="1"/>
    </xf>
    <xf numFmtId="0" fontId="64"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14" fillId="0" borderId="1" xfId="0" applyFont="1" applyBorder="1" applyAlignment="1">
      <alignment horizontal="left" wrapText="1"/>
    </xf>
    <xf numFmtId="0" fontId="49" fillId="0" borderId="1" xfId="0" applyFont="1" applyBorder="1" applyAlignment="1">
      <alignment horizontal="right" wrapText="1" indent="3"/>
    </xf>
    <xf numFmtId="173" fontId="14" fillId="0" borderId="0" xfId="0" applyNumberFormat="1" applyFont="1"/>
    <xf numFmtId="2" fontId="14" fillId="0" borderId="0" xfId="0" applyNumberFormat="1" applyFont="1"/>
    <xf numFmtId="164" fontId="14" fillId="50" borderId="0" xfId="0" applyNumberFormat="1" applyFont="1" applyFill="1"/>
    <xf numFmtId="0" fontId="71" fillId="0" borderId="0" xfId="0" applyFont="1"/>
    <xf numFmtId="3" fontId="66" fillId="0" borderId="0" xfId="0" applyNumberFormat="1" applyFont="1"/>
    <xf numFmtId="14" fontId="14" fillId="44" borderId="6" xfId="0" applyNumberFormat="1" applyFont="1" applyFill="1" applyBorder="1"/>
    <xf numFmtId="0" fontId="14" fillId="44" borderId="5" xfId="0" applyFont="1" applyFill="1" applyBorder="1"/>
    <xf numFmtId="0" fontId="14" fillId="44" borderId="21" xfId="0" applyFont="1" applyFill="1" applyBorder="1"/>
    <xf numFmtId="10" fontId="0" fillId="0" borderId="0" xfId="2" applyNumberFormat="1" applyFont="1"/>
    <xf numFmtId="0" fontId="2" fillId="0" borderId="0" xfId="0" applyFont="1" applyAlignment="1">
      <alignment horizontal="center"/>
    </xf>
    <xf numFmtId="0" fontId="2" fillId="0" borderId="40" xfId="0" applyFont="1" applyBorder="1"/>
    <xf numFmtId="0" fontId="0" fillId="0" borderId="41" xfId="0" applyBorder="1"/>
    <xf numFmtId="0" fontId="0" fillId="0" borderId="43" xfId="0" applyBorder="1"/>
    <xf numFmtId="0" fontId="0" fillId="0" borderId="46" xfId="0" applyBorder="1"/>
    <xf numFmtId="0" fontId="0" fillId="0" borderId="47" xfId="0" applyBorder="1"/>
    <xf numFmtId="0" fontId="0" fillId="0" borderId="48" xfId="0" applyBorder="1" applyAlignment="1">
      <alignment horizontal="center"/>
    </xf>
    <xf numFmtId="0" fontId="0" fillId="0" borderId="45" xfId="0" applyBorder="1" applyAlignment="1">
      <alignment horizontal="center"/>
    </xf>
    <xf numFmtId="0" fontId="0" fillId="0" borderId="49" xfId="0" applyBorder="1" applyAlignment="1">
      <alignment horizontal="center"/>
    </xf>
    <xf numFmtId="0" fontId="2" fillId="46" borderId="0" xfId="0" applyFont="1" applyFill="1"/>
    <xf numFmtId="0" fontId="73" fillId="46" borderId="50" xfId="0" applyFont="1" applyFill="1" applyBorder="1"/>
    <xf numFmtId="166" fontId="2" fillId="46" borderId="52" xfId="0" applyNumberFormat="1" applyFont="1" applyFill="1" applyBorder="1" applyAlignment="1">
      <alignment horizontal="right"/>
    </xf>
    <xf numFmtId="166" fontId="2" fillId="46" borderId="0" xfId="0" applyNumberFormat="1" applyFont="1" applyFill="1" applyAlignment="1">
      <alignment horizontal="right"/>
    </xf>
    <xf numFmtId="166" fontId="2" fillId="46" borderId="53" xfId="0" applyNumberFormat="1" applyFont="1" applyFill="1" applyBorder="1" applyAlignment="1">
      <alignment horizontal="right"/>
    </xf>
    <xf numFmtId="0" fontId="73" fillId="0" borderId="51" xfId="0" applyFont="1" applyBorder="1"/>
    <xf numFmtId="166" fontId="2" fillId="0" borderId="54" xfId="0" applyNumberFormat="1" applyFont="1" applyBorder="1" applyAlignment="1">
      <alignment horizontal="right"/>
    </xf>
    <xf numFmtId="166" fontId="2" fillId="0" borderId="0" xfId="0" applyNumberFormat="1" applyFont="1" applyAlignment="1">
      <alignment horizontal="right"/>
    </xf>
    <xf numFmtId="166" fontId="2" fillId="0" borderId="53" xfId="0" applyNumberFormat="1" applyFont="1" applyBorder="1" applyAlignment="1">
      <alignment horizontal="right"/>
    </xf>
    <xf numFmtId="0" fontId="0" fillId="46" borderId="0" xfId="0" applyFill="1"/>
    <xf numFmtId="0" fontId="0" fillId="46" borderId="51" xfId="0" applyFill="1" applyBorder="1"/>
    <xf numFmtId="166" fontId="0" fillId="46" borderId="54" xfId="0" applyNumberFormat="1" applyFill="1" applyBorder="1" applyAlignment="1">
      <alignment horizontal="right"/>
    </xf>
    <xf numFmtId="166" fontId="0" fillId="46" borderId="0" xfId="0" applyNumberFormat="1" applyFill="1" applyAlignment="1">
      <alignment horizontal="right"/>
    </xf>
    <xf numFmtId="166" fontId="0" fillId="46" borderId="53" xfId="0" applyNumberFormat="1" applyFill="1" applyBorder="1" applyAlignment="1">
      <alignment horizontal="right"/>
    </xf>
    <xf numFmtId="0" fontId="0" fillId="0" borderId="51" xfId="0" applyBorder="1"/>
    <xf numFmtId="166" fontId="0" fillId="0" borderId="54" xfId="0" applyNumberFormat="1" applyBorder="1" applyAlignment="1">
      <alignment horizontal="right"/>
    </xf>
    <xf numFmtId="166" fontId="0" fillId="0" borderId="0" xfId="0" applyNumberFormat="1" applyAlignment="1">
      <alignment horizontal="right"/>
    </xf>
    <xf numFmtId="166" fontId="0" fillId="0" borderId="53" xfId="0" applyNumberFormat="1" applyBorder="1" applyAlignment="1">
      <alignment horizontal="right"/>
    </xf>
    <xf numFmtId="0" fontId="73" fillId="46" borderId="51" xfId="0" applyFont="1" applyFill="1" applyBorder="1"/>
    <xf numFmtId="166" fontId="2" fillId="46" borderId="54" xfId="0" applyNumberFormat="1" applyFont="1" applyFill="1" applyBorder="1" applyAlignment="1">
      <alignment horizontal="right"/>
    </xf>
    <xf numFmtId="0" fontId="69" fillId="46" borderId="51" xfId="0" applyFont="1" applyFill="1" applyBorder="1"/>
    <xf numFmtId="0" fontId="69" fillId="0" borderId="51" xfId="0" applyFont="1" applyBorder="1"/>
    <xf numFmtId="0" fontId="69" fillId="0" borderId="51" xfId="0" applyFont="1" applyBorder="1" applyAlignment="1">
      <alignment horizontal="left"/>
    </xf>
    <xf numFmtId="0" fontId="0" fillId="0" borderId="51" xfId="0" applyBorder="1" applyAlignment="1">
      <alignment horizontal="left"/>
    </xf>
    <xf numFmtId="0" fontId="75" fillId="46" borderId="51" xfId="509" quotePrefix="1" applyFont="1" applyFill="1" applyBorder="1" applyAlignment="1">
      <alignment horizontal="left"/>
    </xf>
    <xf numFmtId="0" fontId="75" fillId="0" borderId="51" xfId="509" quotePrefix="1" applyFont="1" applyBorder="1" applyAlignment="1">
      <alignment horizontal="left"/>
    </xf>
    <xf numFmtId="0" fontId="76" fillId="46" borderId="51" xfId="0" applyFont="1" applyFill="1" applyBorder="1" applyAlignment="1">
      <alignment horizontal="left" indent="3"/>
    </xf>
    <xf numFmtId="0" fontId="77" fillId="46" borderId="51" xfId="0" applyFont="1" applyFill="1" applyBorder="1" applyAlignment="1">
      <alignment horizontal="left"/>
    </xf>
    <xf numFmtId="166" fontId="0" fillId="0" borderId="56" xfId="0" applyNumberFormat="1" applyBorder="1" applyAlignment="1">
      <alignment horizontal="right"/>
    </xf>
    <xf numFmtId="0" fontId="2" fillId="46" borderId="39" xfId="0" applyFont="1" applyFill="1" applyBorder="1"/>
    <xf numFmtId="0" fontId="73" fillId="46" borderId="57" xfId="0" applyFont="1" applyFill="1" applyBorder="1"/>
    <xf numFmtId="166" fontId="2" fillId="46" borderId="58" xfId="0" applyNumberFormat="1" applyFont="1" applyFill="1" applyBorder="1" applyAlignment="1">
      <alignment horizontal="right"/>
    </xf>
    <xf numFmtId="166" fontId="2" fillId="46" borderId="39" xfId="0" applyNumberFormat="1" applyFont="1" applyFill="1" applyBorder="1" applyAlignment="1">
      <alignment horizontal="right"/>
    </xf>
    <xf numFmtId="166" fontId="2" fillId="46" borderId="59" xfId="0" applyNumberFormat="1" applyFont="1" applyFill="1" applyBorder="1" applyAlignment="1">
      <alignment horizontal="right"/>
    </xf>
    <xf numFmtId="0" fontId="75" fillId="0" borderId="0" xfId="0" quotePrefix="1" applyFont="1"/>
    <xf numFmtId="0" fontId="0" fillId="0" borderId="0" xfId="0" quotePrefix="1"/>
    <xf numFmtId="0" fontId="75" fillId="0" borderId="0" xfId="315" applyFont="1" applyAlignment="1">
      <alignment horizontal="left" vertical="center"/>
    </xf>
    <xf numFmtId="0" fontId="42" fillId="0" borderId="0" xfId="315" applyFill="1"/>
    <xf numFmtId="0" fontId="42" fillId="0" borderId="0" xfId="315" applyAlignment="1">
      <alignment horizontal="left" vertical="center"/>
    </xf>
    <xf numFmtId="0" fontId="75" fillId="0" borderId="0" xfId="315" applyFont="1" applyFill="1" applyAlignment="1">
      <alignment horizontal="left" vertical="center"/>
    </xf>
    <xf numFmtId="0" fontId="75" fillId="0" borderId="0" xfId="315" applyFont="1" applyFill="1"/>
    <xf numFmtId="0" fontId="0" fillId="0" borderId="0" xfId="0" applyAlignment="1">
      <alignment horizontal="left" vertical="center"/>
    </xf>
    <xf numFmtId="0" fontId="79" fillId="0" borderId="0" xfId="315" applyFont="1" applyFill="1"/>
    <xf numFmtId="0" fontId="81" fillId="0" borderId="0" xfId="315" applyFont="1" applyFill="1" applyAlignment="1">
      <alignment horizontal="left" vertical="center"/>
    </xf>
    <xf numFmtId="0" fontId="42" fillId="0" borderId="0" xfId="315"/>
    <xf numFmtId="0" fontId="0" fillId="0" borderId="0" xfId="0" applyAlignment="1">
      <alignment horizontal="left" vertical="center" indent="2"/>
    </xf>
    <xf numFmtId="0" fontId="0" fillId="0" borderId="0" xfId="0" applyFill="1" applyBorder="1" applyAlignment="1">
      <alignment horizontal="center"/>
    </xf>
    <xf numFmtId="166" fontId="0" fillId="0" borderId="0" xfId="0" applyNumberFormat="1"/>
    <xf numFmtId="0" fontId="0" fillId="44" borderId="0" xfId="0" applyFill="1"/>
    <xf numFmtId="0" fontId="0" fillId="44" borderId="55" xfId="0" applyFill="1" applyBorder="1"/>
    <xf numFmtId="166" fontId="0" fillId="44" borderId="54" xfId="0" applyNumberFormat="1" applyFill="1" applyBorder="1" applyAlignment="1">
      <alignment horizontal="right"/>
    </xf>
    <xf numFmtId="166" fontId="0" fillId="44" borderId="0" xfId="0" applyNumberFormat="1" applyFill="1" applyAlignment="1">
      <alignment horizontal="right"/>
    </xf>
    <xf numFmtId="166" fontId="0" fillId="44" borderId="53" xfId="0" applyNumberFormat="1" applyFill="1" applyBorder="1" applyAlignment="1">
      <alignment horizontal="right"/>
    </xf>
    <xf numFmtId="0" fontId="0" fillId="44" borderId="51" xfId="0" applyFill="1" applyBorder="1"/>
    <xf numFmtId="0" fontId="0" fillId="44" borderId="51" xfId="0" applyFill="1" applyBorder="1" applyAlignment="1">
      <alignment horizontal="left"/>
    </xf>
    <xf numFmtId="0" fontId="2" fillId="44" borderId="0" xfId="0" applyFont="1" applyFill="1"/>
    <xf numFmtId="0" fontId="73" fillId="44" borderId="51" xfId="0" applyFont="1" applyFill="1" applyBorder="1"/>
    <xf numFmtId="166" fontId="2" fillId="44" borderId="54" xfId="0" applyNumberFormat="1" applyFont="1" applyFill="1" applyBorder="1" applyAlignment="1">
      <alignment horizontal="right"/>
    </xf>
    <xf numFmtId="166" fontId="2" fillId="44" borderId="0" xfId="0" applyNumberFormat="1" applyFont="1" applyFill="1" applyAlignment="1">
      <alignment horizontal="right"/>
    </xf>
    <xf numFmtId="166" fontId="2" fillId="44" borderId="53" xfId="0" applyNumberFormat="1" applyFont="1" applyFill="1" applyBorder="1" applyAlignment="1">
      <alignment horizontal="right"/>
    </xf>
    <xf numFmtId="166" fontId="0" fillId="44" borderId="0" xfId="0" applyNumberFormat="1" applyFill="1"/>
    <xf numFmtId="1" fontId="0" fillId="44" borderId="0" xfId="0" applyNumberFormat="1" applyFill="1"/>
    <xf numFmtId="166" fontId="2" fillId="0" borderId="0" xfId="0" applyNumberFormat="1" applyFont="1" applyFill="1" applyBorder="1" applyAlignment="1">
      <alignment horizontal="right"/>
    </xf>
    <xf numFmtId="166" fontId="2" fillId="44" borderId="0" xfId="0" applyNumberFormat="1" applyFont="1" applyFill="1" applyBorder="1" applyAlignment="1">
      <alignment horizontal="right"/>
    </xf>
    <xf numFmtId="3" fontId="0" fillId="44" borderId="0" xfId="0" applyNumberFormat="1" applyFill="1"/>
    <xf numFmtId="0" fontId="0" fillId="0" borderId="51" xfId="0" applyFill="1" applyBorder="1"/>
    <xf numFmtId="166" fontId="0" fillId="0" borderId="54" xfId="0" applyNumberFormat="1" applyFill="1" applyBorder="1" applyAlignment="1">
      <alignment horizontal="right"/>
    </xf>
    <xf numFmtId="166" fontId="0" fillId="0" borderId="0" xfId="0" applyNumberFormat="1" applyFill="1" applyAlignment="1">
      <alignment horizontal="right"/>
    </xf>
    <xf numFmtId="166" fontId="0" fillId="0" borderId="53" xfId="0" applyNumberFormat="1" applyFill="1" applyBorder="1" applyAlignment="1">
      <alignment horizontal="right"/>
    </xf>
    <xf numFmtId="166" fontId="0" fillId="0" borderId="0" xfId="0" applyNumberFormat="1" applyFill="1"/>
    <xf numFmtId="0" fontId="45" fillId="0" borderId="0" xfId="0" applyFont="1"/>
    <xf numFmtId="174" fontId="45" fillId="0" borderId="0" xfId="0" applyNumberFormat="1" applyFont="1" applyAlignment="1">
      <alignment horizontal="right"/>
    </xf>
    <xf numFmtId="0" fontId="82" fillId="0" borderId="0" xfId="0" applyFont="1" applyAlignment="1">
      <alignment horizontal="center"/>
    </xf>
    <xf numFmtId="0" fontId="82" fillId="0" borderId="0" xfId="0" applyFont="1"/>
    <xf numFmtId="0" fontId="45" fillId="0" borderId="61" xfId="0" applyFont="1" applyBorder="1"/>
    <xf numFmtId="0" fontId="45" fillId="0" borderId="0" xfId="0" applyFont="1" applyAlignment="1">
      <alignment horizontal="center"/>
    </xf>
    <xf numFmtId="0" fontId="45" fillId="0" borderId="70" xfId="0" applyFont="1" applyBorder="1"/>
    <xf numFmtId="0" fontId="45" fillId="0" borderId="71" xfId="0" applyFont="1" applyBorder="1"/>
    <xf numFmtId="0" fontId="45" fillId="0" borderId="72" xfId="0" applyFont="1" applyBorder="1" applyAlignment="1">
      <alignment horizontal="center"/>
    </xf>
    <xf numFmtId="0" fontId="45" fillId="0" borderId="73" xfId="0" applyFont="1" applyBorder="1" applyAlignment="1">
      <alignment horizontal="center"/>
    </xf>
    <xf numFmtId="0" fontId="45" fillId="0" borderId="70" xfId="0" applyFont="1" applyBorder="1" applyAlignment="1">
      <alignment horizontal="center"/>
    </xf>
    <xf numFmtId="0" fontId="45" fillId="0" borderId="74" xfId="0" applyFont="1" applyBorder="1" applyAlignment="1">
      <alignment horizontal="center"/>
    </xf>
    <xf numFmtId="0" fontId="45" fillId="0" borderId="75" xfId="0" applyFont="1" applyBorder="1" applyAlignment="1">
      <alignment horizontal="center"/>
    </xf>
    <xf numFmtId="0" fontId="45" fillId="0" borderId="76" xfId="0" applyFont="1" applyBorder="1" applyAlignment="1">
      <alignment horizontal="center"/>
    </xf>
    <xf numFmtId="0" fontId="82" fillId="58" borderId="0" xfId="0" applyFont="1" applyFill="1"/>
    <xf numFmtId="0" fontId="72" fillId="58" borderId="77" xfId="0" applyFont="1" applyFill="1" applyBorder="1"/>
    <xf numFmtId="166" fontId="82" fillId="58" borderId="77" xfId="0" applyNumberFormat="1" applyFont="1" applyFill="1" applyBorder="1" applyAlignment="1">
      <alignment horizontal="right"/>
    </xf>
    <xf numFmtId="166" fontId="82" fillId="58" borderId="78" xfId="0" applyNumberFormat="1" applyFont="1" applyFill="1" applyBorder="1" applyAlignment="1">
      <alignment horizontal="right"/>
    </xf>
    <xf numFmtId="166" fontId="82" fillId="58" borderId="0" xfId="0" applyNumberFormat="1" applyFont="1" applyFill="1" applyAlignment="1">
      <alignment horizontal="right"/>
    </xf>
    <xf numFmtId="166" fontId="82" fillId="58" borderId="79" xfId="0" applyNumberFormat="1" applyFont="1" applyFill="1" applyBorder="1" applyAlignment="1">
      <alignment horizontal="right"/>
    </xf>
    <xf numFmtId="0" fontId="72" fillId="0" borderId="77" xfId="0" applyFont="1" applyBorder="1"/>
    <xf numFmtId="166" fontId="82" fillId="0" borderId="77" xfId="0" applyNumberFormat="1" applyFont="1" applyBorder="1" applyAlignment="1">
      <alignment horizontal="right"/>
    </xf>
    <xf numFmtId="166" fontId="82" fillId="0" borderId="78" xfId="0" applyNumberFormat="1" applyFont="1" applyBorder="1" applyAlignment="1">
      <alignment horizontal="right"/>
    </xf>
    <xf numFmtId="166" fontId="82" fillId="0" borderId="0" xfId="0" applyNumberFormat="1" applyFont="1" applyAlignment="1">
      <alignment horizontal="right"/>
    </xf>
    <xf numFmtId="166" fontId="82" fillId="0" borderId="79" xfId="0" applyNumberFormat="1" applyFont="1" applyBorder="1" applyAlignment="1">
      <alignment horizontal="right"/>
    </xf>
    <xf numFmtId="0" fontId="45" fillId="58" borderId="0" xfId="0" applyFont="1" applyFill="1"/>
    <xf numFmtId="0" fontId="45" fillId="58" borderId="77" xfId="0" applyFont="1" applyFill="1" applyBorder="1"/>
    <xf numFmtId="166" fontId="45" fillId="58" borderId="77" xfId="0" applyNumberFormat="1" applyFont="1" applyFill="1" applyBorder="1" applyAlignment="1">
      <alignment horizontal="right"/>
    </xf>
    <xf numFmtId="166" fontId="45" fillId="58" borderId="78" xfId="0" applyNumberFormat="1" applyFont="1" applyFill="1" applyBorder="1" applyAlignment="1">
      <alignment horizontal="right"/>
    </xf>
    <xf numFmtId="166" fontId="45" fillId="58" borderId="0" xfId="0" applyNumberFormat="1" applyFont="1" applyFill="1" applyAlignment="1">
      <alignment horizontal="right"/>
    </xf>
    <xf numFmtId="166" fontId="45" fillId="58" borderId="79" xfId="0" applyNumberFormat="1" applyFont="1" applyFill="1" applyBorder="1" applyAlignment="1">
      <alignment horizontal="right"/>
    </xf>
    <xf numFmtId="0" fontId="45" fillId="0" borderId="77" xfId="0" applyFont="1" applyBorder="1"/>
    <xf numFmtId="166" fontId="45" fillId="0" borderId="77" xfId="0" applyNumberFormat="1" applyFont="1" applyBorder="1" applyAlignment="1">
      <alignment horizontal="right"/>
    </xf>
    <xf numFmtId="166" fontId="45" fillId="0" borderId="78" xfId="0" applyNumberFormat="1" applyFont="1" applyBorder="1" applyAlignment="1">
      <alignment horizontal="right"/>
    </xf>
    <xf numFmtId="166" fontId="45" fillId="0" borderId="0" xfId="0" applyNumberFormat="1" applyFont="1" applyAlignment="1">
      <alignment horizontal="right"/>
    </xf>
    <xf numFmtId="166" fontId="45" fillId="0" borderId="79" xfId="0" applyNumberFormat="1" applyFont="1" applyBorder="1" applyAlignment="1">
      <alignment horizontal="right"/>
    </xf>
    <xf numFmtId="0" fontId="83" fillId="58" borderId="77" xfId="0" applyFont="1" applyFill="1" applyBorder="1"/>
    <xf numFmtId="0" fontId="45" fillId="0" borderId="80" xfId="0" applyFont="1" applyBorder="1"/>
    <xf numFmtId="0" fontId="83" fillId="0" borderId="77" xfId="0" applyFont="1" applyBorder="1"/>
    <xf numFmtId="0" fontId="83" fillId="0" borderId="77" xfId="0" applyFont="1" applyBorder="1" applyAlignment="1">
      <alignment horizontal="left"/>
    </xf>
    <xf numFmtId="0" fontId="45" fillId="0" borderId="77" xfId="0" applyFont="1" applyBorder="1" applyAlignment="1">
      <alignment horizontal="left"/>
    </xf>
    <xf numFmtId="0" fontId="75" fillId="58" borderId="77" xfId="0" applyFont="1" applyFill="1" applyBorder="1" applyAlignment="1">
      <alignment horizontal="left"/>
    </xf>
    <xf numFmtId="0" fontId="75" fillId="0" borderId="77" xfId="0" applyFont="1" applyBorder="1" applyAlignment="1">
      <alignment horizontal="left"/>
    </xf>
    <xf numFmtId="0" fontId="45" fillId="58" borderId="77" xfId="0" applyFont="1" applyFill="1" applyBorder="1" applyAlignment="1">
      <alignment horizontal="left"/>
    </xf>
    <xf numFmtId="0" fontId="86" fillId="58" borderId="77" xfId="0" applyFont="1" applyFill="1" applyBorder="1" applyAlignment="1">
      <alignment horizontal="left" indent="3"/>
    </xf>
    <xf numFmtId="0" fontId="75" fillId="0" borderId="0" xfId="0" applyFont="1"/>
    <xf numFmtId="0" fontId="82" fillId="58" borderId="60" xfId="0" applyFont="1" applyFill="1" applyBorder="1"/>
    <xf numFmtId="0" fontId="72" fillId="58" borderId="81" xfId="0" applyFont="1" applyFill="1" applyBorder="1"/>
    <xf numFmtId="166" fontId="82" fillId="58" borderId="81" xfId="0" applyNumberFormat="1" applyFont="1" applyFill="1" applyBorder="1" applyAlignment="1">
      <alignment horizontal="right"/>
    </xf>
    <xf numFmtId="166" fontId="82" fillId="58" borderId="82" xfId="0" applyNumberFormat="1" applyFont="1" applyFill="1" applyBorder="1" applyAlignment="1">
      <alignment horizontal="right"/>
    </xf>
    <xf numFmtId="166" fontId="82" fillId="58" borderId="60" xfId="0" applyNumberFormat="1" applyFont="1" applyFill="1" applyBorder="1" applyAlignment="1">
      <alignment horizontal="right"/>
    </xf>
    <xf numFmtId="166" fontId="82" fillId="58" borderId="83" xfId="0" applyNumberFormat="1" applyFont="1" applyFill="1" applyBorder="1" applyAlignment="1">
      <alignment horizontal="right"/>
    </xf>
    <xf numFmtId="0" fontId="75" fillId="0" borderId="0" xfId="0" applyFont="1" applyAlignment="1">
      <alignment horizontal="left" vertical="center"/>
    </xf>
    <xf numFmtId="0" fontId="19" fillId="0" borderId="0" xfId="7" applyAlignment="1">
      <alignment horizontal="left" vertical="center"/>
    </xf>
    <xf numFmtId="0" fontId="89" fillId="0" borderId="0" xfId="0" applyFont="1" applyAlignment="1">
      <alignment horizontal="left" vertical="center"/>
    </xf>
    <xf numFmtId="0" fontId="45" fillId="0" borderId="0" xfId="0" applyFont="1" applyAlignment="1">
      <alignment horizontal="left" vertical="center"/>
    </xf>
    <xf numFmtId="0" fontId="90" fillId="0" borderId="0" xfId="0" applyFont="1"/>
    <xf numFmtId="0" fontId="90" fillId="0" borderId="0" xfId="0" applyFont="1" applyAlignment="1">
      <alignment horizontal="left" vertical="center"/>
    </xf>
    <xf numFmtId="0" fontId="45" fillId="0" borderId="0" xfId="0" applyFont="1" applyAlignment="1">
      <alignment horizontal="left" vertical="center" indent="2"/>
    </xf>
    <xf numFmtId="4" fontId="20" fillId="0" borderId="0" xfId="11" applyNumberFormat="1" applyFont="1"/>
    <xf numFmtId="0" fontId="45" fillId="0" borderId="67" xfId="0" applyFont="1" applyBorder="1" applyAlignment="1">
      <alignment horizontal="center"/>
    </xf>
    <xf numFmtId="0" fontId="45" fillId="0" borderId="65" xfId="0" applyFont="1" applyBorder="1" applyAlignment="1">
      <alignment horizontal="center"/>
    </xf>
    <xf numFmtId="0" fontId="45" fillId="0" borderId="68" xfId="0" applyFont="1" applyBorder="1" applyAlignment="1">
      <alignment horizontal="center"/>
    </xf>
    <xf numFmtId="0" fontId="45" fillId="0" borderId="66" xfId="0" applyFont="1" applyBorder="1" applyAlignment="1">
      <alignment horizontal="center"/>
    </xf>
    <xf numFmtId="0" fontId="45" fillId="0" borderId="69" xfId="0" applyFont="1" applyBorder="1" applyAlignment="1">
      <alignment horizontal="center"/>
    </xf>
    <xf numFmtId="0" fontId="82" fillId="0" borderId="0" xfId="0" applyFont="1" applyAlignment="1">
      <alignment horizontal="center"/>
    </xf>
    <xf numFmtId="0" fontId="82" fillId="0" borderId="60" xfId="0" applyFont="1" applyBorder="1" applyAlignment="1">
      <alignment horizontal="center"/>
    </xf>
    <xf numFmtId="0" fontId="45" fillId="0" borderId="63" xfId="0" applyFont="1" applyBorder="1" applyAlignment="1">
      <alignment horizontal="center"/>
    </xf>
    <xf numFmtId="0" fontId="45" fillId="0" borderId="62" xfId="0" applyFont="1" applyBorder="1" applyAlignment="1">
      <alignment horizontal="center"/>
    </xf>
    <xf numFmtId="0" fontId="45" fillId="0" borderId="64" xfId="0" applyFont="1" applyBorder="1" applyAlignment="1">
      <alignment horizontal="center"/>
    </xf>
    <xf numFmtId="0" fontId="2" fillId="0" borderId="0" xfId="0" applyFont="1" applyAlignment="1">
      <alignment horizontal="center"/>
    </xf>
    <xf numFmtId="0" fontId="2" fillId="0" borderId="39" xfId="0" applyFont="1" applyBorder="1" applyAlignment="1">
      <alignment horizontal="center"/>
    </xf>
    <xf numFmtId="0" fontId="0" fillId="0" borderId="85" xfId="0" applyBorder="1" applyAlignment="1">
      <alignment horizontal="center"/>
    </xf>
    <xf numFmtId="0" fontId="0" fillId="0" borderId="42" xfId="0" applyBorder="1" applyAlignment="1">
      <alignment horizontal="center"/>
    </xf>
    <xf numFmtId="0" fontId="0" fillId="0" borderId="84" xfId="0" applyBorder="1" applyAlignment="1">
      <alignment horizontal="center"/>
    </xf>
    <xf numFmtId="0" fontId="0" fillId="0" borderId="44" xfId="0" applyBorder="1" applyAlignment="1">
      <alignment horizontal="center"/>
    </xf>
    <xf numFmtId="0" fontId="17" fillId="0" borderId="0" xfId="5" applyAlignment="1">
      <alignment horizontal="center"/>
    </xf>
    <xf numFmtId="0" fontId="14" fillId="0" borderId="1" xfId="0" applyFont="1" applyBorder="1" applyAlignment="1">
      <alignment horizontal="left" vertical="top" wrapText="1"/>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52" borderId="29" xfId="0" applyFont="1" applyFill="1" applyBorder="1" applyAlignment="1">
      <alignment horizontal="center" wrapText="1"/>
    </xf>
    <xf numFmtId="0" fontId="14" fillId="52" borderId="24" xfId="0" applyFont="1" applyFill="1" applyBorder="1" applyAlignment="1">
      <alignment horizontal="center" wrapText="1"/>
    </xf>
    <xf numFmtId="0" fontId="14" fillId="52" borderId="23" xfId="0" applyFont="1" applyFill="1" applyBorder="1" applyAlignment="1">
      <alignment horizontal="center" wrapText="1"/>
    </xf>
    <xf numFmtId="0" fontId="14" fillId="44" borderId="19" xfId="0" applyFont="1" applyFill="1" applyBorder="1" applyAlignment="1">
      <alignment horizontal="center" wrapText="1"/>
    </xf>
    <xf numFmtId="0" fontId="14" fillId="44" borderId="7" xfId="0" applyFont="1" applyFill="1" applyBorder="1" applyAlignment="1">
      <alignment horizontal="center" wrapText="1"/>
    </xf>
    <xf numFmtId="0" fontId="14" fillId="44" borderId="21" xfId="0" applyFont="1" applyFill="1" applyBorder="1" applyAlignment="1">
      <alignment horizontal="center" wrapText="1"/>
    </xf>
    <xf numFmtId="0" fontId="48" fillId="0" borderId="0" xfId="0" applyFont="1" applyAlignment="1">
      <alignment horizontal="left" vertical="top"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48" fillId="52" borderId="18" xfId="0" applyFont="1" applyFill="1" applyBorder="1" applyAlignment="1">
      <alignment horizontal="center"/>
    </xf>
    <xf numFmtId="0" fontId="48" fillId="52" borderId="17" xfId="0" applyFont="1" applyFill="1" applyBorder="1" applyAlignment="1">
      <alignment horizontal="center"/>
    </xf>
    <xf numFmtId="0" fontId="48" fillId="52" borderId="19"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52" borderId="18" xfId="0" applyFont="1" applyFill="1" applyBorder="1" applyAlignment="1">
      <alignment horizontal="center"/>
    </xf>
    <xf numFmtId="0" fontId="14" fillId="52" borderId="17" xfId="0" applyFont="1" applyFill="1" applyBorder="1" applyAlignment="1">
      <alignment horizontal="center"/>
    </xf>
    <xf numFmtId="0" fontId="14" fillId="52" borderId="19" xfId="0" applyFont="1" applyFill="1" applyBorder="1" applyAlignment="1">
      <alignment horizontal="center"/>
    </xf>
    <xf numFmtId="0" fontId="48" fillId="3" borderId="0" xfId="0" applyFont="1" applyFill="1" applyAlignment="1">
      <alignment horizontal="center"/>
    </xf>
    <xf numFmtId="0" fontId="48" fillId="52" borderId="30" xfId="0" applyFont="1" applyFill="1" applyBorder="1" applyAlignment="1">
      <alignment horizontal="center"/>
    </xf>
    <xf numFmtId="0" fontId="48" fillId="52" borderId="31" xfId="0" applyFont="1" applyFill="1" applyBorder="1" applyAlignment="1">
      <alignment horizontal="center"/>
    </xf>
    <xf numFmtId="0" fontId="48" fillId="52" borderId="32"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4" borderId="2" xfId="0" applyFont="1" applyFill="1" applyBorder="1" applyAlignment="1">
      <alignment horizontal="center"/>
    </xf>
    <xf numFmtId="0" fontId="48" fillId="44" borderId="3" xfId="0" applyFont="1" applyFill="1" applyBorder="1" applyAlignment="1">
      <alignment horizontal="center"/>
    </xf>
    <xf numFmtId="0" fontId="48" fillId="44" borderId="17" xfId="0" applyFont="1" applyFill="1" applyBorder="1" applyAlignment="1">
      <alignment horizontal="center"/>
    </xf>
    <xf numFmtId="0" fontId="48" fillId="44" borderId="4" xfId="0" applyFont="1" applyFill="1" applyBorder="1" applyAlignment="1">
      <alignment horizontal="center"/>
    </xf>
    <xf numFmtId="0" fontId="48" fillId="49" borderId="2" xfId="0" applyFont="1" applyFill="1" applyBorder="1" applyAlignment="1">
      <alignment horizontal="center" vertical="center" wrapText="1"/>
    </xf>
    <xf numFmtId="0" fontId="48" fillId="49" borderId="3" xfId="0" applyFont="1" applyFill="1" applyBorder="1" applyAlignment="1">
      <alignment horizontal="center" vertical="center" wrapText="1"/>
    </xf>
    <xf numFmtId="0" fontId="48" fillId="49" borderId="4" xfId="0" applyFont="1" applyFill="1" applyBorder="1" applyAlignment="1">
      <alignment horizontal="center" vertical="center" wrapText="1"/>
    </xf>
    <xf numFmtId="0" fontId="48" fillId="0" borderId="1" xfId="0" applyFont="1" applyFill="1" applyBorder="1" applyAlignment="1">
      <alignment horizontal="center" vertical="top" wrapText="1"/>
    </xf>
    <xf numFmtId="0" fontId="48" fillId="0" borderId="7" xfId="0" applyFont="1" applyFill="1" applyBorder="1" applyAlignment="1">
      <alignment horizontal="center" vertical="top" wrapText="1"/>
    </xf>
    <xf numFmtId="0" fontId="48" fillId="0" borderId="1" xfId="0" applyFont="1" applyBorder="1" applyAlignment="1">
      <alignment horizontal="center"/>
    </xf>
    <xf numFmtId="0" fontId="14" fillId="0" borderId="7" xfId="0" applyFont="1" applyBorder="1" applyAlignment="1">
      <alignment horizontal="center"/>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21" fillId="41" borderId="6" xfId="0" applyFont="1" applyFill="1" applyBorder="1" applyAlignment="1">
      <alignment horizontal="center" vertical="center" wrapText="1"/>
    </xf>
    <xf numFmtId="0" fontId="21" fillId="41" borderId="21" xfId="0" applyFont="1" applyFill="1" applyBorder="1" applyAlignment="1">
      <alignment horizontal="center" vertical="center" wrapText="1"/>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14" fillId="0" borderId="0" xfId="0" applyFont="1" applyAlignment="1">
      <alignment horizontal="left" vertical="top" wrapText="1"/>
    </xf>
    <xf numFmtId="0" fontId="14" fillId="0" borderId="0" xfId="0" applyFont="1" applyFill="1" applyAlignment="1">
      <alignment horizontal="center"/>
    </xf>
    <xf numFmtId="0" fontId="14" fillId="0" borderId="0" xfId="0" applyFont="1" applyAlignment="1">
      <alignment horizontal="left" vertical="top"/>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7" xfId="0" applyFont="1" applyFill="1" applyBorder="1" applyAlignment="1">
      <alignment horizontal="center" wrapText="1"/>
    </xf>
    <xf numFmtId="0" fontId="48" fillId="41" borderId="6" xfId="0" applyFont="1" applyFill="1" applyBorder="1" applyAlignment="1">
      <alignment horizontal="center" wrapText="1"/>
    </xf>
    <xf numFmtId="0" fontId="48" fillId="41" borderId="21" xfId="0" applyFont="1" applyFill="1" applyBorder="1" applyAlignment="1">
      <alignment horizontal="center" wrapText="1"/>
    </xf>
    <xf numFmtId="0" fontId="14" fillId="41" borderId="27" xfId="0" applyFont="1" applyFill="1" applyBorder="1" applyAlignment="1">
      <alignment horizontal="center"/>
    </xf>
    <xf numFmtId="0" fontId="48" fillId="41" borderId="31" xfId="0" applyFont="1" applyFill="1" applyBorder="1" applyAlignment="1">
      <alignment horizontal="center"/>
    </xf>
    <xf numFmtId="0" fontId="48" fillId="41" borderId="32" xfId="0" applyFont="1" applyFill="1" applyBorder="1" applyAlignment="1">
      <alignment horizontal="center"/>
    </xf>
    <xf numFmtId="0" fontId="48" fillId="44" borderId="30" xfId="0" applyFont="1" applyFill="1" applyBorder="1" applyAlignment="1">
      <alignment horizontal="center"/>
    </xf>
    <xf numFmtId="0" fontId="48" fillId="44" borderId="31" xfId="0" applyFont="1" applyFill="1" applyBorder="1" applyAlignment="1">
      <alignment horizontal="center"/>
    </xf>
    <xf numFmtId="0" fontId="48" fillId="44" borderId="32" xfId="0" applyFont="1" applyFill="1" applyBorder="1" applyAlignment="1">
      <alignment horizontal="center"/>
    </xf>
    <xf numFmtId="0" fontId="14" fillId="0" borderId="1" xfId="0" applyFont="1" applyFill="1" applyBorder="1" applyAlignment="1">
      <alignment horizontal="center"/>
    </xf>
    <xf numFmtId="0" fontId="48" fillId="0" borderId="18" xfId="0" applyFont="1" applyBorder="1" applyAlignment="1">
      <alignment horizontal="center" vertical="top" wrapText="1"/>
    </xf>
    <xf numFmtId="0" fontId="48" fillId="0" borderId="28" xfId="0" applyFont="1" applyBorder="1" applyAlignment="1">
      <alignment horizontal="center" vertical="top" wrapText="1"/>
    </xf>
    <xf numFmtId="0" fontId="48" fillId="49" borderId="0" xfId="0" applyFont="1" applyFill="1" applyAlignment="1">
      <alignment horizontal="center"/>
    </xf>
    <xf numFmtId="0" fontId="14" fillId="44" borderId="26" xfId="0" applyFont="1" applyFill="1" applyBorder="1" applyAlignment="1">
      <alignment horizontal="center"/>
    </xf>
    <xf numFmtId="0" fontId="48" fillId="41" borderId="2" xfId="0" applyFont="1" applyFill="1" applyBorder="1" applyAlignment="1">
      <alignment horizontal="center" wrapText="1"/>
    </xf>
    <xf numFmtId="0" fontId="48" fillId="41" borderId="3" xfId="0" applyFont="1" applyFill="1" applyBorder="1" applyAlignment="1">
      <alignment horizontal="center" wrapText="1"/>
    </xf>
    <xf numFmtId="0" fontId="48" fillId="41" borderId="4" xfId="0" applyFont="1" applyFill="1" applyBorder="1" applyAlignment="1">
      <alignment horizontal="center" wrapText="1"/>
    </xf>
    <xf numFmtId="0" fontId="48" fillId="0" borderId="18" xfId="0" applyFont="1" applyBorder="1" applyAlignment="1">
      <alignment horizontal="center" wrapText="1"/>
    </xf>
    <xf numFmtId="0" fontId="48" fillId="0" borderId="28" xfId="0" applyFont="1" applyBorder="1" applyAlignment="1">
      <alignment horizontal="center" wrapText="1"/>
    </xf>
    <xf numFmtId="0" fontId="48" fillId="0" borderId="1" xfId="0" applyFont="1" applyBorder="1" applyAlignment="1">
      <alignment horizontal="center" vertical="top" wrapText="1"/>
    </xf>
    <xf numFmtId="0" fontId="48" fillId="0" borderId="7" xfId="0" applyFont="1" applyBorder="1" applyAlignment="1">
      <alignment horizontal="center" vertical="top" wrapText="1"/>
    </xf>
    <xf numFmtId="0" fontId="14" fillId="41" borderId="28" xfId="0" applyFont="1" applyFill="1" applyBorder="1" applyAlignment="1">
      <alignment horizontal="center"/>
    </xf>
    <xf numFmtId="0" fontId="48" fillId="41" borderId="18" xfId="0" applyFont="1" applyFill="1" applyBorder="1" applyAlignment="1">
      <alignment horizontal="center"/>
    </xf>
    <xf numFmtId="0" fontId="48" fillId="41" borderId="27" xfId="0" applyFont="1" applyFill="1" applyBorder="1" applyAlignment="1">
      <alignment horizontal="center"/>
    </xf>
    <xf numFmtId="0" fontId="48" fillId="41" borderId="19" xfId="0" applyFont="1" applyFill="1" applyBorder="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14" fillId="41" borderId="26" xfId="0" applyFont="1" applyFill="1" applyBorder="1" applyAlignment="1">
      <alignment horizontal="center"/>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48" fillId="44" borderId="33" xfId="0" applyFont="1" applyFill="1" applyBorder="1" applyAlignment="1">
      <alignment horizontal="center"/>
    </xf>
    <xf numFmtId="0" fontId="48" fillId="44" borderId="34" xfId="0" applyFont="1" applyFill="1" applyBorder="1" applyAlignment="1">
      <alignment horizontal="center"/>
    </xf>
    <xf numFmtId="0" fontId="48" fillId="44" borderId="35" xfId="0" applyFont="1" applyFill="1" applyBorder="1" applyAlignment="1">
      <alignment horizontal="center"/>
    </xf>
    <xf numFmtId="0" fontId="48" fillId="41" borderId="26" xfId="0" applyFont="1" applyFill="1" applyBorder="1" applyAlignment="1">
      <alignment horizontal="center"/>
    </xf>
    <xf numFmtId="0" fontId="48" fillId="41" borderId="28" xfId="0" applyFont="1" applyFill="1" applyBorder="1" applyAlignment="1">
      <alignment horizontal="center"/>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0" fillId="41" borderId="28" xfId="0" applyFill="1" applyBorder="1" applyAlignment="1">
      <alignment horizontal="center"/>
    </xf>
    <xf numFmtId="0" fontId="2" fillId="0" borderId="0" xfId="0" applyFont="1" applyBorder="1" applyAlignment="1">
      <alignment horizontal="center"/>
    </xf>
    <xf numFmtId="0" fontId="2" fillId="0" borderId="27" xfId="0" applyFont="1" applyBorder="1" applyAlignment="1">
      <alignment horizontal="left" vertical="top" wrapText="1"/>
    </xf>
    <xf numFmtId="0" fontId="2" fillId="0" borderId="0" xfId="0" applyFont="1" applyAlignment="1">
      <alignment horizontal="left" vertical="top" wrapText="1"/>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14" fillId="0" borderId="27" xfId="0" applyFont="1" applyBorder="1" applyAlignment="1">
      <alignment horizontal="left" vertical="top" wrapText="1"/>
    </xf>
    <xf numFmtId="0" fontId="48" fillId="41" borderId="6" xfId="0" applyFont="1" applyFill="1" applyBorder="1" applyAlignment="1">
      <alignment horizontal="center"/>
    </xf>
    <xf numFmtId="0" fontId="48" fillId="41" borderId="5" xfId="0" applyFont="1" applyFill="1" applyBorder="1" applyAlignment="1">
      <alignment horizontal="center"/>
    </xf>
    <xf numFmtId="0" fontId="48" fillId="41" borderId="21" xfId="0" applyFont="1" applyFill="1" applyBorder="1" applyAlignment="1">
      <alignment horizontal="center"/>
    </xf>
    <xf numFmtId="0" fontId="14" fillId="0" borderId="0" xfId="0" applyFont="1" applyAlignment="1">
      <alignment vertical="top" wrapText="1"/>
    </xf>
    <xf numFmtId="0" fontId="48" fillId="0" borderId="17" xfId="0" applyFont="1" applyBorder="1" applyAlignment="1">
      <alignment horizontal="center"/>
    </xf>
    <xf numFmtId="0" fontId="48" fillId="52" borderId="2" xfId="0" applyFont="1" applyFill="1" applyBorder="1" applyAlignment="1">
      <alignment horizontal="center"/>
    </xf>
    <xf numFmtId="0" fontId="48" fillId="52" borderId="3" xfId="0" applyFont="1" applyFill="1" applyBorder="1" applyAlignment="1">
      <alignment horizontal="center"/>
    </xf>
    <xf numFmtId="0" fontId="48" fillId="52" borderId="4" xfId="0" applyFont="1" applyFill="1" applyBorder="1" applyAlignment="1">
      <alignment horizontal="center"/>
    </xf>
    <xf numFmtId="0" fontId="21" fillId="0" borderId="18" xfId="0" applyFont="1" applyFill="1" applyBorder="1" applyAlignment="1">
      <alignment horizontal="center"/>
    </xf>
    <xf numFmtId="0" fontId="21" fillId="0" borderId="19" xfId="0" applyFont="1" applyFill="1" applyBorder="1" applyAlignment="1">
      <alignment horizontal="center"/>
    </xf>
    <xf numFmtId="0" fontId="48" fillId="0" borderId="26" xfId="0" applyFont="1" applyBorder="1" applyAlignment="1">
      <alignment horizontal="center"/>
    </xf>
    <xf numFmtId="0" fontId="48" fillId="0" borderId="28" xfId="0" applyFont="1" applyBorder="1" applyAlignment="1">
      <alignment horizontal="center"/>
    </xf>
    <xf numFmtId="0" fontId="64" fillId="51" borderId="25" xfId="0" applyFont="1" applyFill="1" applyBorder="1" applyAlignment="1">
      <alignment horizontal="center"/>
    </xf>
    <xf numFmtId="43" fontId="14" fillId="0" borderId="0" xfId="1" applyFont="1" applyAlignment="1">
      <alignment horizontal="center" vertical="center" wrapText="1"/>
    </xf>
    <xf numFmtId="0" fontId="14" fillId="0" borderId="0" xfId="0" applyFont="1" applyAlignment="1">
      <alignment horizontal="center" vertical="center"/>
    </xf>
    <xf numFmtId="0" fontId="20" fillId="0" borderId="0" xfId="11" applyFont="1"/>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0" fillId="0" borderId="0" xfId="0" applyAlignment="1">
      <alignment horizontal="left" vertical="top" wrapText="1"/>
    </xf>
    <xf numFmtId="0" fontId="2" fillId="3" borderId="0" xfId="0" applyFont="1" applyFill="1" applyAlignment="1">
      <alignment horizontal="center"/>
    </xf>
    <xf numFmtId="0" fontId="2" fillId="41" borderId="18" xfId="0" applyFont="1" applyFill="1" applyBorder="1" applyAlignment="1">
      <alignment horizontal="center" wrapText="1"/>
    </xf>
    <xf numFmtId="0" fontId="2" fillId="41" borderId="19" xfId="0" applyFont="1" applyFill="1" applyBorder="1" applyAlignment="1">
      <alignment horizontal="center" wrapText="1"/>
    </xf>
    <xf numFmtId="0" fontId="2" fillId="41" borderId="1" xfId="0" applyFont="1" applyFill="1" applyBorder="1" applyAlignment="1">
      <alignment horizontal="center" wrapText="1"/>
    </xf>
    <xf numFmtId="0" fontId="2" fillId="41" borderId="7" xfId="0" applyFont="1" applyFill="1" applyBorder="1" applyAlignment="1">
      <alignment horizontal="center" wrapText="1"/>
    </xf>
    <xf numFmtId="0" fontId="0" fillId="41" borderId="17" xfId="0" applyFill="1" applyBorder="1" applyAlignment="1">
      <alignment horizontal="center"/>
    </xf>
    <xf numFmtId="0" fontId="0" fillId="41" borderId="19" xfId="0" applyFill="1" applyBorder="1" applyAlignment="1">
      <alignment horizontal="center"/>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xf numFmtId="164" fontId="0" fillId="0" borderId="0" xfId="0" applyNumberFormat="1" applyAlignment="1">
      <alignment horizontal="center"/>
    </xf>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9">
    <dxf>
      <fill>
        <patternFill>
          <bgColor theme="9" tint="0.59996337778862885"/>
        </patternFill>
      </fill>
    </dxf>
    <dxf>
      <fill>
        <patternFill>
          <bgColor theme="5" tint="0.59996337778862885"/>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ADCBC"/>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35" Type="http://schemas.openxmlformats.org/officeDocument/2006/relationships/customXml" Target="../customXml/item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Purchases'!$AJ$50:$AW$50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1"/>
          <c:order val="1"/>
          <c:tx>
            <c:v>February 2021 CBO State Purchases</c:v>
          </c:tx>
          <c:spPr>
            <a:ln w="28575" cap="rnd">
              <a:solidFill>
                <a:schemeClr val="accent2"/>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Purchases'!$AJ$51:$AW$51</c:f>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ser>
        <c:ser>
          <c:idx val="2"/>
          <c:order val="2"/>
          <c:tx>
            <c:v>Our State Purchases</c:v>
          </c:tx>
          <c:spPr>
            <a:ln w="28575" cap="rnd">
              <a:solidFill>
                <a:schemeClr val="accent3"/>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Purchases'!$D$28:$Q$28</c:f>
              <c:numCache>
                <c:formatCode>#,##0</c:formatCode>
                <c:ptCount val="14"/>
                <c:pt idx="0">
                  <c:v>2357.4</c:v>
                </c:pt>
                <c:pt idx="1">
                  <c:v>2381.6</c:v>
                </c:pt>
                <c:pt idx="2">
                  <c:v>2334.5</c:v>
                </c:pt>
                <c:pt idx="3">
                  <c:v>2329.6</c:v>
                </c:pt>
                <c:pt idx="4">
                  <c:v>2341.6999999999998</c:v>
                </c:pt>
                <c:pt idx="5">
                  <c:v>2389.6</c:v>
                </c:pt>
                <c:pt idx="6">
                  <c:v>2441.6411409941461</c:v>
                </c:pt>
                <c:pt idx="7">
                  <c:v>2506.1818402960748</c:v>
                </c:pt>
                <c:pt idx="8">
                  <c:v>2578.2028517768804</c:v>
                </c:pt>
                <c:pt idx="9">
                  <c:v>2634.3514197886107</c:v>
                </c:pt>
                <c:pt idx="10">
                  <c:v>2685.5277712180109</c:v>
                </c:pt>
                <c:pt idx="11">
                  <c:v>2731.3389138463922</c:v>
                </c:pt>
                <c:pt idx="12">
                  <c:v>2768.1441821686262</c:v>
                </c:pt>
                <c:pt idx="13">
                  <c:v>2802.1154965055812</c:v>
                </c:pt>
              </c:numCache>
            </c:numRef>
          </c:val>
          <c:smooth val="0"/>
          <c:extLst>
            <c:ext xmlns:c16="http://schemas.microsoft.com/office/drawing/2014/chart" uri="{C3380CC4-5D6E-409C-BE32-E72D297353CC}">
              <c16:uniqueId val="{00000003-29E8-4D0D-B2E6-2BEF5497E7DE}"/>
            </c:ext>
          </c:extLst>
        </c:ser>
        <c:dLbls>
          <c:showLegendKey val="0"/>
          <c:showVal val="0"/>
          <c:showCatName val="0"/>
          <c:showSerName val="0"/>
          <c:showPercent val="0"/>
          <c:showBubbleSize val="0"/>
        </c:dLbls>
        <c:smooth val="0"/>
        <c:axId val="1427604239"/>
        <c:axId val="1433538991"/>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4704040457"/>
              <c:y val="0.788879946349878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Purchases'!$AJ$53:$AW$53</c:f>
              <c:numCache>
                <c:formatCode>#,##0</c:formatCode>
                <c:ptCount val="14"/>
                <c:pt idx="0">
                  <c:v>2094.2179999999998</c:v>
                </c:pt>
                <c:pt idx="1">
                  <c:v>2114.3890000000001</c:v>
                </c:pt>
                <c:pt idx="2">
                  <c:v>2016.1149999999998</c:v>
                </c:pt>
                <c:pt idx="3">
                  <c:v>2071.027</c:v>
                </c:pt>
                <c:pt idx="4">
                  <c:v>2095.5340000000001</c:v>
                </c:pt>
                <c:pt idx="5">
                  <c:v>2091.6509999999998</c:v>
                </c:pt>
                <c:pt idx="6">
                  <c:v>2082.3537436130537</c:v>
                </c:pt>
                <c:pt idx="7">
                  <c:v>2075.8898232009324</c:v>
                </c:pt>
                <c:pt idx="8">
                  <c:v>2064.1225110044943</c:v>
                </c:pt>
                <c:pt idx="9">
                  <c:v>2067.4186774581003</c:v>
                </c:pt>
                <c:pt idx="10">
                  <c:v>2083.557115469991</c:v>
                </c:pt>
                <c:pt idx="11">
                  <c:v>2097.7418903114481</c:v>
                </c:pt>
                <c:pt idx="12">
                  <c:v>2112.1357781129968</c:v>
                </c:pt>
                <c:pt idx="13">
                  <c:v>2126.1170957175163</c:v>
                </c:pt>
              </c:numCache>
            </c:numRef>
          </c:val>
          <c:smooth val="0"/>
          <c:extLst>
            <c:ext xmlns:c16="http://schemas.microsoft.com/office/drawing/2014/chart" uri="{C3380CC4-5D6E-409C-BE32-E72D297353CC}">
              <c16:uniqueId val="{00000001-4432-46FE-8D0F-CEF6B509F2C7}"/>
            </c:ext>
          </c:extLst>
        </c:ser>
        <c:ser>
          <c:idx val="1"/>
          <c:order val="1"/>
          <c:tx>
            <c:v>February 2021 CBO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Purchases'!$AJ$54:$AW$54</c:f>
              <c:numCache>
                <c:formatCode>#,##0</c:formatCode>
                <c:ptCount val="14"/>
                <c:pt idx="0">
                  <c:v>2083.2179999999998</c:v>
                </c:pt>
                <c:pt idx="1">
                  <c:v>2105.3890000000001</c:v>
                </c:pt>
                <c:pt idx="2">
                  <c:v>1941.1149999999998</c:v>
                </c:pt>
                <c:pt idx="3">
                  <c:v>1969.027</c:v>
                </c:pt>
                <c:pt idx="4">
                  <c:v>1958.5340000000001</c:v>
                </c:pt>
                <c:pt idx="5">
                  <c:v>1953.6510000000001</c:v>
                </c:pt>
                <c:pt idx="6">
                  <c:v>1943.3537436130537</c:v>
                </c:pt>
                <c:pt idx="7">
                  <c:v>1931.8898232009324</c:v>
                </c:pt>
                <c:pt idx="8">
                  <c:v>1915.1225110044941</c:v>
                </c:pt>
                <c:pt idx="9">
                  <c:v>1913.4186774581003</c:v>
                </c:pt>
                <c:pt idx="10">
                  <c:v>1927.557115469991</c:v>
                </c:pt>
                <c:pt idx="11">
                  <c:v>1938.7418903114481</c:v>
                </c:pt>
                <c:pt idx="12">
                  <c:v>1952.1357781129968</c:v>
                </c:pt>
                <c:pt idx="13">
                  <c:v>1967.1170957175166</c:v>
                </c:pt>
              </c:numCache>
            </c:numRef>
          </c:val>
          <c:smooth val="0"/>
          <c:extLst>
            <c:ext xmlns:c16="http://schemas.microsoft.com/office/drawing/2014/chart" uri="{C3380CC4-5D6E-409C-BE32-E72D297353CC}">
              <c16:uniqueId val="{00000002-4432-46FE-8D0F-CEF6B509F2C7}"/>
            </c:ext>
          </c:extLst>
        </c:ser>
        <c:ser>
          <c:idx val="2"/>
          <c:order val="2"/>
          <c:tx>
            <c:v>Our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Purchases'!$D$29:$Q$29</c:f>
              <c:numCache>
                <c:formatCode>#,##0</c:formatCode>
                <c:ptCount val="14"/>
                <c:pt idx="0">
                  <c:v>2083.6179999999999</c:v>
                </c:pt>
                <c:pt idx="1">
                  <c:v>2104.989</c:v>
                </c:pt>
                <c:pt idx="2">
                  <c:v>1940.6149999999998</c:v>
                </c:pt>
                <c:pt idx="3">
                  <c:v>1968.627</c:v>
                </c:pt>
                <c:pt idx="4">
                  <c:v>1982.2339999999999</c:v>
                </c:pt>
                <c:pt idx="5">
                  <c:v>2004.251</c:v>
                </c:pt>
                <c:pt idx="6">
                  <c:v>2023.9948846071998</c:v>
                </c:pt>
                <c:pt idx="7">
                  <c:v>2059.0716634970072</c:v>
                </c:pt>
                <c:pt idx="8">
                  <c:v>2096.3253627813747</c:v>
                </c:pt>
                <c:pt idx="9">
                  <c:v>2130.770097246711</c:v>
                </c:pt>
                <c:pt idx="10">
                  <c:v>2174.0848866880019</c:v>
                </c:pt>
                <c:pt idx="11">
                  <c:v>2208.0808041578402</c:v>
                </c:pt>
                <c:pt idx="12">
                  <c:v>2234.2799602816231</c:v>
                </c:pt>
                <c:pt idx="13">
                  <c:v>2256.2325922230975</c:v>
                </c:pt>
              </c:numCache>
            </c:numRef>
          </c:val>
          <c:smooth val="0"/>
          <c:extLst>
            <c:ext xmlns:c16="http://schemas.microsoft.com/office/drawing/2014/chart" uri="{C3380CC4-5D6E-409C-BE32-E72D297353CC}">
              <c16:uniqueId val="{00000003-4432-46FE-8D0F-CEF6B509F2C7}"/>
            </c:ext>
          </c:extLst>
        </c:ser>
        <c:dLbls>
          <c:showLegendKey val="0"/>
          <c:showVal val="0"/>
          <c:showCatName val="0"/>
          <c:showSerName val="0"/>
          <c:showPercent val="0"/>
          <c:showBubbleSize val="0"/>
        </c:dLbls>
        <c:smooth val="0"/>
        <c:axId val="1427604239"/>
        <c:axId val="1433538991"/>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8257973136"/>
              <c:y val="0.80345836373773238"/>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115254130533E-2"/>
          <c:y val="0.85720930184053301"/>
          <c:w val="0.89999988280582277"/>
          <c:h val="8.1788404360185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32</xdr:col>
      <xdr:colOff>254000</xdr:colOff>
      <xdr:row>27</xdr:row>
      <xdr:rowOff>0</xdr:rowOff>
    </xdr:from>
    <xdr:to>
      <xdr:col>39</xdr:col>
      <xdr:colOff>539348</xdr:colOff>
      <xdr:row>41</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92678</xdr:colOff>
      <xdr:row>27</xdr:row>
      <xdr:rowOff>0</xdr:rowOff>
    </xdr:from>
    <xdr:to>
      <xdr:col>50</xdr:col>
      <xdr:colOff>-1</xdr:colOff>
      <xdr:row>41</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8" dataDxfId="7">
  <autoFilter ref="A2:D50" xr:uid="{AFE7EBBA-0E52-684B-AE3F-DAE47002C36D}"/>
  <tableColumns count="4">
    <tableColumn id="1" xr3:uid="{1CBC7486-21F3-4D68-AEAB-B260D3DC1265}" name="Provision" dataDxfId="6"/>
    <tableColumn id="2" xr3:uid="{B72D09CC-D35A-4A45-8D8D-9C97129E01A1}" name="Ten year cost (annualized)" dataDxfId="5"/>
    <tableColumn id="4" xr3:uid="{A8BE311C-E3F6-4043-8119-413ED4A13011}" name="Column1" dataDxfId="4"/>
    <tableColumn id="5" xr3:uid="{A41ECCE3-5E03-45CB-9B64-5E91C95099AB}" name="Column2" dataDxfId="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2" dT="2021-06-14T11:28:38.43" personId="{58CF8BEC-4104-46F7-BE4F-2C9403635492}" id="{BB2BD600-D27D-45BD-8287-F361E12EE9C4}">
    <text>https://www.cbo.gov/system/files/2020-04/hr748.pdf</text>
  </threadedComment>
  <threadedComment ref="C53"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4" dT="2021-06-11T14:09:21.80" personId="{58CF8BEC-4104-46F7-BE4F-2C9403635492}" id="{57CD4897-BB4E-42F1-89BB-E63A5874F81B}">
    <text>Total provider relief fund is 100, but we assume that 27% is in the form of grants based on the BEA data that came in.</text>
  </threadedComment>
  <threadedComment ref="B92" dT="2021-06-07T15:35:26.89" personId="{58CF8BEC-4104-46F7-BE4F-2C9403635492}" id="{86B52C28-61FA-49B1-91B8-C7F47891C7DA}">
    <text>February 2021 Ten Year Economic Projections, Quarterly Table, Row 129</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6-08T17:22:13.78" personId="{58CF8BEC-4104-46F7-BE4F-2C9403635492}" id="{E34C0DBB-CD4F-4049-AE1E-5CD55E828D45}">
    <text>February 2021 Ten Year Economic Projections, Quarterly Table, Row 128</text>
  </threadedComment>
  <threadedComment ref="B11" dT="2021-06-07T15:35:26.89" personId="{58CF8BEC-4104-46F7-BE4F-2C9403635492}" id="{DD740565-38AC-408D-924C-97F6F1A7552C}">
    <text>February 2021 Ten Year Economic Projections, Quarterly Table, Row 129</text>
  </threadedComment>
  <threadedComment ref="AH47" dT="2021-06-07T15:35:26.89" personId="{58CF8BEC-4104-46F7-BE4F-2C9403635492}" id="{5B268A7E-4684-4417-99DA-FD209D4D638F}">
    <text>January 2020 Ten Year Economic Projections, Quarterly Table, Row 131</text>
  </threadedComment>
  <threadedComment ref="AH48" dT="2021-06-07T15:35:26.89" personId="{58CF8BEC-4104-46F7-BE4F-2C9403635492}" id="{3DC1ECCF-4833-40FA-AAF4-9A68DADDBE40}">
    <text>February 2021 Ten Year Economic Projections, Quarterly Table, Row 131</text>
  </threadedComment>
  <threadedComment ref="AH50" dT="2021-06-08T18:07:26.42" personId="{58CF8BEC-4104-46F7-BE4F-2C9403635492}" id="{740ECA18-D6DC-4F42-982C-CBA3C5290FBF}">
    <text>January 2020 Ten Year Economic Projections, Quarterly Table, Row 130</text>
  </threadedComment>
  <threadedComment ref="AH51" dT="2021-06-08T18:07:37.18" personId="{58CF8BEC-4104-46F7-BE4F-2C9403635492}" id="{1C07D7AD-E31D-4773-BE5C-B49586DCA617}">
    <text>February 2021 Ten Year Economic Projections, Quarterly Table, Row 130</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CBO February 2021 Ten-Year Budget Projections, Table 1-3, Line 18</text>
  </threadedComment>
</ThreadedComments>
</file>

<file path=xl/threadedComments/threadedComment6.xml><?xml version="1.0" encoding="utf-8"?>
<ThreadedComments xmlns="http://schemas.microsoft.com/office/spreadsheetml/2018/threadedcomments" xmlns:x="http://schemas.openxmlformats.org/spreadsheetml/2006/main">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B87" dT="2021-06-09T13:23:40.34" personId="{6F934F46-906E-4DFC-AA15-8C66AF925C04}" id="{9B79EC37-D08B-4714-83D3-11420A1EE2A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O14" dT="2021-06-23T15:38:51.65" personId="{58CF8BEC-4104-46F7-BE4F-2C9403635492}" id="{3A4B33CB-C1E6-4A27-9D1E-0EA5418D3346}">
    <text>Total amount legislated. Our score should total to this.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mericanactionforum.org/research/tracker-paycheck-protection-program-loans/" TargetMode="Externa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1.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15" TargetMode="External"/><Relationship Id="rId7" Type="http://schemas.openxmlformats.org/officeDocument/2006/relationships/hyperlink" Target="https://www.bea.gov/help/faq/1408" TargetMode="External"/><Relationship Id="rId12" Type="http://schemas.openxmlformats.org/officeDocument/2006/relationships/hyperlink" Target="https://www.bea.gov/help/faq/121" TargetMode="External"/><Relationship Id="rId2" Type="http://schemas.openxmlformats.org/officeDocument/2006/relationships/hyperlink" Target="https://www.bea.gov/help/faq/1409"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11" Type="http://schemas.openxmlformats.org/officeDocument/2006/relationships/hyperlink" Target="https://www.bea.gov/help/faq/1407" TargetMode="External"/><Relationship Id="rId5" Type="http://schemas.openxmlformats.org/officeDocument/2006/relationships/hyperlink" Target="https://www.bea.gov/help/faq/1408" TargetMode="External"/><Relationship Id="rId10" Type="http://schemas.openxmlformats.org/officeDocument/2006/relationships/hyperlink" Target="https://www.bea.gov/help/faq/1409" TargetMode="External"/><Relationship Id="rId4" Type="http://schemas.openxmlformats.org/officeDocument/2006/relationships/hyperlink" Target="https://www.bea.gov/help/faq/1408" TargetMode="External"/><Relationship Id="rId9" Type="http://schemas.openxmlformats.org/officeDocument/2006/relationships/hyperlink" Target="https://www.bea.gov/help/faq/1415"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0"/>
  <sheetViews>
    <sheetView zoomScale="65" zoomScaleNormal="55" workbookViewId="0">
      <pane ySplit="1" topLeftCell="A2" activePane="bottomLeft" state="frozen"/>
      <selection pane="bottomLeft" activeCell="E6" sqref="E6"/>
    </sheetView>
  </sheetViews>
  <sheetFormatPr baseColWidth="10" defaultColWidth="8.6640625" defaultRowHeight="15"/>
  <cols>
    <col min="1" max="1" width="27" style="1049" customWidth="1"/>
    <col min="2" max="2" width="50.83203125" style="27" customWidth="1"/>
    <col min="3" max="3" width="47" style="1049" customWidth="1"/>
    <col min="4" max="4" width="18.83203125" style="1049" customWidth="1"/>
    <col min="5" max="5" width="58.83203125" style="1049" customWidth="1"/>
    <col min="6" max="6" width="33.1640625" style="1049" customWidth="1"/>
    <col min="7" max="16384" width="8.6640625" style="1049"/>
  </cols>
  <sheetData>
    <row r="1" spans="1:6" s="32" customFormat="1" ht="47.5" customHeight="1">
      <c r="A1" s="35" t="s">
        <v>207</v>
      </c>
      <c r="B1" s="35" t="s">
        <v>206</v>
      </c>
      <c r="C1" s="35" t="s">
        <v>205</v>
      </c>
      <c r="D1" s="35" t="s">
        <v>204</v>
      </c>
      <c r="E1" s="35" t="s">
        <v>203</v>
      </c>
      <c r="F1" s="35" t="s">
        <v>202</v>
      </c>
    </row>
    <row r="2" spans="1:6" s="32" customFormat="1" ht="16.5" customHeight="1">
      <c r="A2" s="30" t="s">
        <v>201</v>
      </c>
      <c r="B2" s="34"/>
      <c r="C2" s="33"/>
      <c r="D2" s="33"/>
      <c r="E2" s="33"/>
      <c r="F2" s="33"/>
    </row>
    <row r="3" spans="1:6" ht="80" customHeight="1">
      <c r="A3" s="27" t="s">
        <v>803</v>
      </c>
      <c r="B3" s="27" t="s">
        <v>802</v>
      </c>
      <c r="C3" s="27" t="s">
        <v>801</v>
      </c>
    </row>
    <row r="4" spans="1:6" ht="63.5" customHeight="1">
      <c r="A4" s="1049" t="s">
        <v>200</v>
      </c>
      <c r="B4" s="27" t="s">
        <v>199</v>
      </c>
      <c r="C4" s="31" t="s">
        <v>198</v>
      </c>
      <c r="E4" s="1049" t="s">
        <v>197</v>
      </c>
      <c r="F4" s="1049" t="s">
        <v>196</v>
      </c>
    </row>
    <row r="5" spans="1:6" ht="61.5" customHeight="1">
      <c r="A5" s="1049" t="s">
        <v>195</v>
      </c>
      <c r="B5" s="27" t="s">
        <v>800</v>
      </c>
      <c r="C5" s="27" t="s">
        <v>799</v>
      </c>
    </row>
    <row r="6" spans="1:6" ht="61.5" customHeight="1">
      <c r="A6" s="1049" t="s">
        <v>798</v>
      </c>
      <c r="B6" s="27" t="s">
        <v>797</v>
      </c>
      <c r="C6" s="27" t="s">
        <v>796</v>
      </c>
    </row>
    <row r="7" spans="1:6" ht="15.5" customHeight="1"/>
    <row r="8" spans="1:6" ht="19.5" customHeight="1">
      <c r="A8" s="30" t="s">
        <v>194</v>
      </c>
      <c r="B8" s="29" t="s">
        <v>193</v>
      </c>
      <c r="C8" s="28" t="s">
        <v>192</v>
      </c>
      <c r="D8" s="28" t="s">
        <v>191</v>
      </c>
      <c r="E8" s="28" t="s">
        <v>190</v>
      </c>
      <c r="F8" s="28"/>
    </row>
    <row r="9" spans="1:6" ht="31" customHeight="1">
      <c r="A9" s="1066" t="s">
        <v>411</v>
      </c>
    </row>
    <row r="10" spans="1:6">
      <c r="A10" s="1066" t="s">
        <v>508</v>
      </c>
    </row>
    <row r="11" spans="1:6" ht="72.5" customHeight="1">
      <c r="A11" s="1066" t="s">
        <v>103</v>
      </c>
      <c r="E11" s="1049" t="s">
        <v>187</v>
      </c>
    </row>
    <row r="12" spans="1:6" ht="28" customHeight="1">
      <c r="A12" s="1066" t="s">
        <v>795</v>
      </c>
    </row>
    <row r="13" spans="1:6">
      <c r="A13" s="1066" t="s">
        <v>134</v>
      </c>
    </row>
    <row r="14" spans="1:6">
      <c r="A14" s="1066" t="s">
        <v>509</v>
      </c>
    </row>
    <row r="15" spans="1:6">
      <c r="A15" s="1066" t="s">
        <v>143</v>
      </c>
    </row>
    <row r="16" spans="1:6">
      <c r="A16" s="1066" t="s">
        <v>406</v>
      </c>
    </row>
    <row r="17" spans="1:6">
      <c r="A17" s="1066" t="s">
        <v>133</v>
      </c>
    </row>
    <row r="18" spans="1:6">
      <c r="A18" s="1066" t="s">
        <v>638</v>
      </c>
    </row>
    <row r="19" spans="1:6">
      <c r="A19" s="1066" t="s">
        <v>626</v>
      </c>
    </row>
    <row r="20" spans="1:6" ht="37.5" customHeight="1">
      <c r="A20" s="1066" t="s">
        <v>794</v>
      </c>
    </row>
    <row r="21" spans="1:6">
      <c r="A21" s="1066" t="s">
        <v>186</v>
      </c>
    </row>
    <row r="22" spans="1:6" ht="16">
      <c r="A22" s="30" t="s">
        <v>184</v>
      </c>
      <c r="B22" s="29"/>
      <c r="C22" s="28"/>
      <c r="D22" s="28"/>
      <c r="E22" s="28"/>
      <c r="F22" s="28"/>
    </row>
    <row r="23" spans="1:6" ht="96">
      <c r="A23" s="1049" t="s">
        <v>183</v>
      </c>
    </row>
    <row r="24" spans="1:6" ht="16">
      <c r="A24" s="1049" t="s">
        <v>182</v>
      </c>
    </row>
    <row r="26" spans="1:6" ht="16">
      <c r="A26" s="30" t="s">
        <v>181</v>
      </c>
      <c r="B26" s="29"/>
      <c r="C26" s="28"/>
      <c r="D26" s="28"/>
      <c r="E26" s="28"/>
      <c r="F26" s="28"/>
    </row>
    <row r="27" spans="1:6" ht="32">
      <c r="A27" s="1049" t="s">
        <v>180</v>
      </c>
      <c r="B27" s="27" t="s">
        <v>179</v>
      </c>
      <c r="C27" s="1049" t="s">
        <v>178</v>
      </c>
    </row>
    <row r="28" spans="1:6" ht="16">
      <c r="A28" s="1049" t="s">
        <v>177</v>
      </c>
    </row>
    <row r="29" spans="1:6" ht="16">
      <c r="A29" s="1049" t="s">
        <v>176</v>
      </c>
    </row>
    <row r="30" spans="1:6" ht="16">
      <c r="A30" s="1049" t="s">
        <v>175</v>
      </c>
    </row>
  </sheetData>
  <conditionalFormatting sqref="D3:D143">
    <cfRule type="containsText" dxfId="2" priority="1" operator="containsText" text="Yes">
      <formula>NOT(ISERROR(SEARCH("Yes",D3)))</formula>
    </cfRule>
  </conditionalFormatting>
  <hyperlinks>
    <hyperlink ref="C4" r:id="rId1" xr:uid="{577042CB-6D8C-4642-92A3-1759654CC66E}"/>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B1:T62"/>
  <sheetViews>
    <sheetView topLeftCell="A11" zoomScale="143" zoomScaleNormal="143" workbookViewId="0">
      <selection activeCell="H53" sqref="H53"/>
    </sheetView>
  </sheetViews>
  <sheetFormatPr baseColWidth="10" defaultColWidth="8.6640625" defaultRowHeight="14"/>
  <cols>
    <col min="1" max="1" width="8.6640625" style="428"/>
    <col min="2" max="2" width="22.6640625" style="428" customWidth="1"/>
    <col min="3" max="3" width="11.33203125" style="428" customWidth="1"/>
    <col min="4" max="4" width="13.1640625" style="428" customWidth="1"/>
    <col min="5" max="5" width="6.1640625" style="428" customWidth="1"/>
    <col min="6" max="6" width="8.83203125" style="428" bestFit="1" customWidth="1"/>
    <col min="7" max="7" width="9.33203125" style="428" bestFit="1" customWidth="1"/>
    <col min="8" max="12" width="8.83203125" style="428" bestFit="1" customWidth="1"/>
    <col min="13" max="13" width="9.5" style="428" bestFit="1" customWidth="1"/>
    <col min="14" max="16384" width="8.6640625" style="428"/>
  </cols>
  <sheetData>
    <row r="1" spans="2:16">
      <c r="B1" s="1262" t="s">
        <v>383</v>
      </c>
      <c r="C1" s="1262"/>
      <c r="D1" s="1262"/>
      <c r="E1" s="1262"/>
      <c r="F1" s="1262"/>
      <c r="G1" s="1262"/>
      <c r="H1" s="1262"/>
      <c r="I1" s="1262"/>
      <c r="J1" s="1262"/>
      <c r="K1" s="1262"/>
      <c r="L1" s="1262"/>
      <c r="M1" s="1262"/>
    </row>
    <row r="2" spans="2:16">
      <c r="B2" s="1294" t="s">
        <v>682</v>
      </c>
      <c r="C2" s="1296"/>
      <c r="D2" s="1296"/>
      <c r="E2" s="1296"/>
      <c r="F2" s="1296"/>
      <c r="G2" s="1296"/>
      <c r="H2" s="1296"/>
      <c r="I2" s="1296"/>
      <c r="J2" s="1296"/>
      <c r="K2" s="1296"/>
      <c r="L2" s="1296"/>
      <c r="M2" s="1296"/>
    </row>
    <row r="3" spans="2:16">
      <c r="B3" s="1296"/>
      <c r="C3" s="1296"/>
      <c r="D3" s="1296"/>
      <c r="E3" s="1296"/>
      <c r="F3" s="1296"/>
      <c r="G3" s="1296"/>
      <c r="H3" s="1296"/>
      <c r="I3" s="1296"/>
      <c r="J3" s="1296"/>
      <c r="K3" s="1296"/>
      <c r="L3" s="1296"/>
      <c r="M3" s="1296"/>
    </row>
    <row r="4" spans="2:16">
      <c r="B4" s="1296"/>
      <c r="C4" s="1296"/>
      <c r="D4" s="1296"/>
      <c r="E4" s="1296"/>
      <c r="F4" s="1296"/>
      <c r="G4" s="1296"/>
      <c r="H4" s="1296"/>
      <c r="I4" s="1296"/>
      <c r="J4" s="1296"/>
      <c r="K4" s="1296"/>
      <c r="L4" s="1296"/>
      <c r="M4" s="1296"/>
    </row>
    <row r="5" spans="2:16" ht="54.5" customHeight="1">
      <c r="B5" s="1296"/>
      <c r="C5" s="1296"/>
      <c r="D5" s="1296"/>
      <c r="E5" s="1296"/>
      <c r="F5" s="1296"/>
      <c r="G5" s="1296"/>
      <c r="H5" s="1296"/>
      <c r="I5" s="1296"/>
      <c r="J5" s="1296"/>
      <c r="K5" s="1296"/>
      <c r="L5" s="1296"/>
      <c r="M5" s="1296"/>
    </row>
    <row r="6" spans="2:16">
      <c r="B6" s="654"/>
      <c r="C6" s="654"/>
      <c r="D6" s="654"/>
      <c r="E6" s="654"/>
      <c r="F6" s="654"/>
      <c r="G6" s="654"/>
      <c r="H6" s="654"/>
      <c r="I6" s="654"/>
      <c r="J6" s="654"/>
      <c r="K6" s="654"/>
      <c r="L6" s="654"/>
      <c r="M6" s="654"/>
    </row>
    <row r="7" spans="2:16">
      <c r="B7" s="631" t="s">
        <v>517</v>
      </c>
    </row>
    <row r="8" spans="2:16" ht="16" customHeight="1"/>
    <row r="9" spans="2:16" ht="15.5" customHeight="1">
      <c r="F9" s="1269">
        <v>2020</v>
      </c>
      <c r="G9" s="1297"/>
      <c r="H9" s="1297"/>
      <c r="I9" s="1269">
        <v>2021</v>
      </c>
      <c r="J9" s="1297"/>
      <c r="K9" s="1297"/>
      <c r="L9" s="1298"/>
      <c r="M9" s="655"/>
    </row>
    <row r="10" spans="2:16" s="45" customFormat="1" ht="30">
      <c r="B10" s="660" t="s">
        <v>518</v>
      </c>
      <c r="C10" s="660" t="s">
        <v>519</v>
      </c>
      <c r="D10" s="700" t="s">
        <v>520</v>
      </c>
      <c r="E10" s="659"/>
      <c r="F10" s="656" t="s">
        <v>138</v>
      </c>
      <c r="G10" s="657" t="s">
        <v>139</v>
      </c>
      <c r="H10" s="657" t="s">
        <v>140</v>
      </c>
      <c r="I10" s="656" t="s">
        <v>137</v>
      </c>
      <c r="J10" s="657" t="s">
        <v>138</v>
      </c>
      <c r="K10" s="657" t="s">
        <v>139</v>
      </c>
      <c r="L10" s="658" t="s">
        <v>140</v>
      </c>
      <c r="M10" s="1024" t="s">
        <v>772</v>
      </c>
      <c r="N10" s="659"/>
      <c r="O10" s="659"/>
      <c r="P10" s="659"/>
    </row>
    <row r="11" spans="2:16">
      <c r="B11" s="664">
        <v>43934</v>
      </c>
      <c r="C11" s="50">
        <v>248</v>
      </c>
      <c r="D11" s="575">
        <f>C11</f>
        <v>248</v>
      </c>
      <c r="E11" s="614"/>
      <c r="F11" s="691">
        <f>M11/26*D11</f>
        <v>95.384615384615387</v>
      </c>
      <c r="G11" s="692">
        <f>13/26*D11</f>
        <v>124</v>
      </c>
      <c r="H11" s="692">
        <f>D11-SUM(F11:G11)</f>
        <v>28.615384615384613</v>
      </c>
      <c r="I11" s="692"/>
      <c r="J11" s="692"/>
      <c r="K11" s="692"/>
      <c r="L11" s="693"/>
      <c r="M11" s="662">
        <v>10</v>
      </c>
      <c r="N11" s="614"/>
      <c r="O11" s="663"/>
      <c r="P11" s="662"/>
    </row>
    <row r="12" spans="2:16">
      <c r="B12" s="665">
        <v>43937</v>
      </c>
      <c r="C12" s="50">
        <v>342</v>
      </c>
      <c r="D12" s="575">
        <f>C12-C11</f>
        <v>94</v>
      </c>
      <c r="E12" s="614"/>
      <c r="F12" s="694">
        <f t="shared" ref="F12:F20" si="0">M12/26*D12</f>
        <v>36.153846153846153</v>
      </c>
      <c r="G12" s="695">
        <f t="shared" ref="G12:G20" si="1">13/26*D12</f>
        <v>47</v>
      </c>
      <c r="H12" s="695">
        <f t="shared" ref="H12:H21" si="2">D12-SUM(F12:G12)</f>
        <v>10.84615384615384</v>
      </c>
      <c r="I12" s="695"/>
      <c r="J12" s="695"/>
      <c r="K12" s="695"/>
      <c r="L12" s="696"/>
      <c r="M12" s="614">
        <v>10</v>
      </c>
      <c r="N12" s="614"/>
      <c r="O12" s="614"/>
      <c r="P12" s="614"/>
    </row>
    <row r="13" spans="2:16">
      <c r="B13" s="665">
        <v>43952</v>
      </c>
      <c r="C13" s="50">
        <v>518</v>
      </c>
      <c r="D13" s="575">
        <f>C13-C12</f>
        <v>176</v>
      </c>
      <c r="E13" s="614"/>
      <c r="F13" s="694">
        <f t="shared" si="0"/>
        <v>54.15384615384616</v>
      </c>
      <c r="G13" s="695">
        <f t="shared" si="1"/>
        <v>88</v>
      </c>
      <c r="H13" s="695">
        <f t="shared" si="2"/>
        <v>33.84615384615384</v>
      </c>
      <c r="I13" s="695"/>
      <c r="J13" s="695"/>
      <c r="K13" s="695"/>
      <c r="L13" s="696"/>
      <c r="M13" s="614">
        <v>8</v>
      </c>
      <c r="N13" s="614"/>
      <c r="O13" s="614"/>
      <c r="P13" s="614"/>
    </row>
    <row r="14" spans="2:16">
      <c r="B14" s="665">
        <v>43959</v>
      </c>
      <c r="C14" s="50">
        <v>531</v>
      </c>
      <c r="D14" s="575">
        <f t="shared" ref="D14:D45" si="3">C14-C13</f>
        <v>13</v>
      </c>
      <c r="E14" s="614"/>
      <c r="F14" s="694">
        <f t="shared" si="0"/>
        <v>3.5</v>
      </c>
      <c r="G14" s="695">
        <f t="shared" si="1"/>
        <v>6.5</v>
      </c>
      <c r="H14" s="695">
        <f t="shared" si="2"/>
        <v>3</v>
      </c>
      <c r="I14" s="695"/>
      <c r="J14" s="695"/>
      <c r="K14" s="695"/>
      <c r="L14" s="696"/>
      <c r="M14" s="614">
        <f t="shared" ref="M14:M20" si="4">M13-1</f>
        <v>7</v>
      </c>
      <c r="N14" s="614"/>
      <c r="O14" s="614"/>
      <c r="P14" s="614"/>
    </row>
    <row r="15" spans="2:16">
      <c r="B15" s="665">
        <v>43967</v>
      </c>
      <c r="C15" s="50">
        <v>513</v>
      </c>
      <c r="D15" s="575">
        <f t="shared" si="3"/>
        <v>-18</v>
      </c>
      <c r="E15" s="614"/>
      <c r="F15" s="694">
        <f t="shared" ref="F15:F17" si="5">M15/26*D15</f>
        <v>-4.1538461538461542</v>
      </c>
      <c r="G15" s="695">
        <f t="shared" ref="G15:G17" si="6">13/26*D15</f>
        <v>-9</v>
      </c>
      <c r="H15" s="695">
        <f t="shared" ref="H15:H17" si="7">D15-SUM(F15:G15)</f>
        <v>-4.8461538461538467</v>
      </c>
      <c r="I15" s="695"/>
      <c r="J15" s="695"/>
      <c r="K15" s="695"/>
      <c r="L15" s="696"/>
      <c r="M15" s="614">
        <f t="shared" si="4"/>
        <v>6</v>
      </c>
      <c r="N15" s="614"/>
      <c r="O15" s="614"/>
      <c r="P15" s="614"/>
    </row>
    <row r="16" spans="2:16">
      <c r="B16" s="665">
        <v>43974</v>
      </c>
      <c r="C16" s="50">
        <v>511</v>
      </c>
      <c r="D16" s="575">
        <f t="shared" si="3"/>
        <v>-2</v>
      </c>
      <c r="E16" s="614"/>
      <c r="F16" s="694">
        <f t="shared" si="5"/>
        <v>-0.38461538461538464</v>
      </c>
      <c r="G16" s="695">
        <f t="shared" si="6"/>
        <v>-1</v>
      </c>
      <c r="H16" s="695">
        <f t="shared" si="7"/>
        <v>-0.61538461538461542</v>
      </c>
      <c r="I16" s="695"/>
      <c r="J16" s="695"/>
      <c r="K16" s="695"/>
      <c r="L16" s="696"/>
      <c r="M16" s="614">
        <f t="shared" si="4"/>
        <v>5</v>
      </c>
      <c r="N16" s="614"/>
      <c r="O16" s="614"/>
      <c r="P16" s="614"/>
    </row>
    <row r="17" spans="2:16">
      <c r="B17" s="665">
        <v>43981</v>
      </c>
      <c r="C17" s="50">
        <v>510</v>
      </c>
      <c r="D17" s="575">
        <f t="shared" si="3"/>
        <v>-1</v>
      </c>
      <c r="E17" s="614"/>
      <c r="F17" s="694">
        <f t="shared" si="5"/>
        <v>-0.15384615384615385</v>
      </c>
      <c r="G17" s="695">
        <f t="shared" si="6"/>
        <v>-0.5</v>
      </c>
      <c r="H17" s="695">
        <f t="shared" si="7"/>
        <v>-0.34615384615384615</v>
      </c>
      <c r="I17" s="695"/>
      <c r="J17" s="695"/>
      <c r="K17" s="695"/>
      <c r="L17" s="696"/>
      <c r="M17" s="614">
        <f t="shared" si="4"/>
        <v>4</v>
      </c>
      <c r="N17" s="614"/>
      <c r="O17" s="614"/>
      <c r="P17" s="614"/>
    </row>
    <row r="18" spans="2:16">
      <c r="B18" s="665">
        <v>43988</v>
      </c>
      <c r="C18" s="50">
        <v>511</v>
      </c>
      <c r="D18" s="575">
        <f t="shared" si="3"/>
        <v>1</v>
      </c>
      <c r="E18" s="614"/>
      <c r="F18" s="694">
        <f t="shared" si="0"/>
        <v>0.11538461538461539</v>
      </c>
      <c r="G18" s="695">
        <f t="shared" si="1"/>
        <v>0.5</v>
      </c>
      <c r="H18" s="695">
        <f t="shared" si="2"/>
        <v>0.38461538461538458</v>
      </c>
      <c r="I18" s="695"/>
      <c r="J18" s="695"/>
      <c r="K18" s="695"/>
      <c r="L18" s="696"/>
      <c r="M18" s="614">
        <f t="shared" si="4"/>
        <v>3</v>
      </c>
      <c r="N18" s="614"/>
      <c r="O18" s="614"/>
      <c r="P18" s="614"/>
    </row>
    <row r="19" spans="2:16">
      <c r="B19" s="665">
        <v>43994</v>
      </c>
      <c r="C19" s="50">
        <v>512</v>
      </c>
      <c r="D19" s="575">
        <f t="shared" si="3"/>
        <v>1</v>
      </c>
      <c r="E19" s="614"/>
      <c r="F19" s="694">
        <f t="shared" si="0"/>
        <v>7.6923076923076927E-2</v>
      </c>
      <c r="G19" s="695">
        <f t="shared" si="1"/>
        <v>0.5</v>
      </c>
      <c r="H19" s="695">
        <f t="shared" si="2"/>
        <v>0.42307692307692313</v>
      </c>
      <c r="I19" s="695"/>
      <c r="J19" s="695"/>
      <c r="K19" s="695"/>
      <c r="L19" s="696"/>
      <c r="M19" s="614">
        <f t="shared" si="4"/>
        <v>2</v>
      </c>
      <c r="N19" s="614"/>
      <c r="O19" s="614"/>
      <c r="P19" s="614"/>
    </row>
    <row r="20" spans="2:16">
      <c r="B20" s="665">
        <v>44002</v>
      </c>
      <c r="C20" s="50">
        <v>515</v>
      </c>
      <c r="D20" s="575">
        <f t="shared" si="3"/>
        <v>3</v>
      </c>
      <c r="E20" s="614"/>
      <c r="F20" s="694">
        <f t="shared" si="0"/>
        <v>0.11538461538461539</v>
      </c>
      <c r="G20" s="695">
        <f t="shared" si="1"/>
        <v>1.5</v>
      </c>
      <c r="H20" s="695">
        <f t="shared" si="2"/>
        <v>1.3846153846153846</v>
      </c>
      <c r="I20" s="695"/>
      <c r="J20" s="695"/>
      <c r="K20" s="695"/>
      <c r="L20" s="696"/>
      <c r="M20" s="614">
        <f t="shared" si="4"/>
        <v>1</v>
      </c>
      <c r="N20" s="614"/>
      <c r="O20" s="614"/>
      <c r="P20" s="614"/>
    </row>
    <row r="21" spans="2:16">
      <c r="B21" s="665">
        <v>44009</v>
      </c>
      <c r="C21" s="50">
        <v>519</v>
      </c>
      <c r="D21" s="575">
        <f t="shared" si="3"/>
        <v>4</v>
      </c>
      <c r="E21" s="614"/>
      <c r="F21" s="694"/>
      <c r="G21" s="695">
        <f>M21/26*D21</f>
        <v>2</v>
      </c>
      <c r="H21" s="695">
        <f t="shared" si="2"/>
        <v>2</v>
      </c>
      <c r="I21" s="695"/>
      <c r="J21" s="695"/>
      <c r="K21" s="695"/>
      <c r="L21" s="696"/>
      <c r="M21" s="614">
        <v>13</v>
      </c>
      <c r="N21" s="614"/>
      <c r="O21" s="614"/>
      <c r="P21" s="614"/>
    </row>
    <row r="22" spans="2:16">
      <c r="B22" s="665">
        <v>44012</v>
      </c>
      <c r="C22" s="50">
        <v>521</v>
      </c>
      <c r="D22" s="575">
        <f t="shared" si="3"/>
        <v>2</v>
      </c>
      <c r="E22" s="614"/>
      <c r="F22" s="694"/>
      <c r="G22" s="695">
        <f t="shared" ref="G22:G26" si="8">M22/26*D22</f>
        <v>1</v>
      </c>
      <c r="H22" s="695">
        <f>D22-SUM(F22:G22)</f>
        <v>1</v>
      </c>
      <c r="I22" s="695"/>
      <c r="J22" s="695"/>
      <c r="K22" s="695"/>
      <c r="L22" s="696"/>
      <c r="M22" s="614">
        <v>13</v>
      </c>
      <c r="N22" s="614"/>
      <c r="O22" s="614"/>
      <c r="P22" s="614"/>
    </row>
    <row r="23" spans="2:16">
      <c r="B23" s="665">
        <v>44029</v>
      </c>
      <c r="C23" s="50">
        <v>518</v>
      </c>
      <c r="D23" s="575">
        <f t="shared" si="3"/>
        <v>-3</v>
      </c>
      <c r="E23" s="614"/>
      <c r="F23" s="694"/>
      <c r="G23" s="695">
        <f t="shared" ref="G23" si="9">M23/26*D23</f>
        <v>-1.153846153846154</v>
      </c>
      <c r="H23" s="695">
        <f t="shared" ref="H23" si="10">13/26*D23</f>
        <v>-1.5</v>
      </c>
      <c r="I23" s="695">
        <f t="shared" ref="I23" si="11">D23-H23-G23</f>
        <v>-0.34615384615384603</v>
      </c>
      <c r="J23" s="695"/>
      <c r="K23" s="695"/>
      <c r="L23" s="696"/>
      <c r="M23" s="614">
        <f>M22-3</f>
        <v>10</v>
      </c>
      <c r="N23" s="614"/>
      <c r="O23" s="614"/>
      <c r="P23" s="614"/>
    </row>
    <row r="24" spans="2:16">
      <c r="B24" s="665">
        <v>44036</v>
      </c>
      <c r="C24" s="50">
        <v>520</v>
      </c>
      <c r="D24" s="575">
        <f t="shared" si="3"/>
        <v>2</v>
      </c>
      <c r="E24" s="614"/>
      <c r="F24" s="694"/>
      <c r="G24" s="695">
        <f t="shared" si="8"/>
        <v>0.69230769230769229</v>
      </c>
      <c r="H24" s="695">
        <f t="shared" ref="H24:H26" si="12">13/26*D24</f>
        <v>1</v>
      </c>
      <c r="I24" s="695">
        <f t="shared" ref="I24:I26" si="13">D24-H24-G24</f>
        <v>0.30769230769230771</v>
      </c>
      <c r="J24" s="695"/>
      <c r="K24" s="695"/>
      <c r="L24" s="696"/>
      <c r="M24" s="614">
        <f>M23-1</f>
        <v>9</v>
      </c>
      <c r="N24" s="614"/>
      <c r="O24" s="614"/>
      <c r="P24" s="614"/>
    </row>
    <row r="25" spans="2:16">
      <c r="B25" s="665">
        <v>44043</v>
      </c>
      <c r="C25" s="50">
        <v>521</v>
      </c>
      <c r="D25" s="575">
        <f t="shared" si="3"/>
        <v>1</v>
      </c>
      <c r="E25" s="614"/>
      <c r="F25" s="694"/>
      <c r="G25" s="695">
        <f t="shared" si="8"/>
        <v>0.30769230769230771</v>
      </c>
      <c r="H25" s="695">
        <f t="shared" si="12"/>
        <v>0.5</v>
      </c>
      <c r="I25" s="695">
        <f t="shared" si="13"/>
        <v>0.19230769230769229</v>
      </c>
      <c r="J25" s="695"/>
      <c r="K25" s="695"/>
      <c r="L25" s="696"/>
      <c r="M25" s="614">
        <f>M24-1</f>
        <v>8</v>
      </c>
      <c r="N25" s="614"/>
      <c r="O25" s="614"/>
      <c r="P25" s="614"/>
    </row>
    <row r="26" spans="2:16">
      <c r="B26" s="665">
        <v>44051</v>
      </c>
      <c r="C26" s="50">
        <v>525</v>
      </c>
      <c r="D26" s="575">
        <f t="shared" si="3"/>
        <v>4</v>
      </c>
      <c r="E26" s="614"/>
      <c r="F26" s="694"/>
      <c r="G26" s="695">
        <f t="shared" si="8"/>
        <v>1.0769230769230769</v>
      </c>
      <c r="H26" s="695">
        <f t="shared" si="12"/>
        <v>2</v>
      </c>
      <c r="I26" s="695">
        <f t="shared" si="13"/>
        <v>0.92307692307692313</v>
      </c>
      <c r="J26" s="695"/>
      <c r="K26" s="695"/>
      <c r="L26" s="696"/>
      <c r="M26" s="614">
        <f>M25-1</f>
        <v>7</v>
      </c>
      <c r="N26" s="614"/>
      <c r="O26" s="614"/>
      <c r="P26" s="614"/>
    </row>
    <row r="27" spans="2:16">
      <c r="B27" s="665">
        <v>44220</v>
      </c>
      <c r="C27" s="50">
        <v>558</v>
      </c>
      <c r="D27" s="575">
        <f t="shared" si="3"/>
        <v>33</v>
      </c>
      <c r="E27" s="614"/>
      <c r="F27" s="694"/>
      <c r="G27" s="695"/>
      <c r="H27" s="695"/>
      <c r="I27" s="695">
        <f>M27/26*D27</f>
        <v>12.692307692307693</v>
      </c>
      <c r="J27" s="695">
        <f>D27/2</f>
        <v>16.5</v>
      </c>
      <c r="K27" s="695">
        <f>D27-J27-I27</f>
        <v>3.8076923076923066</v>
      </c>
      <c r="L27" s="696"/>
      <c r="M27" s="614">
        <v>10</v>
      </c>
      <c r="N27" s="614">
        <v>10</v>
      </c>
      <c r="O27" s="614"/>
      <c r="P27" s="614"/>
    </row>
    <row r="28" spans="2:16">
      <c r="B28" s="665">
        <v>44227</v>
      </c>
      <c r="C28" s="50">
        <v>596</v>
      </c>
      <c r="D28" s="575">
        <f t="shared" si="3"/>
        <v>38</v>
      </c>
      <c r="E28" s="614"/>
      <c r="F28" s="694"/>
      <c r="G28" s="695"/>
      <c r="H28" s="695"/>
      <c r="I28" s="695">
        <f t="shared" ref="I28:I36" si="14">M28/26*D28</f>
        <v>13.153846153846153</v>
      </c>
      <c r="J28" s="695">
        <f t="shared" ref="J28:J36" si="15">D28/2</f>
        <v>19</v>
      </c>
      <c r="K28" s="695">
        <f t="shared" ref="K28:K36" si="16">D28-J28-I28</f>
        <v>5.8461538461538467</v>
      </c>
      <c r="L28" s="696"/>
      <c r="M28" s="614">
        <f>M27-1</f>
        <v>9</v>
      </c>
      <c r="N28" s="614">
        <f>N27-1</f>
        <v>9</v>
      </c>
      <c r="O28" s="614"/>
      <c r="P28" s="614"/>
    </row>
    <row r="29" spans="2:16">
      <c r="B29" s="665">
        <v>44234</v>
      </c>
      <c r="C29" s="50">
        <v>623</v>
      </c>
      <c r="D29" s="575">
        <f t="shared" si="3"/>
        <v>27</v>
      </c>
      <c r="E29" s="614"/>
      <c r="F29" s="694"/>
      <c r="G29" s="695"/>
      <c r="H29" s="695"/>
      <c r="I29" s="695">
        <f t="shared" si="14"/>
        <v>8.3076923076923084</v>
      </c>
      <c r="J29" s="695">
        <f t="shared" si="15"/>
        <v>13.5</v>
      </c>
      <c r="K29" s="695">
        <f t="shared" si="16"/>
        <v>5.1923076923076916</v>
      </c>
      <c r="L29" s="696"/>
      <c r="M29" s="614">
        <f t="shared" ref="M29:M36" si="17">M28-1</f>
        <v>8</v>
      </c>
      <c r="N29" s="614">
        <f t="shared" ref="N29:N36" si="18">N28-1</f>
        <v>8</v>
      </c>
      <c r="O29" s="614"/>
      <c r="P29" s="614"/>
    </row>
    <row r="30" spans="2:16">
      <c r="B30" s="665">
        <v>44242</v>
      </c>
      <c r="C30" s="50">
        <v>648</v>
      </c>
      <c r="D30" s="575">
        <f t="shared" si="3"/>
        <v>25</v>
      </c>
      <c r="E30" s="614"/>
      <c r="F30" s="694"/>
      <c r="G30" s="695"/>
      <c r="H30" s="695"/>
      <c r="I30" s="695">
        <f t="shared" si="14"/>
        <v>6.7307692307692308</v>
      </c>
      <c r="J30" s="695">
        <f t="shared" si="15"/>
        <v>12.5</v>
      </c>
      <c r="K30" s="695">
        <f t="shared" si="16"/>
        <v>5.7692307692307692</v>
      </c>
      <c r="L30" s="696"/>
      <c r="M30" s="614">
        <f t="shared" si="17"/>
        <v>7</v>
      </c>
      <c r="N30" s="614">
        <f t="shared" si="18"/>
        <v>7</v>
      </c>
      <c r="O30" s="614"/>
      <c r="P30" s="614"/>
    </row>
    <row r="31" spans="2:16">
      <c r="B31" s="665">
        <v>44248</v>
      </c>
      <c r="C31" s="50">
        <v>663</v>
      </c>
      <c r="D31" s="575">
        <f t="shared" si="3"/>
        <v>15</v>
      </c>
      <c r="E31" s="614"/>
      <c r="F31" s="694"/>
      <c r="G31" s="695"/>
      <c r="H31" s="695"/>
      <c r="I31" s="695">
        <f t="shared" si="14"/>
        <v>3.4615384615384617</v>
      </c>
      <c r="J31" s="695">
        <f t="shared" si="15"/>
        <v>7.5</v>
      </c>
      <c r="K31" s="695">
        <f t="shared" si="16"/>
        <v>4.0384615384615383</v>
      </c>
      <c r="L31" s="696"/>
      <c r="M31" s="614">
        <f t="shared" si="17"/>
        <v>6</v>
      </c>
      <c r="N31" s="614">
        <f t="shared" si="18"/>
        <v>6</v>
      </c>
      <c r="O31" s="614"/>
      <c r="P31" s="614"/>
    </row>
    <row r="32" spans="2:16">
      <c r="B32" s="665">
        <v>44255</v>
      </c>
      <c r="C32" s="50">
        <v>679</v>
      </c>
      <c r="D32" s="575">
        <f t="shared" si="3"/>
        <v>16</v>
      </c>
      <c r="E32" s="614"/>
      <c r="F32" s="694"/>
      <c r="G32" s="695"/>
      <c r="H32" s="695"/>
      <c r="I32" s="695">
        <f t="shared" si="14"/>
        <v>3.0769230769230771</v>
      </c>
      <c r="J32" s="695">
        <f t="shared" si="15"/>
        <v>8</v>
      </c>
      <c r="K32" s="695">
        <f t="shared" si="16"/>
        <v>4.9230769230769234</v>
      </c>
      <c r="L32" s="696"/>
      <c r="M32" s="614">
        <f t="shared" si="17"/>
        <v>5</v>
      </c>
      <c r="N32" s="614">
        <f t="shared" si="18"/>
        <v>5</v>
      </c>
      <c r="O32" s="614"/>
      <c r="P32" s="614"/>
    </row>
    <row r="33" spans="2:20">
      <c r="B33" s="665">
        <v>44262</v>
      </c>
      <c r="C33" s="50">
        <v>687</v>
      </c>
      <c r="D33" s="575">
        <f t="shared" si="3"/>
        <v>8</v>
      </c>
      <c r="E33" s="614"/>
      <c r="F33" s="694"/>
      <c r="G33" s="695"/>
      <c r="H33" s="695"/>
      <c r="I33" s="695">
        <f t="shared" si="14"/>
        <v>1.2307692307692308</v>
      </c>
      <c r="J33" s="695">
        <f t="shared" si="15"/>
        <v>4</v>
      </c>
      <c r="K33" s="695">
        <f t="shared" si="16"/>
        <v>2.7692307692307692</v>
      </c>
      <c r="L33" s="696"/>
      <c r="M33" s="614">
        <f t="shared" si="17"/>
        <v>4</v>
      </c>
      <c r="N33" s="614">
        <f t="shared" si="18"/>
        <v>4</v>
      </c>
      <c r="O33" s="614"/>
      <c r="P33" s="614"/>
    </row>
    <row r="34" spans="2:20">
      <c r="B34" s="665">
        <v>44269</v>
      </c>
      <c r="C34" s="50">
        <v>704</v>
      </c>
      <c r="D34" s="575">
        <f t="shared" si="3"/>
        <v>17</v>
      </c>
      <c r="E34" s="614"/>
      <c r="F34" s="694"/>
      <c r="G34" s="695"/>
      <c r="H34" s="695"/>
      <c r="I34" s="695">
        <f t="shared" si="14"/>
        <v>1.9615384615384617</v>
      </c>
      <c r="J34" s="695">
        <f t="shared" si="15"/>
        <v>8.5</v>
      </c>
      <c r="K34" s="695">
        <f t="shared" si="16"/>
        <v>6.5384615384615383</v>
      </c>
      <c r="L34" s="696"/>
      <c r="M34" s="614">
        <f t="shared" si="17"/>
        <v>3</v>
      </c>
      <c r="N34" s="614">
        <f t="shared" si="18"/>
        <v>3</v>
      </c>
      <c r="O34" s="614"/>
      <c r="P34" s="614"/>
    </row>
    <row r="35" spans="2:20">
      <c r="B35" s="665">
        <v>44276</v>
      </c>
      <c r="C35" s="50">
        <v>718</v>
      </c>
      <c r="D35" s="575">
        <f t="shared" si="3"/>
        <v>14</v>
      </c>
      <c r="E35" s="614"/>
      <c r="F35" s="694"/>
      <c r="G35" s="695"/>
      <c r="H35" s="695"/>
      <c r="I35" s="695">
        <f t="shared" si="14"/>
        <v>1.0769230769230771</v>
      </c>
      <c r="J35" s="695">
        <f t="shared" si="15"/>
        <v>7</v>
      </c>
      <c r="K35" s="695">
        <f t="shared" si="16"/>
        <v>5.9230769230769234</v>
      </c>
      <c r="L35" s="696"/>
      <c r="M35" s="614">
        <f t="shared" si="17"/>
        <v>2</v>
      </c>
      <c r="N35" s="614">
        <f t="shared" si="18"/>
        <v>2</v>
      </c>
      <c r="O35" s="614"/>
      <c r="P35" s="614"/>
    </row>
    <row r="36" spans="2:20">
      <c r="B36" s="665">
        <v>44283</v>
      </c>
      <c r="C36" s="50">
        <v>734</v>
      </c>
      <c r="D36" s="575">
        <f t="shared" si="3"/>
        <v>16</v>
      </c>
      <c r="E36" s="614"/>
      <c r="F36" s="694"/>
      <c r="G36" s="695"/>
      <c r="H36" s="695"/>
      <c r="I36" s="695">
        <f t="shared" si="14"/>
        <v>0.61538461538461542</v>
      </c>
      <c r="J36" s="695">
        <f t="shared" si="15"/>
        <v>8</v>
      </c>
      <c r="K36" s="695">
        <f t="shared" si="16"/>
        <v>7.384615384615385</v>
      </c>
      <c r="L36" s="696"/>
      <c r="M36" s="614">
        <f t="shared" si="17"/>
        <v>1</v>
      </c>
      <c r="N36" s="614">
        <f t="shared" si="18"/>
        <v>1</v>
      </c>
      <c r="O36" s="614"/>
      <c r="P36" s="614"/>
    </row>
    <row r="37" spans="2:20">
      <c r="B37" s="665">
        <v>44290</v>
      </c>
      <c r="C37" s="50">
        <v>746</v>
      </c>
      <c r="D37" s="575">
        <f t="shared" si="3"/>
        <v>12</v>
      </c>
      <c r="E37" s="614"/>
      <c r="F37" s="694"/>
      <c r="G37" s="695"/>
      <c r="H37" s="695"/>
      <c r="I37" s="695"/>
      <c r="J37" s="695">
        <f>N37/26*D37</f>
        <v>6</v>
      </c>
      <c r="K37" s="695">
        <f>D37/2</f>
        <v>6</v>
      </c>
      <c r="L37" s="696">
        <f>D37-K37-J37</f>
        <v>0</v>
      </c>
      <c r="M37" s="614">
        <v>13</v>
      </c>
      <c r="N37" s="614">
        <v>13</v>
      </c>
      <c r="O37" s="614"/>
      <c r="P37" s="614"/>
    </row>
    <row r="38" spans="2:20">
      <c r="B38" s="665">
        <v>44297</v>
      </c>
      <c r="C38" s="50">
        <v>755</v>
      </c>
      <c r="D38" s="575">
        <f t="shared" si="3"/>
        <v>9</v>
      </c>
      <c r="E38" s="614"/>
      <c r="F38" s="694"/>
      <c r="G38" s="695"/>
      <c r="H38" s="695"/>
      <c r="I38" s="695"/>
      <c r="J38" s="695">
        <f t="shared" ref="J38:J45" si="19">N38/26*D38</f>
        <v>4.1538461538461542</v>
      </c>
      <c r="K38" s="695">
        <f t="shared" ref="K38:K45" si="20">D38/2</f>
        <v>4.5</v>
      </c>
      <c r="L38" s="696">
        <f t="shared" ref="L38:L45" si="21">D38-K38-J38</f>
        <v>0.34615384615384581</v>
      </c>
      <c r="M38" s="614">
        <f>M37-1</f>
        <v>12</v>
      </c>
      <c r="N38" s="614">
        <f>N37-1</f>
        <v>12</v>
      </c>
      <c r="O38" s="614"/>
      <c r="P38" s="614"/>
    </row>
    <row r="39" spans="2:20">
      <c r="B39" s="665">
        <v>44304</v>
      </c>
      <c r="C39" s="50">
        <v>762</v>
      </c>
      <c r="D39" s="575">
        <f t="shared" si="3"/>
        <v>7</v>
      </c>
      <c r="E39" s="614"/>
      <c r="F39" s="694"/>
      <c r="G39" s="695"/>
      <c r="H39" s="695"/>
      <c r="I39" s="695"/>
      <c r="J39" s="695">
        <f t="shared" si="19"/>
        <v>2.9615384615384617</v>
      </c>
      <c r="K39" s="695">
        <f t="shared" si="20"/>
        <v>3.5</v>
      </c>
      <c r="L39" s="696">
        <f t="shared" si="21"/>
        <v>0.53846153846153832</v>
      </c>
      <c r="M39" s="614">
        <f t="shared" ref="M39:M45" si="22">M38-1</f>
        <v>11</v>
      </c>
      <c r="N39" s="614">
        <f t="shared" ref="N39:N45" si="23">N38-1</f>
        <v>11</v>
      </c>
      <c r="O39" s="614"/>
      <c r="P39" s="614"/>
    </row>
    <row r="40" spans="2:20">
      <c r="B40" s="665">
        <v>44311</v>
      </c>
      <c r="C40" s="50">
        <v>771</v>
      </c>
      <c r="D40" s="575">
        <f t="shared" si="3"/>
        <v>9</v>
      </c>
      <c r="E40" s="614"/>
      <c r="F40" s="694"/>
      <c r="G40" s="695"/>
      <c r="H40" s="695"/>
      <c r="I40" s="695"/>
      <c r="J40" s="695">
        <f t="shared" si="19"/>
        <v>3.4615384615384617</v>
      </c>
      <c r="K40" s="695">
        <f t="shared" si="20"/>
        <v>4.5</v>
      </c>
      <c r="L40" s="696">
        <f t="shared" si="21"/>
        <v>1.0384615384615383</v>
      </c>
      <c r="M40" s="614">
        <f t="shared" si="22"/>
        <v>10</v>
      </c>
      <c r="N40" s="614">
        <f t="shared" si="23"/>
        <v>10</v>
      </c>
      <c r="O40" s="614"/>
      <c r="P40" s="614"/>
    </row>
    <row r="41" spans="2:20">
      <c r="B41" s="665">
        <v>44318</v>
      </c>
      <c r="C41" s="50">
        <v>780</v>
      </c>
      <c r="D41" s="575">
        <f t="shared" si="3"/>
        <v>9</v>
      </c>
      <c r="E41" s="614"/>
      <c r="F41" s="694"/>
      <c r="G41" s="695"/>
      <c r="H41" s="695"/>
      <c r="I41" s="695"/>
      <c r="J41" s="695">
        <f t="shared" si="19"/>
        <v>3.1153846153846154</v>
      </c>
      <c r="K41" s="695">
        <f t="shared" si="20"/>
        <v>4.5</v>
      </c>
      <c r="L41" s="696">
        <f t="shared" si="21"/>
        <v>1.3846153846153846</v>
      </c>
      <c r="M41" s="614">
        <f t="shared" si="22"/>
        <v>9</v>
      </c>
      <c r="N41" s="614">
        <f t="shared" si="23"/>
        <v>9</v>
      </c>
      <c r="O41" s="614"/>
      <c r="P41" s="614"/>
    </row>
    <row r="42" spans="2:20">
      <c r="B42" s="665">
        <v>44325</v>
      </c>
      <c r="C42" s="50">
        <v>782</v>
      </c>
      <c r="D42" s="575">
        <f t="shared" si="3"/>
        <v>2</v>
      </c>
      <c r="E42" s="614"/>
      <c r="F42" s="694"/>
      <c r="G42" s="695"/>
      <c r="H42" s="695"/>
      <c r="I42" s="695"/>
      <c r="J42" s="695">
        <f t="shared" si="19"/>
        <v>0.61538461538461542</v>
      </c>
      <c r="K42" s="695">
        <f t="shared" si="20"/>
        <v>1</v>
      </c>
      <c r="L42" s="696">
        <f t="shared" si="21"/>
        <v>0.38461538461538458</v>
      </c>
      <c r="M42" s="614">
        <f t="shared" si="22"/>
        <v>8</v>
      </c>
      <c r="N42" s="614">
        <f t="shared" si="23"/>
        <v>8</v>
      </c>
      <c r="O42" s="614"/>
      <c r="P42" s="614"/>
    </row>
    <row r="43" spans="2:20">
      <c r="B43" s="665">
        <v>44332</v>
      </c>
      <c r="C43" s="50">
        <v>788</v>
      </c>
      <c r="D43" s="575">
        <f t="shared" si="3"/>
        <v>6</v>
      </c>
      <c r="E43" s="614"/>
      <c r="F43" s="694"/>
      <c r="G43" s="695"/>
      <c r="H43" s="695"/>
      <c r="I43" s="695"/>
      <c r="J43" s="695">
        <f t="shared" si="19"/>
        <v>1.6153846153846154</v>
      </c>
      <c r="K43" s="695">
        <f t="shared" si="20"/>
        <v>3</v>
      </c>
      <c r="L43" s="696">
        <f t="shared" si="21"/>
        <v>1.3846153846153846</v>
      </c>
      <c r="M43" s="614">
        <f t="shared" si="22"/>
        <v>7</v>
      </c>
      <c r="N43" s="614">
        <f t="shared" si="23"/>
        <v>7</v>
      </c>
      <c r="O43" s="614"/>
      <c r="P43" s="614"/>
    </row>
    <row r="44" spans="2:20">
      <c r="B44" s="665">
        <v>44339</v>
      </c>
      <c r="C44" s="50">
        <v>796</v>
      </c>
      <c r="D44" s="575">
        <f t="shared" si="3"/>
        <v>8</v>
      </c>
      <c r="E44" s="614"/>
      <c r="F44" s="694"/>
      <c r="G44" s="695"/>
      <c r="H44" s="695"/>
      <c r="I44" s="695"/>
      <c r="J44" s="695">
        <f t="shared" si="19"/>
        <v>1.8461538461538463</v>
      </c>
      <c r="K44" s="695">
        <f t="shared" si="20"/>
        <v>4</v>
      </c>
      <c r="L44" s="696">
        <f t="shared" si="21"/>
        <v>2.1538461538461537</v>
      </c>
      <c r="M44" s="614">
        <f t="shared" si="22"/>
        <v>6</v>
      </c>
      <c r="N44" s="614">
        <f t="shared" si="23"/>
        <v>6</v>
      </c>
      <c r="O44" s="614"/>
      <c r="P44" s="614"/>
    </row>
    <row r="45" spans="2:20">
      <c r="B45" s="666">
        <v>44347</v>
      </c>
      <c r="C45" s="272">
        <v>800</v>
      </c>
      <c r="D45" s="328">
        <f t="shared" si="3"/>
        <v>4</v>
      </c>
      <c r="E45" s="614"/>
      <c r="F45" s="694"/>
      <c r="G45" s="695"/>
      <c r="H45" s="695"/>
      <c r="I45" s="695"/>
      <c r="J45" s="695">
        <f t="shared" si="19"/>
        <v>0.76923076923076927</v>
      </c>
      <c r="K45" s="695">
        <f t="shared" si="20"/>
        <v>2</v>
      </c>
      <c r="L45" s="696">
        <f t="shared" si="21"/>
        <v>1.2307692307692308</v>
      </c>
      <c r="M45" s="614">
        <f t="shared" si="22"/>
        <v>5</v>
      </c>
      <c r="N45" s="614">
        <f t="shared" si="23"/>
        <v>5</v>
      </c>
      <c r="O45" s="614"/>
      <c r="P45" s="614"/>
    </row>
    <row r="46" spans="2:20">
      <c r="B46" s="614"/>
      <c r="C46" s="614"/>
      <c r="D46" s="614"/>
      <c r="E46" s="614"/>
      <c r="F46" s="694">
        <f>SUM(F11:F45)</f>
        <v>184.80769230769229</v>
      </c>
      <c r="G46" s="695">
        <f t="shared" ref="G46:L46" si="24">SUM(G11:G45)</f>
        <v>261.42307692307696</v>
      </c>
      <c r="H46" s="695">
        <f t="shared" si="24"/>
        <v>77.692307692307693</v>
      </c>
      <c r="I46" s="695">
        <f t="shared" si="24"/>
        <v>53.384615384615394</v>
      </c>
      <c r="J46" s="695">
        <f t="shared" si="24"/>
        <v>129.03846153846155</v>
      </c>
      <c r="K46" s="695">
        <f t="shared" si="24"/>
        <v>85.192307692307693</v>
      </c>
      <c r="L46" s="696">
        <f t="shared" si="24"/>
        <v>8.4615384615384599</v>
      </c>
      <c r="M46" s="614"/>
      <c r="N46" s="614"/>
      <c r="O46" s="614"/>
      <c r="P46" s="614"/>
    </row>
    <row r="47" spans="2:20">
      <c r="B47" s="614"/>
      <c r="C47" s="614"/>
      <c r="D47" s="614"/>
      <c r="E47" s="614"/>
      <c r="F47" s="697">
        <f>F46*4</f>
        <v>739.23076923076917</v>
      </c>
      <c r="G47" s="698">
        <f t="shared" ref="G47:L47" si="25">G46*4</f>
        <v>1045.6923076923078</v>
      </c>
      <c r="H47" s="698">
        <f t="shared" si="25"/>
        <v>310.76923076923077</v>
      </c>
      <c r="I47" s="698">
        <f t="shared" si="25"/>
        <v>213.53846153846158</v>
      </c>
      <c r="J47" s="698">
        <f t="shared" si="25"/>
        <v>516.15384615384619</v>
      </c>
      <c r="K47" s="698">
        <f t="shared" si="25"/>
        <v>340.76923076923077</v>
      </c>
      <c r="L47" s="699">
        <f t="shared" si="25"/>
        <v>33.84615384615384</v>
      </c>
      <c r="M47" s="614" t="s">
        <v>521</v>
      </c>
      <c r="N47" s="614"/>
      <c r="O47" s="614"/>
      <c r="P47" s="614"/>
    </row>
    <row r="48" spans="2:20">
      <c r="K48" s="175"/>
      <c r="L48" s="175"/>
      <c r="M48" s="175"/>
      <c r="N48" s="175"/>
      <c r="O48" s="175"/>
      <c r="P48" s="175"/>
      <c r="Q48" s="175"/>
      <c r="R48" s="175"/>
      <c r="S48" s="175"/>
      <c r="T48" s="175"/>
    </row>
    <row r="49" spans="2:20">
      <c r="K49" s="175"/>
      <c r="L49" s="175"/>
      <c r="M49" s="175"/>
      <c r="N49" s="175"/>
      <c r="O49" s="175"/>
      <c r="P49" s="175"/>
      <c r="Q49" s="175"/>
      <c r="R49" s="175"/>
      <c r="S49" s="175"/>
      <c r="T49" s="175"/>
    </row>
    <row r="50" spans="2:20">
      <c r="B50" s="1299" t="s">
        <v>646</v>
      </c>
      <c r="C50" s="1300"/>
      <c r="D50" s="1306" t="s">
        <v>278</v>
      </c>
      <c r="E50" s="1306"/>
      <c r="F50" s="1306"/>
      <c r="G50" s="1307"/>
      <c r="H50" s="1308" t="s">
        <v>145</v>
      </c>
      <c r="I50" s="1309"/>
      <c r="J50" s="1310"/>
      <c r="K50" s="649"/>
      <c r="L50" s="649"/>
      <c r="M50" s="649"/>
      <c r="N50" s="649"/>
      <c r="O50" s="649"/>
      <c r="P50" s="649"/>
      <c r="Q50" s="649"/>
      <c r="R50" s="649"/>
      <c r="S50" s="649"/>
      <c r="T50" s="175"/>
    </row>
    <row r="51" spans="2:20">
      <c r="B51" s="1301"/>
      <c r="C51" s="1302"/>
      <c r="D51" s="1305">
        <v>2020</v>
      </c>
      <c r="E51" s="1305"/>
      <c r="F51" s="1305"/>
      <c r="G51" s="628">
        <v>2021</v>
      </c>
      <c r="H51" s="1269">
        <v>2021</v>
      </c>
      <c r="I51" s="1297"/>
      <c r="J51" s="1298"/>
      <c r="K51" s="1311"/>
      <c r="L51" s="1237"/>
      <c r="M51" s="1237"/>
      <c r="N51" s="1237"/>
      <c r="O51" s="1295"/>
      <c r="P51" s="1295"/>
      <c r="Q51" s="1295"/>
      <c r="R51" s="1295"/>
      <c r="S51" s="175"/>
      <c r="T51" s="175"/>
    </row>
    <row r="52" spans="2:20">
      <c r="B52" s="1303"/>
      <c r="C52" s="1304"/>
      <c r="D52" s="42" t="s">
        <v>138</v>
      </c>
      <c r="E52" s="278" t="s">
        <v>139</v>
      </c>
      <c r="F52" s="278" t="s">
        <v>140</v>
      </c>
      <c r="G52" s="40" t="s">
        <v>137</v>
      </c>
      <c r="H52" s="78" t="s">
        <v>138</v>
      </c>
      <c r="I52" s="79" t="s">
        <v>139</v>
      </c>
      <c r="J52" s="80" t="s">
        <v>140</v>
      </c>
      <c r="K52" s="582"/>
      <c r="L52" s="38"/>
      <c r="M52" s="175"/>
      <c r="N52" s="175"/>
      <c r="O52" s="582"/>
      <c r="P52" s="38"/>
      <c r="Q52" s="175"/>
      <c r="R52" s="175"/>
      <c r="S52" s="175"/>
      <c r="T52" s="175"/>
    </row>
    <row r="53" spans="2:20" ht="45.5" customHeight="1">
      <c r="B53" s="101" t="s">
        <v>647</v>
      </c>
      <c r="C53" s="582" t="s">
        <v>259</v>
      </c>
      <c r="D53" s="632">
        <f>'Haver Pivoted'!GU47</f>
        <v>19.100000000000001</v>
      </c>
      <c r="E53" s="633">
        <f>'Haver Pivoted'!GV47</f>
        <v>27</v>
      </c>
      <c r="F53" s="633">
        <f>'Haver Pivoted'!GW47</f>
        <v>10.8</v>
      </c>
      <c r="G53" s="633">
        <f>'Haver Pivoted'!GX47</f>
        <v>10.8</v>
      </c>
      <c r="H53" s="634">
        <f>G56*J47</f>
        <v>28.528462325801119</v>
      </c>
      <c r="I53" s="521">
        <f>H56*K47</f>
        <v>18.834737422250218</v>
      </c>
      <c r="J53" s="522">
        <f>I56*L47</f>
        <v>1.8707188410361386</v>
      </c>
      <c r="K53" s="635"/>
      <c r="L53" s="635"/>
      <c r="M53" s="175"/>
      <c r="N53" s="175"/>
      <c r="O53" s="175"/>
      <c r="P53" s="175"/>
      <c r="Q53" s="175"/>
      <c r="R53" s="175"/>
      <c r="S53" s="175"/>
      <c r="T53" s="175"/>
    </row>
    <row r="54" spans="2:20" ht="47.5" customHeight="1">
      <c r="B54" s="74" t="s">
        <v>648</v>
      </c>
      <c r="C54" s="92" t="s">
        <v>261</v>
      </c>
      <c r="D54" s="636">
        <f>'Haver Pivoted'!GU49</f>
        <v>609.29999999999995</v>
      </c>
      <c r="E54" s="637">
        <f>'Haver Pivoted'!GV49</f>
        <v>865.6</v>
      </c>
      <c r="F54" s="637">
        <f>'Haver Pivoted'!GW49</f>
        <v>260.3</v>
      </c>
      <c r="G54" s="637">
        <f>'Haver Pivoted'!GX49</f>
        <v>184.6</v>
      </c>
      <c r="H54" s="639">
        <f>J47-H53</f>
        <v>487.62538382804507</v>
      </c>
      <c r="I54" s="524">
        <f>K47-I53</f>
        <v>321.93449334698056</v>
      </c>
      <c r="J54" s="640">
        <f>L47-J53</f>
        <v>31.975435005117703</v>
      </c>
      <c r="K54" s="635"/>
      <c r="L54" s="635"/>
      <c r="M54" s="175"/>
      <c r="N54" s="175"/>
      <c r="O54" s="175"/>
      <c r="P54" s="175"/>
      <c r="Q54" s="175"/>
      <c r="R54" s="175"/>
      <c r="S54" s="175"/>
      <c r="T54" s="175"/>
    </row>
    <row r="55" spans="2:20">
      <c r="B55" s="47" t="s">
        <v>5</v>
      </c>
      <c r="C55" s="50"/>
      <c r="D55" s="636">
        <f>D54+D53</f>
        <v>628.4</v>
      </c>
      <c r="E55" s="637">
        <f t="shared" ref="E55:G55" si="26">E54+E53</f>
        <v>892.6</v>
      </c>
      <c r="F55" s="637">
        <f t="shared" si="26"/>
        <v>271.10000000000002</v>
      </c>
      <c r="G55" s="638">
        <f t="shared" si="26"/>
        <v>195.4</v>
      </c>
      <c r="H55" s="639">
        <f t="shared" ref="H55" si="27">H54+H53</f>
        <v>516.15384615384619</v>
      </c>
      <c r="I55" s="524">
        <f t="shared" ref="I55" si="28">I54+I53</f>
        <v>340.76923076923077</v>
      </c>
      <c r="J55" s="640">
        <f t="shared" ref="J55" si="29">J54+J53</f>
        <v>33.84615384615384</v>
      </c>
      <c r="K55" s="635"/>
      <c r="L55" s="635"/>
    </row>
    <row r="56" spans="2:20">
      <c r="B56" s="316" t="s">
        <v>613</v>
      </c>
      <c r="C56" s="272"/>
      <c r="D56" s="641">
        <f>D53/D55</f>
        <v>3.0394653087205604E-2</v>
      </c>
      <c r="E56" s="642">
        <f>E53/E55</f>
        <v>3.0248711628949137E-2</v>
      </c>
      <c r="F56" s="642">
        <f>F53/F55</f>
        <v>3.9837698266322392E-2</v>
      </c>
      <c r="G56" s="643">
        <f>G53/G55</f>
        <v>5.527123848515865E-2</v>
      </c>
      <c r="H56" s="644">
        <f>G56</f>
        <v>5.527123848515865E-2</v>
      </c>
      <c r="I56" s="645">
        <f t="shared" ref="I56:J56" si="30">H56</f>
        <v>5.527123848515865E-2</v>
      </c>
      <c r="J56" s="646">
        <f t="shared" si="30"/>
        <v>5.527123848515865E-2</v>
      </c>
      <c r="K56" s="647" t="s">
        <v>649</v>
      </c>
      <c r="L56" s="648"/>
    </row>
    <row r="57" spans="2:20">
      <c r="M57" s="38"/>
      <c r="N57" s="38"/>
    </row>
    <row r="58" spans="2:20">
      <c r="F58" s="38"/>
      <c r="G58" s="38"/>
      <c r="H58" s="38"/>
      <c r="I58" s="38"/>
      <c r="J58" s="38"/>
      <c r="K58" s="38"/>
      <c r="L58" s="38"/>
      <c r="M58" s="38"/>
      <c r="N58" s="38"/>
      <c r="O58" s="38"/>
    </row>
    <row r="59" spans="2:20">
      <c r="F59" s="1237"/>
      <c r="G59" s="1237"/>
      <c r="H59" s="1237"/>
      <c r="I59" s="1237"/>
      <c r="J59" s="582"/>
      <c r="K59" s="1237"/>
      <c r="L59" s="1237"/>
      <c r="M59" s="1237"/>
      <c r="N59" s="38"/>
      <c r="O59" s="38"/>
    </row>
    <row r="60" spans="2:20">
      <c r="F60" s="582"/>
      <c r="G60" s="582"/>
      <c r="H60" s="582"/>
      <c r="I60" s="582"/>
      <c r="J60" s="582"/>
      <c r="K60" s="582"/>
      <c r="L60" s="582"/>
      <c r="M60" s="582"/>
      <c r="N60" s="38"/>
      <c r="O60" s="38"/>
    </row>
    <row r="61" spans="2:20">
      <c r="F61" s="38"/>
      <c r="G61" s="38"/>
      <c r="H61" s="38"/>
      <c r="I61" s="38"/>
      <c r="J61" s="38"/>
      <c r="K61" s="38"/>
      <c r="L61" s="38"/>
      <c r="M61" s="38"/>
      <c r="N61" s="38"/>
      <c r="O61" s="38"/>
    </row>
    <row r="62" spans="2:20">
      <c r="F62" s="38"/>
      <c r="G62" s="38"/>
      <c r="H62" s="38"/>
      <c r="I62" s="38"/>
      <c r="J62" s="38"/>
      <c r="K62" s="38"/>
      <c r="L62" s="38"/>
      <c r="M62" s="38"/>
      <c r="N62" s="38"/>
      <c r="O62" s="38"/>
    </row>
  </sheetData>
  <mergeCells count="13">
    <mergeCell ref="F59:I59"/>
    <mergeCell ref="K59:M59"/>
    <mergeCell ref="D51:F51"/>
    <mergeCell ref="H51:J51"/>
    <mergeCell ref="D50:G50"/>
    <mergeCell ref="H50:J50"/>
    <mergeCell ref="K51:N51"/>
    <mergeCell ref="O51:R51"/>
    <mergeCell ref="B2:M5"/>
    <mergeCell ref="B1:M1"/>
    <mergeCell ref="F9:H9"/>
    <mergeCell ref="I9:L9"/>
    <mergeCell ref="B50:C52"/>
  </mergeCells>
  <phoneticPr fontId="52" type="noConversion"/>
  <hyperlinks>
    <hyperlink ref="B7" r:id="rId1" xr:uid="{5C343E26-19B3-4E85-9B31-AB85923D187B}"/>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X35"/>
  <sheetViews>
    <sheetView topLeftCell="A8" zoomScale="63" zoomScaleNormal="80" workbookViewId="0">
      <selection activeCell="N20" sqref="N20"/>
    </sheetView>
  </sheetViews>
  <sheetFormatPr baseColWidth="10" defaultColWidth="10.83203125" defaultRowHeight="15"/>
  <cols>
    <col min="1" max="1" width="10.83203125" style="587"/>
    <col min="2" max="2" width="49.5" style="151" customWidth="1"/>
    <col min="3" max="3" width="10.83203125" style="151"/>
    <col min="4" max="23" width="6.6640625" style="151" customWidth="1"/>
    <col min="24" max="76" width="10.83203125" style="279"/>
    <col min="77" max="16384" width="10.83203125" style="151"/>
  </cols>
  <sheetData>
    <row r="1" spans="1:76" s="332" customFormat="1">
      <c r="A1" s="587"/>
      <c r="B1" s="1314" t="s">
        <v>134</v>
      </c>
      <c r="C1" s="1314"/>
      <c r="D1" s="1314"/>
      <c r="E1" s="1314"/>
      <c r="F1" s="1314"/>
      <c r="G1" s="1314"/>
      <c r="H1" s="1314"/>
      <c r="I1" s="1314"/>
      <c r="J1" s="1314"/>
      <c r="K1" s="1314"/>
      <c r="L1" s="1314"/>
      <c r="M1" s="1314"/>
      <c r="N1" s="1314"/>
      <c r="O1" s="1314"/>
      <c r="P1" s="1314"/>
      <c r="Q1" s="1314"/>
      <c r="R1" s="1314"/>
      <c r="S1" s="1314"/>
      <c r="T1" s="1314"/>
      <c r="U1" s="1314"/>
      <c r="V1" s="1314"/>
      <c r="W1" s="1314"/>
      <c r="X1" s="279"/>
      <c r="Y1" s="279"/>
      <c r="Z1" s="279"/>
      <c r="AA1" s="279"/>
      <c r="AB1" s="279"/>
      <c r="AC1" s="279"/>
      <c r="AD1" s="279"/>
      <c r="AE1" s="279"/>
      <c r="AF1" s="279"/>
      <c r="AG1" s="279"/>
      <c r="AH1" s="279"/>
      <c r="AI1" s="279"/>
      <c r="AJ1" s="279"/>
      <c r="AK1" s="279"/>
      <c r="AL1" s="279"/>
      <c r="AM1" s="279"/>
      <c r="AN1" s="279"/>
      <c r="AO1" s="279"/>
      <c r="AP1" s="279"/>
      <c r="AQ1" s="279"/>
      <c r="AR1" s="279"/>
      <c r="AS1" s="279"/>
      <c r="AT1" s="279"/>
      <c r="AU1" s="279"/>
      <c r="AV1" s="279"/>
      <c r="AW1" s="279"/>
      <c r="AX1" s="279"/>
      <c r="AY1" s="279"/>
      <c r="AZ1" s="279"/>
      <c r="BA1" s="279"/>
      <c r="BB1" s="279"/>
      <c r="BC1" s="279"/>
      <c r="BD1" s="279"/>
      <c r="BE1" s="279"/>
      <c r="BF1" s="279"/>
      <c r="BG1" s="279"/>
      <c r="BH1" s="279"/>
      <c r="BI1" s="279"/>
      <c r="BJ1" s="279"/>
      <c r="BK1" s="279"/>
      <c r="BL1" s="279"/>
      <c r="BM1" s="279"/>
      <c r="BN1" s="279"/>
      <c r="BO1" s="279"/>
      <c r="BP1" s="279"/>
      <c r="BQ1" s="279"/>
      <c r="BR1" s="279"/>
      <c r="BS1" s="279"/>
      <c r="BT1" s="279"/>
      <c r="BU1" s="279"/>
      <c r="BV1" s="279"/>
      <c r="BW1" s="279"/>
      <c r="BX1" s="279"/>
    </row>
    <row r="2" spans="1:76" s="288" customFormat="1" ht="14.5" customHeight="1">
      <c r="B2" s="1244" t="s">
        <v>683</v>
      </c>
      <c r="C2" s="1244"/>
      <c r="D2" s="1244"/>
      <c r="E2" s="1244"/>
      <c r="F2" s="1244"/>
      <c r="G2" s="1244"/>
      <c r="H2" s="1244"/>
      <c r="I2" s="1244"/>
      <c r="J2" s="1244"/>
      <c r="K2" s="1244"/>
      <c r="L2" s="1244"/>
      <c r="M2" s="1244"/>
      <c r="N2" s="1244"/>
      <c r="O2" s="1244"/>
      <c r="P2" s="1244"/>
      <c r="Q2" s="1244"/>
      <c r="R2" s="1244"/>
      <c r="S2" s="1244"/>
      <c r="T2" s="1244"/>
      <c r="U2" s="1244"/>
      <c r="V2" s="1244"/>
      <c r="W2" s="1244"/>
      <c r="X2" s="235"/>
      <c r="Y2" s="235"/>
      <c r="Z2" s="235"/>
      <c r="AA2" s="235"/>
      <c r="AB2" s="235"/>
      <c r="AC2" s="235"/>
      <c r="AD2" s="235"/>
      <c r="AE2" s="235"/>
      <c r="AF2" s="235"/>
      <c r="AG2" s="235"/>
      <c r="AH2" s="235"/>
      <c r="AI2" s="235"/>
      <c r="AJ2" s="235"/>
      <c r="AK2" s="235"/>
      <c r="AL2" s="235"/>
      <c r="AM2" s="235"/>
      <c r="AN2" s="235"/>
      <c r="AO2" s="235"/>
      <c r="AP2" s="235"/>
      <c r="AQ2" s="235"/>
      <c r="AR2" s="235"/>
      <c r="AS2" s="235"/>
      <c r="AT2" s="235"/>
      <c r="AU2" s="235"/>
      <c r="AV2" s="235"/>
      <c r="AW2" s="235"/>
      <c r="AX2" s="235"/>
      <c r="AY2" s="235"/>
      <c r="AZ2" s="235"/>
      <c r="BA2" s="235"/>
      <c r="BB2" s="235"/>
      <c r="BC2" s="235"/>
      <c r="BD2" s="235"/>
      <c r="BE2" s="235"/>
      <c r="BF2" s="235"/>
      <c r="BG2" s="235"/>
      <c r="BH2" s="235"/>
      <c r="BI2" s="235"/>
      <c r="BJ2" s="235"/>
      <c r="BK2" s="235"/>
      <c r="BL2" s="235"/>
      <c r="BM2" s="235"/>
      <c r="BN2" s="235"/>
      <c r="BO2" s="235"/>
      <c r="BP2" s="235"/>
      <c r="BQ2" s="235"/>
      <c r="BR2" s="235"/>
      <c r="BS2" s="235"/>
      <c r="BT2" s="235"/>
      <c r="BU2" s="235"/>
      <c r="BV2" s="235"/>
      <c r="BW2" s="235"/>
      <c r="BX2" s="235"/>
    </row>
    <row r="3" spans="1:76" s="288" customFormat="1" ht="14.5" customHeight="1">
      <c r="B3" s="1244"/>
      <c r="C3" s="1244"/>
      <c r="D3" s="1244"/>
      <c r="E3" s="1244"/>
      <c r="F3" s="1244"/>
      <c r="G3" s="1244"/>
      <c r="H3" s="1244"/>
      <c r="I3" s="1244"/>
      <c r="J3" s="1244"/>
      <c r="K3" s="1244"/>
      <c r="L3" s="1244"/>
      <c r="M3" s="1244"/>
      <c r="N3" s="1244"/>
      <c r="O3" s="1244"/>
      <c r="P3" s="1244"/>
      <c r="Q3" s="1244"/>
      <c r="R3" s="1244"/>
      <c r="S3" s="1244"/>
      <c r="T3" s="1244"/>
      <c r="U3" s="1244"/>
      <c r="V3" s="1244"/>
      <c r="W3" s="1244"/>
      <c r="X3" s="235"/>
      <c r="Y3" s="235"/>
      <c r="Z3" s="235"/>
      <c r="AA3" s="235"/>
      <c r="AB3" s="235"/>
      <c r="AC3" s="235"/>
      <c r="AD3" s="235"/>
      <c r="AE3" s="235"/>
      <c r="AF3" s="235"/>
      <c r="AG3" s="235"/>
      <c r="AH3" s="235"/>
      <c r="AI3" s="235"/>
      <c r="AJ3" s="235"/>
      <c r="AK3" s="235"/>
      <c r="AL3" s="235"/>
      <c r="AM3" s="235"/>
      <c r="AN3" s="235"/>
      <c r="AO3" s="235"/>
      <c r="AP3" s="235"/>
      <c r="AQ3" s="235"/>
      <c r="AR3" s="235"/>
      <c r="AS3" s="235"/>
      <c r="AT3" s="235"/>
      <c r="AU3" s="235"/>
      <c r="AV3" s="235"/>
      <c r="AW3" s="235"/>
      <c r="AX3" s="235"/>
      <c r="AY3" s="235"/>
      <c r="AZ3" s="235"/>
      <c r="BA3" s="235"/>
      <c r="BB3" s="235"/>
      <c r="BC3" s="235"/>
      <c r="BD3" s="235"/>
      <c r="BE3" s="235"/>
      <c r="BF3" s="235"/>
      <c r="BG3" s="235"/>
      <c r="BH3" s="235"/>
      <c r="BI3" s="235"/>
      <c r="BJ3" s="235"/>
      <c r="BK3" s="235"/>
      <c r="BL3" s="235"/>
      <c r="BM3" s="235"/>
      <c r="BN3" s="235"/>
      <c r="BO3" s="235"/>
      <c r="BP3" s="235"/>
      <c r="BQ3" s="235"/>
      <c r="BR3" s="235"/>
      <c r="BS3" s="235"/>
      <c r="BT3" s="235"/>
      <c r="BU3" s="235"/>
      <c r="BV3" s="235"/>
      <c r="BW3" s="235"/>
      <c r="BX3" s="235"/>
    </row>
    <row r="4" spans="1:76" s="288" customFormat="1" ht="14.5" customHeight="1">
      <c r="B4" s="1244"/>
      <c r="C4" s="1244"/>
      <c r="D4" s="1244"/>
      <c r="E4" s="1244"/>
      <c r="F4" s="1244"/>
      <c r="G4" s="1244"/>
      <c r="H4" s="1244"/>
      <c r="I4" s="1244"/>
      <c r="J4" s="1244"/>
      <c r="K4" s="1244"/>
      <c r="L4" s="1244"/>
      <c r="M4" s="1244"/>
      <c r="N4" s="1244"/>
      <c r="O4" s="1244"/>
      <c r="P4" s="1244"/>
      <c r="Q4" s="1244"/>
      <c r="R4" s="1244"/>
      <c r="S4" s="1244"/>
      <c r="T4" s="1244"/>
      <c r="U4" s="1244"/>
      <c r="V4" s="1244"/>
      <c r="W4" s="1244"/>
      <c r="X4" s="235"/>
      <c r="Y4" s="235"/>
      <c r="Z4" s="235"/>
      <c r="AA4" s="235"/>
      <c r="AB4" s="235"/>
      <c r="AC4" s="235"/>
      <c r="AD4" s="235"/>
      <c r="AE4" s="235"/>
      <c r="AF4" s="235"/>
      <c r="AG4" s="235"/>
      <c r="AH4" s="235"/>
      <c r="AI4" s="235"/>
      <c r="AJ4" s="235"/>
      <c r="AK4" s="235"/>
      <c r="AL4" s="235"/>
      <c r="AM4" s="235"/>
      <c r="AN4" s="235"/>
      <c r="AO4" s="235"/>
      <c r="AP4" s="235"/>
      <c r="AQ4" s="235"/>
      <c r="AR4" s="235"/>
      <c r="AS4" s="235"/>
      <c r="AT4" s="235"/>
      <c r="AU4" s="235"/>
      <c r="AV4" s="235"/>
      <c r="AW4" s="235"/>
      <c r="AX4" s="235"/>
      <c r="AY4" s="235"/>
      <c r="AZ4" s="235"/>
      <c r="BA4" s="235"/>
      <c r="BB4" s="235"/>
      <c r="BC4" s="235"/>
      <c r="BD4" s="235"/>
      <c r="BE4" s="235"/>
      <c r="BF4" s="235"/>
      <c r="BG4" s="235"/>
      <c r="BH4" s="235"/>
      <c r="BI4" s="235"/>
      <c r="BJ4" s="235"/>
      <c r="BK4" s="235"/>
      <c r="BL4" s="235"/>
      <c r="BM4" s="235"/>
      <c r="BN4" s="235"/>
      <c r="BO4" s="235"/>
      <c r="BP4" s="235"/>
      <c r="BQ4" s="235"/>
      <c r="BR4" s="235"/>
      <c r="BS4" s="235"/>
      <c r="BT4" s="235"/>
      <c r="BU4" s="235"/>
      <c r="BV4" s="235"/>
      <c r="BW4" s="235"/>
      <c r="BX4" s="235"/>
    </row>
    <row r="5" spans="1:76" s="288" customFormat="1" ht="14.5" customHeight="1">
      <c r="B5" s="1244"/>
      <c r="C5" s="1244"/>
      <c r="D5" s="1244"/>
      <c r="E5" s="1244"/>
      <c r="F5" s="1244"/>
      <c r="G5" s="1244"/>
      <c r="H5" s="1244"/>
      <c r="I5" s="1244"/>
      <c r="J5" s="1244"/>
      <c r="K5" s="1244"/>
      <c r="L5" s="1244"/>
      <c r="M5" s="1244"/>
      <c r="N5" s="1244"/>
      <c r="O5" s="1244"/>
      <c r="P5" s="1244"/>
      <c r="Q5" s="1244"/>
      <c r="R5" s="1244"/>
      <c r="S5" s="1244"/>
      <c r="T5" s="1244"/>
      <c r="U5" s="1244"/>
      <c r="V5" s="1244"/>
      <c r="W5" s="1244"/>
      <c r="X5" s="235"/>
      <c r="Y5" s="235"/>
      <c r="Z5" s="235"/>
      <c r="AA5" s="235"/>
      <c r="AB5" s="235"/>
      <c r="AC5" s="235"/>
      <c r="AD5" s="235"/>
      <c r="AE5" s="235"/>
      <c r="AF5" s="235"/>
      <c r="AG5" s="235"/>
      <c r="AH5" s="235"/>
      <c r="AI5" s="235"/>
      <c r="AJ5" s="235"/>
      <c r="AK5" s="235"/>
      <c r="AL5" s="235"/>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5"/>
      <c r="BK5" s="235"/>
      <c r="BL5" s="235"/>
      <c r="BM5" s="235"/>
      <c r="BN5" s="235"/>
      <c r="BO5" s="235"/>
      <c r="BP5" s="235"/>
      <c r="BQ5" s="235"/>
      <c r="BR5" s="235"/>
      <c r="BS5" s="235"/>
      <c r="BT5" s="235"/>
      <c r="BU5" s="235"/>
      <c r="BV5" s="235"/>
      <c r="BW5" s="235"/>
      <c r="BX5" s="235"/>
    </row>
    <row r="6" spans="1:76" s="288" customFormat="1" ht="33.5" customHeight="1">
      <c r="B6" s="1244"/>
      <c r="C6" s="1244"/>
      <c r="D6" s="1244"/>
      <c r="E6" s="1244"/>
      <c r="F6" s="1244"/>
      <c r="G6" s="1244"/>
      <c r="H6" s="1244"/>
      <c r="I6" s="1244"/>
      <c r="J6" s="1244"/>
      <c r="K6" s="1244"/>
      <c r="L6" s="1244"/>
      <c r="M6" s="1244"/>
      <c r="N6" s="1244"/>
      <c r="O6" s="1244"/>
      <c r="P6" s="1244"/>
      <c r="Q6" s="1244"/>
      <c r="R6" s="1244"/>
      <c r="S6" s="1244"/>
      <c r="T6" s="1244"/>
      <c r="U6" s="1244"/>
      <c r="V6" s="1244"/>
      <c r="W6" s="1244"/>
      <c r="X6" s="235"/>
      <c r="Y6" s="235"/>
      <c r="Z6" s="235"/>
      <c r="AA6" s="235"/>
      <c r="AB6" s="235"/>
      <c r="AC6" s="235"/>
      <c r="AD6" s="235"/>
      <c r="AE6" s="235"/>
      <c r="AF6" s="235"/>
      <c r="AG6" s="235"/>
      <c r="AH6" s="235"/>
      <c r="AI6" s="235"/>
      <c r="AJ6" s="235"/>
      <c r="AK6" s="235"/>
      <c r="AL6" s="235"/>
      <c r="AM6" s="235"/>
      <c r="AN6" s="235"/>
      <c r="AO6" s="235"/>
      <c r="AP6" s="235"/>
      <c r="AQ6" s="235"/>
      <c r="AR6" s="235"/>
      <c r="AS6" s="235"/>
      <c r="AT6" s="235"/>
      <c r="AU6" s="235"/>
      <c r="AV6" s="235"/>
      <c r="AW6" s="235"/>
      <c r="AX6" s="235"/>
      <c r="AY6" s="235"/>
      <c r="AZ6" s="235"/>
      <c r="BA6" s="235"/>
      <c r="BB6" s="235"/>
      <c r="BC6" s="235"/>
      <c r="BD6" s="235"/>
      <c r="BE6" s="235"/>
      <c r="BF6" s="235"/>
      <c r="BG6" s="235"/>
      <c r="BH6" s="235"/>
      <c r="BI6" s="235"/>
      <c r="BJ6" s="235"/>
      <c r="BK6" s="235"/>
      <c r="BL6" s="235"/>
      <c r="BM6" s="235"/>
      <c r="BN6" s="235"/>
      <c r="BO6" s="235"/>
      <c r="BP6" s="235"/>
      <c r="BQ6" s="235"/>
      <c r="BR6" s="235"/>
      <c r="BS6" s="235"/>
      <c r="BT6" s="235"/>
      <c r="BU6" s="235"/>
      <c r="BV6" s="235"/>
      <c r="BW6" s="235"/>
      <c r="BX6" s="235"/>
    </row>
    <row r="7" spans="1:76" s="288" customFormat="1" ht="33.5" customHeight="1">
      <c r="B7" s="583"/>
      <c r="C7" s="583"/>
      <c r="D7" s="583"/>
      <c r="E7" s="583"/>
      <c r="F7" s="583"/>
      <c r="G7" s="583"/>
      <c r="H7" s="583"/>
      <c r="I7" s="583"/>
      <c r="J7" s="583"/>
      <c r="K7" s="583"/>
      <c r="L7" s="583"/>
      <c r="M7" s="583"/>
      <c r="N7" s="583"/>
      <c r="O7" s="583"/>
      <c r="P7" s="583"/>
      <c r="Q7" s="583"/>
      <c r="R7" s="583"/>
      <c r="S7" s="583"/>
      <c r="T7" s="583"/>
      <c r="U7" s="583"/>
      <c r="V7" s="583"/>
      <c r="W7" s="583"/>
      <c r="X7" s="235"/>
      <c r="Y7" s="235"/>
      <c r="Z7" s="235"/>
      <c r="AA7" s="235"/>
      <c r="AB7" s="235"/>
      <c r="AC7" s="235"/>
      <c r="AD7" s="235"/>
      <c r="AE7" s="235"/>
      <c r="AF7" s="235"/>
      <c r="AG7" s="235"/>
      <c r="AH7" s="235"/>
      <c r="AI7" s="235"/>
      <c r="AJ7" s="235"/>
      <c r="AK7" s="235"/>
      <c r="AL7" s="235"/>
      <c r="AM7" s="235"/>
      <c r="AN7" s="235"/>
      <c r="AO7" s="235"/>
      <c r="AP7" s="235"/>
      <c r="AQ7" s="235"/>
      <c r="AR7" s="235"/>
      <c r="AS7" s="235"/>
      <c r="AT7" s="235"/>
      <c r="AU7" s="235"/>
      <c r="AV7" s="235"/>
      <c r="AW7" s="235"/>
      <c r="AX7" s="235"/>
      <c r="AY7" s="235"/>
      <c r="AZ7" s="235"/>
      <c r="BA7" s="235"/>
      <c r="BB7" s="235"/>
      <c r="BC7" s="235"/>
      <c r="BD7" s="235"/>
      <c r="BE7" s="235"/>
      <c r="BF7" s="235"/>
      <c r="BG7" s="235"/>
      <c r="BH7" s="235"/>
      <c r="BI7" s="235"/>
      <c r="BJ7" s="235"/>
      <c r="BK7" s="235"/>
      <c r="BL7" s="235"/>
      <c r="BM7" s="235"/>
      <c r="BN7" s="235"/>
      <c r="BO7" s="235"/>
      <c r="BP7" s="235"/>
      <c r="BQ7" s="235"/>
      <c r="BR7" s="235"/>
      <c r="BS7" s="235"/>
      <c r="BT7" s="235"/>
      <c r="BU7" s="235"/>
      <c r="BV7" s="235"/>
      <c r="BW7" s="235"/>
      <c r="BX7" s="235"/>
    </row>
    <row r="8" spans="1:76">
      <c r="B8" s="1245" t="s">
        <v>311</v>
      </c>
      <c r="C8" s="1246"/>
      <c r="D8" s="1316" t="s">
        <v>278</v>
      </c>
      <c r="E8" s="1317"/>
      <c r="F8" s="1317"/>
      <c r="G8" s="1317"/>
      <c r="H8" s="1317"/>
      <c r="I8" s="1317"/>
      <c r="J8" s="1317"/>
      <c r="K8" s="1318"/>
      <c r="L8" s="1308" t="s">
        <v>145</v>
      </c>
      <c r="M8" s="1309"/>
      <c r="N8" s="1309"/>
      <c r="O8" s="1309"/>
      <c r="P8" s="1309"/>
      <c r="Q8" s="1309"/>
      <c r="R8" s="1309"/>
      <c r="S8" s="1309"/>
      <c r="T8" s="1309"/>
      <c r="U8" s="1309"/>
      <c r="V8" s="1309"/>
      <c r="W8" s="1310"/>
    </row>
    <row r="9" spans="1:76">
      <c r="B9" s="1247"/>
      <c r="C9" s="1248"/>
      <c r="D9" s="1256">
        <v>2019</v>
      </c>
      <c r="E9" s="1257"/>
      <c r="F9" s="1258"/>
      <c r="G9" s="1257">
        <v>2020</v>
      </c>
      <c r="H9" s="1257"/>
      <c r="I9" s="1257"/>
      <c r="J9" s="1258"/>
      <c r="K9" s="150">
        <v>2021</v>
      </c>
      <c r="L9" s="1315">
        <v>2021</v>
      </c>
      <c r="M9" s="1297"/>
      <c r="N9" s="1298"/>
      <c r="O9" s="1315">
        <v>2022</v>
      </c>
      <c r="P9" s="1297"/>
      <c r="Q9" s="1297"/>
      <c r="R9" s="1298"/>
      <c r="S9" s="1315">
        <v>2023</v>
      </c>
      <c r="T9" s="1297"/>
      <c r="U9" s="1297"/>
      <c r="V9" s="1298"/>
      <c r="W9" s="568">
        <v>2024</v>
      </c>
    </row>
    <row r="10" spans="1:76">
      <c r="B10" s="1249"/>
      <c r="C10" s="1250"/>
      <c r="D10" s="268" t="s">
        <v>138</v>
      </c>
      <c r="E10" s="269" t="s">
        <v>139</v>
      </c>
      <c r="F10" s="43" t="s">
        <v>140</v>
      </c>
      <c r="G10" s="42" t="s">
        <v>137</v>
      </c>
      <c r="H10" s="42" t="s">
        <v>138</v>
      </c>
      <c r="I10" s="42" t="s">
        <v>139</v>
      </c>
      <c r="J10" s="43" t="s">
        <v>140</v>
      </c>
      <c r="K10" s="41" t="s">
        <v>137</v>
      </c>
      <c r="L10" s="78" t="s">
        <v>138</v>
      </c>
      <c r="M10" s="79" t="s">
        <v>139</v>
      </c>
      <c r="N10" s="80" t="s">
        <v>140</v>
      </c>
      <c r="O10" s="78" t="s">
        <v>137</v>
      </c>
      <c r="P10" s="79" t="s">
        <v>138</v>
      </c>
      <c r="Q10" s="79" t="s">
        <v>139</v>
      </c>
      <c r="R10" s="80" t="s">
        <v>140</v>
      </c>
      <c r="S10" s="78" t="s">
        <v>137</v>
      </c>
      <c r="T10" s="79" t="s">
        <v>138</v>
      </c>
      <c r="U10" s="79" t="s">
        <v>139</v>
      </c>
      <c r="V10" s="80" t="s">
        <v>140</v>
      </c>
      <c r="W10" s="81" t="s">
        <v>137</v>
      </c>
    </row>
    <row r="11" spans="1:76" s="679" customFormat="1">
      <c r="B11" s="1321" t="s">
        <v>524</v>
      </c>
      <c r="C11" s="1322"/>
      <c r="D11" s="482">
        <v>60.5</v>
      </c>
      <c r="E11" s="483">
        <v>81.400000000000006</v>
      </c>
      <c r="F11" s="484">
        <f>'Haver Pivoted'!GS42</f>
        <v>80.5</v>
      </c>
      <c r="G11" s="484">
        <f>'Haver Pivoted'!GT42</f>
        <v>74.5</v>
      </c>
      <c r="H11" s="484">
        <f>'Haver Pivoted'!GU42</f>
        <v>1085.9000000000001</v>
      </c>
      <c r="I11" s="484">
        <f>'Haver Pivoted'!GV42</f>
        <v>1212.9000000000001</v>
      </c>
      <c r="J11" s="484">
        <f>'Haver Pivoted'!GW42</f>
        <v>609.79999999999995</v>
      </c>
      <c r="K11" s="484">
        <f>'Haver Pivoted'!GX42</f>
        <v>402.7</v>
      </c>
      <c r="L11" s="270">
        <f>L12+L13</f>
        <v>908.84990364156488</v>
      </c>
      <c r="M11" s="273">
        <f t="shared" ref="M11:W11" si="0">M12+M13</f>
        <v>736.53931619080333</v>
      </c>
      <c r="N11" s="273">
        <f t="shared" si="0"/>
        <v>224.65566111234378</v>
      </c>
      <c r="O11" s="273">
        <f t="shared" si="0"/>
        <v>191.39223076923076</v>
      </c>
      <c r="P11" s="273">
        <f t="shared" si="0"/>
        <v>186.00062237762236</v>
      </c>
      <c r="Q11" s="273">
        <f t="shared" si="0"/>
        <v>186.00062237762236</v>
      </c>
      <c r="R11" s="273">
        <f t="shared" si="0"/>
        <v>86.950999999999993</v>
      </c>
      <c r="S11" s="273">
        <f t="shared" si="0"/>
        <v>86.950999999999993</v>
      </c>
      <c r="T11" s="273">
        <f t="shared" si="0"/>
        <v>86.950999999999993</v>
      </c>
      <c r="U11" s="273">
        <f t="shared" si="0"/>
        <v>86.950999999999993</v>
      </c>
      <c r="V11" s="273">
        <f t="shared" si="0"/>
        <v>74.224999999999994</v>
      </c>
      <c r="W11" s="129">
        <f t="shared" si="0"/>
        <v>74.224999999999994</v>
      </c>
      <c r="X11" s="680"/>
      <c r="Y11" s="680"/>
      <c r="Z11" s="680"/>
      <c r="AA11" s="680"/>
      <c r="AB11" s="680"/>
      <c r="AC11" s="680"/>
      <c r="AD11" s="680"/>
      <c r="AE11" s="680"/>
      <c r="AF11" s="680"/>
      <c r="AG11" s="680"/>
      <c r="AH11" s="680"/>
      <c r="AI11" s="680"/>
      <c r="AJ11" s="680"/>
      <c r="AK11" s="680"/>
      <c r="AL11" s="680"/>
      <c r="AM11" s="680"/>
      <c r="AN11" s="680"/>
      <c r="AO11" s="680"/>
      <c r="AP11" s="680"/>
      <c r="AQ11" s="680"/>
      <c r="AR11" s="680"/>
      <c r="AS11" s="680"/>
      <c r="AT11" s="680"/>
      <c r="AU11" s="680"/>
      <c r="AV11" s="680"/>
      <c r="AW11" s="680"/>
      <c r="AX11" s="680"/>
      <c r="AY11" s="680"/>
      <c r="AZ11" s="680"/>
      <c r="BA11" s="680"/>
      <c r="BB11" s="680"/>
      <c r="BC11" s="680"/>
      <c r="BD11" s="680"/>
      <c r="BE11" s="680"/>
      <c r="BF11" s="680"/>
      <c r="BG11" s="680"/>
      <c r="BH11" s="680"/>
      <c r="BI11" s="680"/>
      <c r="BJ11" s="680"/>
      <c r="BK11" s="680"/>
      <c r="BL11" s="680"/>
      <c r="BM11" s="680"/>
      <c r="BN11" s="680"/>
      <c r="BO11" s="680"/>
      <c r="BP11" s="680"/>
      <c r="BQ11" s="680"/>
      <c r="BR11" s="680"/>
      <c r="BS11" s="680"/>
      <c r="BT11" s="680"/>
      <c r="BU11" s="680"/>
      <c r="BV11" s="680"/>
      <c r="BW11" s="680"/>
      <c r="BX11" s="680"/>
    </row>
    <row r="12" spans="1:76" ht="16.5" customHeight="1">
      <c r="B12" s="227" t="s">
        <v>431</v>
      </c>
      <c r="C12" s="572"/>
      <c r="D12" s="482">
        <f>D11</f>
        <v>60.5</v>
      </c>
      <c r="E12" s="483">
        <f>E11</f>
        <v>81.400000000000006</v>
      </c>
      <c r="F12" s="484">
        <f t="shared" ref="F12:K12" si="1">F11-F13</f>
        <v>80.5</v>
      </c>
      <c r="G12" s="484">
        <f t="shared" si="1"/>
        <v>74.5</v>
      </c>
      <c r="H12" s="484">
        <f t="shared" si="1"/>
        <v>64.000000000000114</v>
      </c>
      <c r="I12" s="484">
        <f t="shared" si="1"/>
        <v>65.5</v>
      </c>
      <c r="J12" s="484">
        <f t="shared" si="1"/>
        <v>69.200000000000045</v>
      </c>
      <c r="K12" s="484">
        <f t="shared" si="1"/>
        <v>62.399999999999977</v>
      </c>
      <c r="L12" s="270">
        <f>AVERAGE($D$11:$G$11)</f>
        <v>74.224999999999994</v>
      </c>
      <c r="M12" s="273">
        <f t="shared" ref="M12:W12" si="2">AVERAGE($D$11:$G$11)</f>
        <v>74.224999999999994</v>
      </c>
      <c r="N12" s="273">
        <f t="shared" si="2"/>
        <v>74.224999999999994</v>
      </c>
      <c r="O12" s="273">
        <f t="shared" si="2"/>
        <v>74.224999999999994</v>
      </c>
      <c r="P12" s="273">
        <f t="shared" si="2"/>
        <v>74.224999999999994</v>
      </c>
      <c r="Q12" s="273">
        <f t="shared" si="2"/>
        <v>74.224999999999994</v>
      </c>
      <c r="R12" s="273">
        <f t="shared" si="2"/>
        <v>74.224999999999994</v>
      </c>
      <c r="S12" s="273">
        <f t="shared" si="2"/>
        <v>74.224999999999994</v>
      </c>
      <c r="T12" s="273">
        <f t="shared" si="2"/>
        <v>74.224999999999994</v>
      </c>
      <c r="U12" s="273">
        <f t="shared" si="2"/>
        <v>74.224999999999994</v>
      </c>
      <c r="V12" s="273">
        <f t="shared" si="2"/>
        <v>74.224999999999994</v>
      </c>
      <c r="W12" s="129">
        <f t="shared" si="2"/>
        <v>74.224999999999994</v>
      </c>
    </row>
    <row r="13" spans="1:76">
      <c r="B13" s="166" t="s">
        <v>432</v>
      </c>
      <c r="C13" s="572"/>
      <c r="D13" s="485"/>
      <c r="E13" s="486"/>
      <c r="F13" s="484">
        <f>SUM(F16:F23)</f>
        <v>0</v>
      </c>
      <c r="G13" s="484">
        <f t="shared" ref="G13" si="3">SUM(G16:G23)</f>
        <v>0</v>
      </c>
      <c r="H13" s="484">
        <f>SUM(H16:H23)+H14</f>
        <v>1021.9</v>
      </c>
      <c r="I13" s="484">
        <f>SUM(I16:I23)+I14</f>
        <v>1147.4000000000001</v>
      </c>
      <c r="J13" s="484">
        <f>SUM(J16:J23)+J14</f>
        <v>540.59999999999991</v>
      </c>
      <c r="K13" s="484">
        <f>SUM(K16:K23)+K14</f>
        <v>340.3</v>
      </c>
      <c r="L13" s="490">
        <f t="shared" ref="L13:W13" si="4">SUM(L16:L23)+L14</f>
        <v>834.62490364156486</v>
      </c>
      <c r="M13" s="489">
        <f t="shared" si="4"/>
        <v>662.31431619080331</v>
      </c>
      <c r="N13" s="489">
        <f t="shared" si="4"/>
        <v>150.43066111234378</v>
      </c>
      <c r="O13" s="489">
        <f t="shared" si="4"/>
        <v>117.16723076923076</v>
      </c>
      <c r="P13" s="489">
        <f t="shared" si="4"/>
        <v>111.77562237762237</v>
      </c>
      <c r="Q13" s="489">
        <f t="shared" si="4"/>
        <v>111.77562237762237</v>
      </c>
      <c r="R13" s="489">
        <f t="shared" si="4"/>
        <v>12.726000000000001</v>
      </c>
      <c r="S13" s="489">
        <f t="shared" si="4"/>
        <v>12.726000000000001</v>
      </c>
      <c r="T13" s="489">
        <f t="shared" si="4"/>
        <v>12.726000000000001</v>
      </c>
      <c r="U13" s="489">
        <f t="shared" si="4"/>
        <v>12.726000000000001</v>
      </c>
      <c r="V13" s="489">
        <f t="shared" si="4"/>
        <v>0</v>
      </c>
      <c r="W13" s="559">
        <f t="shared" si="4"/>
        <v>0</v>
      </c>
    </row>
    <row r="14" spans="1:76" s="452" customFormat="1">
      <c r="A14" s="587"/>
      <c r="B14" s="138" t="s">
        <v>508</v>
      </c>
      <c r="C14" s="172" t="s">
        <v>261</v>
      </c>
      <c r="D14" s="487"/>
      <c r="E14" s="484"/>
      <c r="F14" s="483">
        <f>'Haver Pivoted'!GS49</f>
        <v>0</v>
      </c>
      <c r="G14" s="483">
        <f>'Haver Pivoted'!GT49</f>
        <v>0</v>
      </c>
      <c r="H14" s="483">
        <f>'Haver Pivoted'!GU49</f>
        <v>609.29999999999995</v>
      </c>
      <c r="I14" s="483">
        <f>'Haver Pivoted'!GV49</f>
        <v>865.6</v>
      </c>
      <c r="J14" s="483">
        <f>'Haver Pivoted'!GW49</f>
        <v>260.3</v>
      </c>
      <c r="K14" s="483">
        <f>'Haver Pivoted'!GX49</f>
        <v>184.6</v>
      </c>
      <c r="L14" s="270">
        <f>PPP!H54</f>
        <v>487.62538382804507</v>
      </c>
      <c r="M14" s="273">
        <f>PPP!I54</f>
        <v>321.93449334698056</v>
      </c>
      <c r="N14" s="273">
        <f>PPP!J54</f>
        <v>31.975435005117703</v>
      </c>
      <c r="O14" s="489"/>
      <c r="P14" s="489"/>
      <c r="Q14" s="489"/>
      <c r="R14" s="489"/>
      <c r="S14" s="489"/>
      <c r="T14" s="489"/>
      <c r="U14" s="489"/>
      <c r="V14" s="489"/>
      <c r="W14" s="559"/>
      <c r="X14" s="279"/>
      <c r="Y14" s="279"/>
      <c r="Z14" s="279"/>
      <c r="AA14" s="279"/>
      <c r="AB14" s="279"/>
      <c r="AC14" s="279"/>
      <c r="AD14" s="279"/>
      <c r="AE14" s="279"/>
      <c r="AF14" s="279"/>
      <c r="AG14" s="279"/>
      <c r="AH14" s="279"/>
      <c r="AI14" s="279"/>
      <c r="AJ14" s="279"/>
      <c r="AK14" s="279"/>
      <c r="AL14" s="279"/>
      <c r="AM14" s="279"/>
      <c r="AN14" s="279"/>
      <c r="AO14" s="279"/>
      <c r="AP14" s="279"/>
      <c r="AQ14" s="279"/>
      <c r="AR14" s="279"/>
      <c r="AS14" s="279"/>
      <c r="AT14" s="279"/>
      <c r="AU14" s="279"/>
      <c r="AV14" s="279"/>
      <c r="AW14" s="279"/>
      <c r="AX14" s="279"/>
      <c r="AY14" s="279"/>
      <c r="AZ14" s="279"/>
      <c r="BA14" s="279"/>
      <c r="BB14" s="279"/>
      <c r="BC14" s="279"/>
      <c r="BD14" s="279"/>
      <c r="BE14" s="279"/>
      <c r="BF14" s="279"/>
      <c r="BG14" s="279"/>
      <c r="BH14" s="279"/>
      <c r="BI14" s="279"/>
      <c r="BJ14" s="279"/>
      <c r="BK14" s="279"/>
      <c r="BL14" s="279"/>
      <c r="BM14" s="279"/>
      <c r="BN14" s="279"/>
      <c r="BO14" s="279"/>
      <c r="BP14" s="279"/>
      <c r="BQ14" s="279"/>
      <c r="BR14" s="279"/>
      <c r="BS14" s="279"/>
      <c r="BT14" s="279"/>
      <c r="BU14" s="279"/>
      <c r="BV14" s="279"/>
      <c r="BW14" s="279"/>
      <c r="BX14" s="279"/>
    </row>
    <row r="15" spans="1:76" s="427" customFormat="1">
      <c r="A15" s="587"/>
      <c r="B15" s="166" t="s">
        <v>685</v>
      </c>
      <c r="C15" s="572"/>
      <c r="D15" s="485"/>
      <c r="E15" s="486"/>
      <c r="F15" s="484">
        <f>SUM(F16:F23)</f>
        <v>0</v>
      </c>
      <c r="G15" s="484">
        <f t="shared" ref="G15:M15" si="5">SUM(G16:G23)</f>
        <v>0</v>
      </c>
      <c r="H15" s="484">
        <f t="shared" si="5"/>
        <v>412.6</v>
      </c>
      <c r="I15" s="484">
        <f t="shared" si="5"/>
        <v>281.79999999999995</v>
      </c>
      <c r="J15" s="484">
        <f t="shared" si="5"/>
        <v>280.29999999999995</v>
      </c>
      <c r="K15" s="484">
        <f t="shared" si="5"/>
        <v>155.70000000000002</v>
      </c>
      <c r="L15" s="561">
        <f t="shared" si="5"/>
        <v>346.99951981351978</v>
      </c>
      <c r="M15" s="558">
        <f t="shared" si="5"/>
        <v>340.37982284382281</v>
      </c>
      <c r="N15" s="558">
        <f t="shared" ref="N15" si="6">SUM(N16:N23)</f>
        <v>118.4552261072261</v>
      </c>
      <c r="O15" s="558">
        <f t="shared" ref="O15" si="7">SUM(O16:O23)</f>
        <v>117.16723076923076</v>
      </c>
      <c r="P15" s="558">
        <f t="shared" ref="P15" si="8">SUM(P16:P23)</f>
        <v>111.77562237762237</v>
      </c>
      <c r="Q15" s="558">
        <f t="shared" ref="Q15" si="9">SUM(Q16:Q23)</f>
        <v>111.77562237762237</v>
      </c>
      <c r="R15" s="558">
        <f t="shared" ref="R15" si="10">SUM(R16:R23)</f>
        <v>12.726000000000001</v>
      </c>
      <c r="S15" s="558">
        <f t="shared" ref="S15:T15" si="11">SUM(S16:S23)</f>
        <v>12.726000000000001</v>
      </c>
      <c r="T15" s="558">
        <f t="shared" si="11"/>
        <v>12.726000000000001</v>
      </c>
      <c r="U15" s="558">
        <f t="shared" ref="U15" si="12">SUM(U16:U23)</f>
        <v>12.726000000000001</v>
      </c>
      <c r="V15" s="558">
        <f t="shared" ref="V15" si="13">SUM(V16:V23)</f>
        <v>0</v>
      </c>
      <c r="W15" s="560">
        <f t="shared" ref="W15" si="14">SUM(W16:W23)</f>
        <v>0</v>
      </c>
      <c r="X15" s="279"/>
      <c r="Y15" s="279"/>
      <c r="Z15" s="279"/>
      <c r="AA15" s="279"/>
      <c r="AB15" s="279"/>
      <c r="AC15" s="279"/>
      <c r="AD15" s="279"/>
      <c r="AE15" s="279"/>
      <c r="AF15" s="279"/>
      <c r="AG15" s="279"/>
      <c r="AH15" s="279"/>
      <c r="AI15" s="279"/>
      <c r="AJ15" s="279"/>
      <c r="AK15" s="279"/>
      <c r="AL15" s="279"/>
      <c r="AM15" s="279"/>
      <c r="AN15" s="279"/>
      <c r="AO15" s="279"/>
      <c r="AP15" s="279"/>
      <c r="AQ15" s="279"/>
      <c r="AR15" s="279"/>
      <c r="AS15" s="279"/>
      <c r="AT15" s="279"/>
      <c r="AU15" s="279"/>
      <c r="AV15" s="279"/>
      <c r="AW15" s="279"/>
      <c r="AX15" s="279"/>
      <c r="AY15" s="279"/>
      <c r="AZ15" s="279"/>
      <c r="BA15" s="279"/>
      <c r="BB15" s="279"/>
      <c r="BC15" s="279"/>
      <c r="BD15" s="279"/>
      <c r="BE15" s="279"/>
      <c r="BF15" s="279"/>
      <c r="BG15" s="279"/>
      <c r="BH15" s="279"/>
      <c r="BI15" s="279"/>
      <c r="BJ15" s="279"/>
      <c r="BK15" s="279"/>
      <c r="BL15" s="279"/>
      <c r="BM15" s="279"/>
      <c r="BN15" s="279"/>
      <c r="BO15" s="279"/>
      <c r="BP15" s="279"/>
      <c r="BQ15" s="279"/>
      <c r="BR15" s="279"/>
      <c r="BS15" s="279"/>
      <c r="BT15" s="279"/>
      <c r="BU15" s="279"/>
      <c r="BV15" s="279"/>
      <c r="BW15" s="279"/>
      <c r="BX15" s="279"/>
    </row>
    <row r="16" spans="1:76">
      <c r="B16" s="271" t="s">
        <v>433</v>
      </c>
      <c r="C16" s="537" t="s">
        <v>265</v>
      </c>
      <c r="D16" s="487"/>
      <c r="E16" s="484"/>
      <c r="F16" s="483">
        <f>'Haver Pivoted'!GS53</f>
        <v>0</v>
      </c>
      <c r="G16" s="483">
        <f>'Haver Pivoted'!GT53</f>
        <v>0</v>
      </c>
      <c r="H16" s="483">
        <f>'Haver Pivoted'!GU53</f>
        <v>16.899999999999999</v>
      </c>
      <c r="I16" s="483">
        <f>'Haver Pivoted'!GV53</f>
        <v>18.399999999999999</v>
      </c>
      <c r="J16" s="483">
        <f>'Haver Pivoted'!GW53</f>
        <v>46.2</v>
      </c>
      <c r="K16" s="483">
        <f>'Haver Pivoted'!GX53</f>
        <v>0.9</v>
      </c>
      <c r="L16" s="270"/>
      <c r="M16" s="273"/>
      <c r="N16" s="273"/>
      <c r="O16" s="273"/>
      <c r="P16" s="273"/>
      <c r="Q16" s="273"/>
      <c r="R16" s="273"/>
      <c r="S16" s="273"/>
      <c r="T16" s="491"/>
      <c r="U16" s="491"/>
      <c r="V16" s="491"/>
      <c r="W16" s="492"/>
    </row>
    <row r="17" spans="1:76">
      <c r="B17" s="271" t="s">
        <v>434</v>
      </c>
      <c r="C17" s="537" t="s">
        <v>263</v>
      </c>
      <c r="D17" s="487"/>
      <c r="E17" s="484"/>
      <c r="F17" s="483">
        <f>'Haver Pivoted'!GS51</f>
        <v>0</v>
      </c>
      <c r="G17" s="483">
        <f>'Haver Pivoted'!GT51</f>
        <v>0</v>
      </c>
      <c r="H17" s="483">
        <f>'Haver Pivoted'!GU51</f>
        <v>73.3</v>
      </c>
      <c r="I17" s="483">
        <f>'Haver Pivoted'!GV51</f>
        <v>73.3</v>
      </c>
      <c r="J17" s="483">
        <f>'Haver Pivoted'!GW51</f>
        <v>73.3</v>
      </c>
      <c r="K17" s="483">
        <f>'Haver Pivoted'!GX51</f>
        <v>73.3</v>
      </c>
      <c r="L17" s="270">
        <f>$K$17</f>
        <v>73.3</v>
      </c>
      <c r="M17" s="273">
        <f>$K$17</f>
        <v>73.3</v>
      </c>
      <c r="N17" s="273">
        <v>0</v>
      </c>
      <c r="O17" s="273">
        <v>0</v>
      </c>
      <c r="P17" s="273">
        <v>0</v>
      </c>
      <c r="Q17" s="273">
        <v>0</v>
      </c>
      <c r="R17" s="273">
        <v>0</v>
      </c>
      <c r="S17" s="273">
        <v>0</v>
      </c>
      <c r="T17" s="273">
        <v>0</v>
      </c>
      <c r="U17" s="273">
        <v>0</v>
      </c>
      <c r="V17" s="491"/>
      <c r="W17" s="492"/>
    </row>
    <row r="18" spans="1:76">
      <c r="B18" s="271" t="s">
        <v>435</v>
      </c>
      <c r="C18" s="172" t="s">
        <v>262</v>
      </c>
      <c r="D18" s="487"/>
      <c r="E18" s="484"/>
      <c r="F18" s="483">
        <f>'Haver Pivoted'!GS50</f>
        <v>0</v>
      </c>
      <c r="G18" s="483">
        <f>'Haver Pivoted'!GT50</f>
        <v>0</v>
      </c>
      <c r="H18" s="483">
        <f>'Haver Pivoted'!GU50</f>
        <v>63.8</v>
      </c>
      <c r="I18" s="483">
        <f>'Haver Pivoted'!GV50</f>
        <v>15</v>
      </c>
      <c r="J18" s="483">
        <f>'Haver Pivoted'!GW50</f>
        <v>0.1</v>
      </c>
      <c r="K18" s="483">
        <f>'Haver Pivoted'!GX50</f>
        <v>38</v>
      </c>
      <c r="L18" s="270">
        <f>L26</f>
        <v>11</v>
      </c>
      <c r="M18" s="273">
        <f t="shared" ref="M18:U18" si="15">M26</f>
        <v>11</v>
      </c>
      <c r="N18" s="273">
        <f t="shared" si="15"/>
        <v>0</v>
      </c>
      <c r="O18" s="273">
        <f t="shared" si="15"/>
        <v>0</v>
      </c>
      <c r="P18" s="273">
        <f t="shared" si="15"/>
        <v>0</v>
      </c>
      <c r="Q18" s="273">
        <f t="shared" si="15"/>
        <v>0</v>
      </c>
      <c r="R18" s="273">
        <f t="shared" si="15"/>
        <v>0</v>
      </c>
      <c r="S18" s="273">
        <f t="shared" si="15"/>
        <v>0</v>
      </c>
      <c r="T18" s="273">
        <f t="shared" si="15"/>
        <v>0</v>
      </c>
      <c r="U18" s="273">
        <f t="shared" si="15"/>
        <v>0</v>
      </c>
      <c r="V18" s="344"/>
      <c r="W18" s="336"/>
    </row>
    <row r="19" spans="1:76">
      <c r="B19" s="271" t="s">
        <v>436</v>
      </c>
      <c r="D19" s="574"/>
      <c r="E19" s="488"/>
      <c r="F19" s="488"/>
      <c r="G19" s="488"/>
      <c r="H19" s="488"/>
      <c r="I19" s="488"/>
      <c r="J19" s="488"/>
      <c r="K19" s="488"/>
      <c r="L19" s="493"/>
      <c r="M19" s="569"/>
      <c r="N19" s="569"/>
      <c r="O19" s="273"/>
      <c r="P19" s="273"/>
      <c r="Q19" s="273"/>
      <c r="R19" s="273"/>
      <c r="S19" s="273"/>
      <c r="T19" s="344"/>
      <c r="U19" s="344"/>
      <c r="V19" s="344"/>
      <c r="W19" s="336"/>
    </row>
    <row r="20" spans="1:76">
      <c r="B20" s="271" t="s">
        <v>437</v>
      </c>
      <c r="C20" s="172" t="s">
        <v>266</v>
      </c>
      <c r="D20" s="487"/>
      <c r="E20" s="484"/>
      <c r="F20" s="483">
        <f>'Haver Pivoted'!GS54</f>
        <v>0</v>
      </c>
      <c r="G20" s="483">
        <f>'Haver Pivoted'!GT54</f>
        <v>0</v>
      </c>
      <c r="H20" s="483">
        <f>'Haver Pivoted'!GU54</f>
        <v>96.6</v>
      </c>
      <c r="I20" s="483">
        <f>'Haver Pivoted'!GV54</f>
        <v>35.1</v>
      </c>
      <c r="J20" s="483">
        <f>'Haver Pivoted'!GW54</f>
        <v>20.7</v>
      </c>
      <c r="K20" s="483">
        <f>'Haver Pivoted'!GX54</f>
        <v>25.7</v>
      </c>
      <c r="L20" s="270">
        <f>'Provider Relief'!H13</f>
        <v>17.013519813519814</v>
      </c>
      <c r="M20" s="273">
        <f>'Provider Relief'!I13</f>
        <v>10.393822843822845</v>
      </c>
      <c r="N20" s="273">
        <f>'Provider Relief'!J13</f>
        <v>8.2072261072261075</v>
      </c>
      <c r="O20" s="987">
        <f>'Provider Relief'!K13</f>
        <v>6.9192307692307704</v>
      </c>
      <c r="P20" s="987">
        <f>'Provider Relief'!L13</f>
        <v>1.5276223776223776</v>
      </c>
      <c r="Q20" s="987">
        <f>'Provider Relief'!M13</f>
        <v>1.5276223776223776</v>
      </c>
      <c r="R20" s="987">
        <f>'Provider Relief'!N13</f>
        <v>0</v>
      </c>
      <c r="S20" s="987">
        <f>'Provider Relief'!O13</f>
        <v>0</v>
      </c>
      <c r="T20" s="987">
        <f>'Provider Relief'!P13</f>
        <v>0</v>
      </c>
      <c r="U20" s="987">
        <f>'Provider Relief'!Q13</f>
        <v>0</v>
      </c>
      <c r="V20" s="987">
        <f>'Provider Relief'!R13</f>
        <v>0</v>
      </c>
      <c r="W20" s="987">
        <f>'Provider Relief'!S13</f>
        <v>0</v>
      </c>
    </row>
    <row r="21" spans="1:76">
      <c r="B21" s="271" t="s">
        <v>438</v>
      </c>
      <c r="C21" s="172" t="s">
        <v>264</v>
      </c>
      <c r="D21" s="487"/>
      <c r="E21" s="484"/>
      <c r="F21" s="483">
        <f>'Haver Pivoted'!GS52</f>
        <v>0</v>
      </c>
      <c r="G21" s="483">
        <f>'Haver Pivoted'!GT52</f>
        <v>0</v>
      </c>
      <c r="H21" s="483">
        <f>'Haver Pivoted'!GU52</f>
        <v>22</v>
      </c>
      <c r="I21" s="483">
        <f>'Haver Pivoted'!GV52</f>
        <v>0</v>
      </c>
      <c r="J21" s="483">
        <f>'Haver Pivoted'!GW52</f>
        <v>0</v>
      </c>
      <c r="K21" s="483">
        <f>'Haver Pivoted'!GX52</f>
        <v>9.8000000000000007</v>
      </c>
      <c r="L21" s="270"/>
      <c r="M21" s="273"/>
      <c r="N21" s="273"/>
      <c r="O21" s="273"/>
      <c r="P21" s="273"/>
      <c r="Q21" s="273"/>
      <c r="R21" s="273"/>
      <c r="S21" s="273"/>
      <c r="T21" s="344"/>
      <c r="U21" s="344"/>
      <c r="V21" s="344"/>
      <c r="W21" s="336"/>
    </row>
    <row r="22" spans="1:76">
      <c r="B22" s="271" t="s">
        <v>439</v>
      </c>
      <c r="C22" s="172" t="s">
        <v>267</v>
      </c>
      <c r="D22" s="487"/>
      <c r="E22" s="484"/>
      <c r="F22" s="483">
        <f>'Haver Pivoted'!GS55</f>
        <v>0</v>
      </c>
      <c r="G22" s="483">
        <f>'Haver Pivoted'!GT55</f>
        <v>0</v>
      </c>
      <c r="H22" s="483">
        <f>'Haver Pivoted'!GU55</f>
        <v>140</v>
      </c>
      <c r="I22" s="483">
        <f>'Haver Pivoted'!GV55</f>
        <v>140</v>
      </c>
      <c r="J22" s="483">
        <f>'Haver Pivoted'!GW55</f>
        <v>140</v>
      </c>
      <c r="K22" s="483">
        <f>'Haver Pivoted'!GX55</f>
        <v>8</v>
      </c>
      <c r="L22" s="270"/>
      <c r="M22" s="273"/>
      <c r="N22" s="273"/>
      <c r="O22" s="273"/>
      <c r="P22" s="273"/>
      <c r="Q22" s="273"/>
      <c r="R22" s="273"/>
      <c r="S22" s="273"/>
      <c r="T22" s="344"/>
      <c r="U22" s="344"/>
      <c r="V22" s="344"/>
      <c r="W22" s="336"/>
    </row>
    <row r="23" spans="1:76" s="427" customFormat="1">
      <c r="A23" s="587"/>
      <c r="B23" s="271" t="s">
        <v>526</v>
      </c>
      <c r="C23" s="172"/>
      <c r="D23" s="673"/>
      <c r="E23" s="128"/>
      <c r="F23" s="152"/>
      <c r="G23" s="152"/>
      <c r="H23" s="152"/>
      <c r="I23" s="152"/>
      <c r="J23" s="152"/>
      <c r="K23" s="152"/>
      <c r="L23" s="270">
        <f t="shared" ref="L23:U23" si="16">L29+L30+L31+L33</f>
        <v>245.68599999999998</v>
      </c>
      <c r="M23" s="273">
        <f t="shared" si="16"/>
        <v>245.68599999999998</v>
      </c>
      <c r="N23" s="273">
        <f t="shared" si="16"/>
        <v>110.24799999999999</v>
      </c>
      <c r="O23" s="273">
        <f t="shared" si="16"/>
        <v>110.24799999999999</v>
      </c>
      <c r="P23" s="273">
        <f t="shared" si="16"/>
        <v>110.24799999999999</v>
      </c>
      <c r="Q23" s="273">
        <f t="shared" si="16"/>
        <v>110.24799999999999</v>
      </c>
      <c r="R23" s="273">
        <f t="shared" si="16"/>
        <v>12.726000000000001</v>
      </c>
      <c r="S23" s="273">
        <f t="shared" si="16"/>
        <v>12.726000000000001</v>
      </c>
      <c r="T23" s="273">
        <f t="shared" si="16"/>
        <v>12.726000000000001</v>
      </c>
      <c r="U23" s="273">
        <f t="shared" si="16"/>
        <v>12.726000000000001</v>
      </c>
      <c r="V23" s="273"/>
      <c r="W23" s="129"/>
      <c r="X23" s="279"/>
      <c r="Y23" s="279"/>
      <c r="Z23" s="279"/>
      <c r="AA23" s="279"/>
      <c r="AB23" s="279"/>
      <c r="AC23" s="279"/>
      <c r="AD23" s="279"/>
      <c r="AE23" s="279"/>
      <c r="AF23" s="279"/>
      <c r="AG23" s="279"/>
      <c r="AH23" s="279"/>
      <c r="AI23" s="279"/>
      <c r="AJ23" s="279"/>
      <c r="AK23" s="279"/>
      <c r="AL23" s="279"/>
      <c r="AM23" s="279"/>
      <c r="AN23" s="279"/>
      <c r="AO23" s="279"/>
      <c r="AP23" s="279"/>
      <c r="AQ23" s="279"/>
      <c r="AR23" s="279"/>
      <c r="AS23" s="279"/>
      <c r="AT23" s="279"/>
      <c r="AU23" s="279"/>
      <c r="AV23" s="279"/>
      <c r="AW23" s="279"/>
      <c r="AX23" s="279"/>
      <c r="AY23" s="279"/>
      <c r="AZ23" s="279"/>
      <c r="BA23" s="279"/>
      <c r="BB23" s="279"/>
      <c r="BC23" s="279"/>
      <c r="BD23" s="279"/>
      <c r="BE23" s="279"/>
      <c r="BF23" s="279"/>
      <c r="BG23" s="279"/>
      <c r="BH23" s="279"/>
      <c r="BI23" s="279"/>
      <c r="BJ23" s="279"/>
      <c r="BK23" s="279"/>
      <c r="BL23" s="279"/>
      <c r="BM23" s="279"/>
      <c r="BN23" s="279"/>
      <c r="BO23" s="279"/>
      <c r="BP23" s="279"/>
      <c r="BQ23" s="279"/>
      <c r="BR23" s="279"/>
      <c r="BS23" s="279"/>
      <c r="BT23" s="279"/>
      <c r="BU23" s="279"/>
      <c r="BV23" s="279"/>
      <c r="BW23" s="279"/>
      <c r="BX23" s="279"/>
    </row>
    <row r="24" spans="1:76" ht="15" customHeight="1">
      <c r="B24" s="1319" t="s">
        <v>525</v>
      </c>
      <c r="C24" s="1320"/>
      <c r="D24" s="494"/>
      <c r="E24" s="494"/>
      <c r="F24" s="495"/>
      <c r="G24" s="495"/>
      <c r="H24" s="495"/>
      <c r="I24" s="495"/>
      <c r="J24" s="495"/>
      <c r="K24" s="495"/>
      <c r="L24" s="671"/>
      <c r="M24" s="872"/>
      <c r="N24" s="872"/>
      <c r="O24" s="872"/>
      <c r="P24" s="872"/>
      <c r="Q24" s="872"/>
      <c r="R24" s="872"/>
      <c r="S24" s="872"/>
      <c r="T24" s="873"/>
      <c r="U24" s="873"/>
      <c r="V24" s="873"/>
      <c r="W24" s="874"/>
    </row>
    <row r="25" spans="1:76">
      <c r="B25" s="166" t="s">
        <v>581</v>
      </c>
      <c r="C25" s="675"/>
      <c r="D25" s="152"/>
      <c r="E25" s="152"/>
      <c r="F25" s="131"/>
      <c r="G25" s="131"/>
      <c r="H25" s="131"/>
      <c r="I25" s="131"/>
      <c r="J25" s="131"/>
      <c r="K25" s="131"/>
      <c r="L25" s="270">
        <f>SUM(L26:L31)</f>
        <v>166.3</v>
      </c>
      <c r="M25" s="273">
        <f>SUM(M26:M31)</f>
        <v>166.3</v>
      </c>
      <c r="N25" s="273"/>
      <c r="O25" s="273"/>
      <c r="P25" s="273"/>
      <c r="Q25" s="273"/>
      <c r="R25" s="273"/>
      <c r="S25" s="273"/>
      <c r="T25" s="344"/>
      <c r="U25" s="344"/>
      <c r="V25" s="344"/>
      <c r="W25" s="336"/>
    </row>
    <row r="26" spans="1:76">
      <c r="B26" s="138" t="s">
        <v>527</v>
      </c>
      <c r="C26" s="675"/>
      <c r="D26" s="152"/>
      <c r="E26" s="152"/>
      <c r="F26" s="131"/>
      <c r="G26" s="131"/>
      <c r="H26" s="131"/>
      <c r="I26" s="131"/>
      <c r="J26" s="274"/>
      <c r="K26" s="131"/>
      <c r="L26" s="270">
        <f>(4*'Response and Relief Act Score'!$F$15-$K$18)/2</f>
        <v>11</v>
      </c>
      <c r="M26" s="273">
        <f>(4*'Response and Relief Act Score'!$F$15-$K$18)/2</f>
        <v>11</v>
      </c>
      <c r="N26" s="273"/>
      <c r="O26" s="273"/>
      <c r="P26" s="273"/>
      <c r="Q26" s="273"/>
      <c r="R26" s="273"/>
      <c r="S26" s="273"/>
      <c r="T26" s="344"/>
      <c r="U26" s="344"/>
      <c r="V26" s="344"/>
      <c r="W26" s="336"/>
    </row>
    <row r="27" spans="1:76">
      <c r="B27" s="138" t="s">
        <v>434</v>
      </c>
      <c r="C27" s="675"/>
      <c r="D27" s="152"/>
      <c r="E27" s="152"/>
      <c r="F27" s="131"/>
      <c r="G27" s="131"/>
      <c r="H27" s="131"/>
      <c r="I27" s="131"/>
      <c r="J27" s="274"/>
      <c r="K27" s="131"/>
      <c r="L27" s="270">
        <v>73.3</v>
      </c>
      <c r="M27" s="273">
        <v>73.3</v>
      </c>
      <c r="N27" s="273"/>
      <c r="O27" s="273"/>
      <c r="P27" s="273"/>
      <c r="Q27" s="273"/>
      <c r="R27" s="273"/>
      <c r="S27" s="273"/>
      <c r="T27" s="344"/>
      <c r="U27" s="344"/>
      <c r="V27" s="344"/>
      <c r="W27" s="336"/>
    </row>
    <row r="28" spans="1:76" s="427" customFormat="1">
      <c r="A28" s="587"/>
      <c r="B28" s="138" t="s">
        <v>526</v>
      </c>
      <c r="C28" s="675"/>
      <c r="D28" s="152"/>
      <c r="E28" s="152"/>
      <c r="F28" s="131"/>
      <c r="G28" s="131"/>
      <c r="H28" s="131"/>
      <c r="I28" s="131"/>
      <c r="J28" s="274"/>
      <c r="K28" s="131"/>
      <c r="L28" s="270"/>
      <c r="M28" s="273"/>
      <c r="N28" s="273"/>
      <c r="O28" s="273"/>
      <c r="P28" s="273"/>
      <c r="Q28" s="273"/>
      <c r="R28" s="273"/>
      <c r="S28" s="273"/>
      <c r="T28" s="344"/>
      <c r="U28" s="344"/>
      <c r="V28" s="344"/>
      <c r="W28" s="336"/>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279"/>
      <c r="AZ28" s="279"/>
      <c r="BA28" s="279"/>
      <c r="BB28" s="279"/>
      <c r="BC28" s="279"/>
      <c r="BD28" s="279"/>
      <c r="BE28" s="279"/>
      <c r="BF28" s="279"/>
      <c r="BG28" s="279"/>
      <c r="BH28" s="279"/>
      <c r="BI28" s="279"/>
      <c r="BJ28" s="279"/>
      <c r="BK28" s="279"/>
      <c r="BL28" s="279"/>
      <c r="BM28" s="279"/>
      <c r="BN28" s="279"/>
      <c r="BO28" s="279"/>
      <c r="BP28" s="279"/>
      <c r="BQ28" s="279"/>
      <c r="BR28" s="279"/>
      <c r="BS28" s="279"/>
      <c r="BT28" s="279"/>
      <c r="BU28" s="279"/>
      <c r="BV28" s="279"/>
      <c r="BW28" s="279"/>
      <c r="BX28" s="279"/>
    </row>
    <row r="29" spans="1:76">
      <c r="B29" s="409" t="s">
        <v>326</v>
      </c>
      <c r="C29" s="675"/>
      <c r="D29" s="152"/>
      <c r="E29" s="152"/>
      <c r="F29" s="131"/>
      <c r="G29" s="131"/>
      <c r="H29" s="131"/>
      <c r="I29" s="131"/>
      <c r="J29" s="131"/>
      <c r="K29" s="131"/>
      <c r="L29" s="270">
        <f>'Response and Relief Act Score'!F12*4/2</f>
        <v>40</v>
      </c>
      <c r="M29" s="273">
        <f>'Response and Relief Act Score'!F12*4/2</f>
        <v>40</v>
      </c>
      <c r="N29" s="273"/>
      <c r="O29" s="132"/>
      <c r="P29" s="132"/>
      <c r="Q29" s="132"/>
      <c r="R29" s="132"/>
      <c r="S29" s="132"/>
      <c r="T29" s="344"/>
      <c r="U29" s="344"/>
      <c r="V29" s="344"/>
      <c r="W29" s="336"/>
    </row>
    <row r="30" spans="1:76">
      <c r="B30" s="420" t="s">
        <v>327</v>
      </c>
      <c r="C30" s="675"/>
      <c r="D30" s="152"/>
      <c r="E30" s="152"/>
      <c r="F30" s="131"/>
      <c r="G30" s="131"/>
      <c r="H30" s="131"/>
      <c r="I30" s="131"/>
      <c r="J30" s="131"/>
      <c r="K30" s="131"/>
      <c r="L30" s="270">
        <f>'Response and Relief Act Score'!F13*4/2</f>
        <v>30</v>
      </c>
      <c r="M30" s="273">
        <f>'Response and Relief Act Score'!F13*4/2</f>
        <v>30</v>
      </c>
      <c r="N30" s="273"/>
      <c r="O30" s="132"/>
      <c r="P30" s="132"/>
      <c r="Q30" s="132"/>
      <c r="R30" s="132"/>
      <c r="S30" s="132"/>
      <c r="T30" s="344"/>
      <c r="U30" s="344"/>
      <c r="V30" s="344"/>
      <c r="W30" s="336"/>
    </row>
    <row r="31" spans="1:76" ht="30">
      <c r="B31" s="672" t="s">
        <v>328</v>
      </c>
      <c r="C31" s="676"/>
      <c r="D31" s="152"/>
      <c r="E31" s="152"/>
      <c r="F31" s="131"/>
      <c r="G31" s="131"/>
      <c r="H31" s="131"/>
      <c r="I31" s="131"/>
      <c r="J31" s="274"/>
      <c r="K31" s="131"/>
      <c r="L31" s="519">
        <f>'Response and Relief Act Score'!F14*4/2</f>
        <v>12</v>
      </c>
      <c r="M31" s="520">
        <f>'Response and Relief Act Score'!F14*4/2</f>
        <v>12</v>
      </c>
      <c r="N31" s="520"/>
      <c r="O31" s="520"/>
      <c r="P31" s="520"/>
      <c r="Q31" s="520"/>
      <c r="R31" s="520"/>
      <c r="S31" s="520"/>
      <c r="T31" s="569"/>
      <c r="U31" s="569"/>
      <c r="V31" s="569"/>
      <c r="W31" s="570"/>
    </row>
    <row r="32" spans="1:76" s="587" customFormat="1">
      <c r="B32" s="1312" t="s">
        <v>684</v>
      </c>
      <c r="C32" s="1313"/>
      <c r="D32" s="667"/>
      <c r="E32" s="667"/>
      <c r="F32" s="668"/>
      <c r="G32" s="668"/>
      <c r="H32" s="668"/>
      <c r="I32" s="668"/>
      <c r="J32" s="674"/>
      <c r="K32" s="668"/>
      <c r="L32" s="669"/>
      <c r="M32" s="562"/>
      <c r="N32" s="562"/>
      <c r="O32" s="562"/>
      <c r="P32" s="562"/>
      <c r="Q32" s="562"/>
      <c r="R32" s="562"/>
      <c r="S32" s="562"/>
      <c r="T32" s="571"/>
      <c r="U32" s="571"/>
      <c r="V32" s="571"/>
      <c r="W32" s="875"/>
      <c r="X32" s="279"/>
      <c r="Y32" s="279"/>
      <c r="Z32" s="279"/>
      <c r="AA32" s="279"/>
      <c r="AB32" s="279"/>
      <c r="AC32" s="279"/>
      <c r="AD32" s="279"/>
      <c r="AE32" s="279"/>
      <c r="AF32" s="279"/>
      <c r="AG32" s="279"/>
      <c r="AH32" s="279"/>
      <c r="AI32" s="279"/>
      <c r="AJ32" s="279"/>
      <c r="AK32" s="279"/>
      <c r="AL32" s="279"/>
      <c r="AM32" s="279"/>
      <c r="AN32" s="279"/>
      <c r="AO32" s="279"/>
      <c r="AP32" s="279"/>
      <c r="AQ32" s="279"/>
      <c r="AR32" s="279"/>
      <c r="AS32" s="279"/>
      <c r="AT32" s="279"/>
      <c r="AU32" s="279"/>
      <c r="AV32" s="279"/>
      <c r="AW32" s="279"/>
      <c r="AX32" s="279"/>
      <c r="AY32" s="279"/>
      <c r="AZ32" s="279"/>
      <c r="BA32" s="279"/>
      <c r="BB32" s="279"/>
      <c r="BC32" s="279"/>
      <c r="BD32" s="279"/>
      <c r="BE32" s="279"/>
      <c r="BF32" s="279"/>
      <c r="BG32" s="279"/>
      <c r="BH32" s="279"/>
      <c r="BI32" s="279"/>
      <c r="BJ32" s="279"/>
      <c r="BK32" s="279"/>
      <c r="BL32" s="279"/>
      <c r="BM32" s="279"/>
      <c r="BN32" s="279"/>
      <c r="BO32" s="279"/>
      <c r="BP32" s="279"/>
      <c r="BQ32" s="279"/>
      <c r="BR32" s="279"/>
      <c r="BS32" s="279"/>
      <c r="BT32" s="279"/>
      <c r="BU32" s="279"/>
      <c r="BV32" s="279"/>
      <c r="BW32" s="279"/>
      <c r="BX32" s="279"/>
    </row>
    <row r="33" spans="1:76" s="677" customFormat="1" ht="21" customHeight="1">
      <c r="B33" s="681" t="s">
        <v>611</v>
      </c>
      <c r="C33" s="682"/>
      <c r="D33" s="339"/>
      <c r="E33" s="339"/>
      <c r="F33" s="683"/>
      <c r="G33" s="683"/>
      <c r="H33" s="683"/>
      <c r="I33" s="683"/>
      <c r="J33" s="684"/>
      <c r="K33" s="684"/>
      <c r="L33" s="876">
        <f>'ARP Quarterly'!D6</f>
        <v>163.68599999999998</v>
      </c>
      <c r="M33" s="685">
        <f>'ARP Quarterly'!E6</f>
        <v>163.68599999999998</v>
      </c>
      <c r="N33" s="685">
        <f>'ARP Quarterly'!F6</f>
        <v>110.24799999999999</v>
      </c>
      <c r="O33" s="685">
        <f>'ARP Quarterly'!G6</f>
        <v>110.24799999999999</v>
      </c>
      <c r="P33" s="685">
        <f>'ARP Quarterly'!H6</f>
        <v>110.24799999999999</v>
      </c>
      <c r="Q33" s="685">
        <f>'ARP Quarterly'!I6</f>
        <v>110.24799999999999</v>
      </c>
      <c r="R33" s="685">
        <f>'ARP Quarterly'!J6</f>
        <v>12.726000000000001</v>
      </c>
      <c r="S33" s="685">
        <f>'ARP Quarterly'!K6</f>
        <v>12.726000000000001</v>
      </c>
      <c r="T33" s="685">
        <f>'ARP Quarterly'!L6</f>
        <v>12.726000000000001</v>
      </c>
      <c r="U33" s="685">
        <f>'ARP Quarterly'!M6</f>
        <v>12.726000000000001</v>
      </c>
      <c r="V33" s="685">
        <f>'ARP Quarterly'!N6</f>
        <v>1.365</v>
      </c>
      <c r="W33" s="686">
        <f>'ARP Quarterly'!O6</f>
        <v>1.365</v>
      </c>
      <c r="X33" s="678"/>
      <c r="Y33" s="678"/>
      <c r="Z33" s="678"/>
      <c r="AA33" s="678"/>
      <c r="AB33" s="678"/>
      <c r="AC33" s="678"/>
      <c r="AD33" s="678"/>
      <c r="AE33" s="678"/>
      <c r="AF33" s="678"/>
      <c r="AG33" s="678"/>
      <c r="AH33" s="678"/>
      <c r="AI33" s="678"/>
      <c r="AJ33" s="678"/>
      <c r="AK33" s="678"/>
      <c r="AL33" s="678"/>
      <c r="AM33" s="678"/>
      <c r="AN33" s="678"/>
      <c r="AO33" s="678"/>
      <c r="AP33" s="678"/>
      <c r="AQ33" s="678"/>
      <c r="AR33" s="678"/>
      <c r="AS33" s="678"/>
      <c r="AT33" s="678"/>
      <c r="AU33" s="678"/>
      <c r="AV33" s="678"/>
      <c r="AW33" s="678"/>
      <c r="AX33" s="678"/>
      <c r="AY33" s="678"/>
      <c r="AZ33" s="678"/>
      <c r="BA33" s="678"/>
      <c r="BB33" s="678"/>
      <c r="BC33" s="678"/>
      <c r="BD33" s="678"/>
      <c r="BE33" s="678"/>
      <c r="BF33" s="678"/>
      <c r="BG33" s="678"/>
      <c r="BH33" s="678"/>
      <c r="BI33" s="678"/>
      <c r="BJ33" s="678"/>
      <c r="BK33" s="678"/>
      <c r="BL33" s="678"/>
      <c r="BM33" s="678"/>
      <c r="BN33" s="678"/>
      <c r="BO33" s="678"/>
      <c r="BP33" s="678"/>
      <c r="BQ33" s="678"/>
      <c r="BR33" s="678"/>
      <c r="BS33" s="678"/>
      <c r="BT33" s="678"/>
      <c r="BU33" s="678"/>
      <c r="BV33" s="678"/>
      <c r="BW33" s="678"/>
      <c r="BX33" s="678"/>
    </row>
    <row r="34" spans="1:76" s="690" customFormat="1" ht="19.5" customHeight="1">
      <c r="A34" s="678"/>
      <c r="B34" s="265" t="s">
        <v>612</v>
      </c>
      <c r="C34" s="267"/>
      <c r="D34" s="687">
        <f t="shared" ref="D34:W34" si="17">D11-D33</f>
        <v>60.5</v>
      </c>
      <c r="E34" s="687">
        <f t="shared" si="17"/>
        <v>81.400000000000006</v>
      </c>
      <c r="F34" s="687">
        <f t="shared" si="17"/>
        <v>80.5</v>
      </c>
      <c r="G34" s="687">
        <f t="shared" si="17"/>
        <v>74.5</v>
      </c>
      <c r="H34" s="687">
        <f t="shared" si="17"/>
        <v>1085.9000000000001</v>
      </c>
      <c r="I34" s="687">
        <f t="shared" si="17"/>
        <v>1212.9000000000001</v>
      </c>
      <c r="J34" s="687">
        <f t="shared" si="17"/>
        <v>609.79999999999995</v>
      </c>
      <c r="K34" s="687">
        <f t="shared" si="17"/>
        <v>402.7</v>
      </c>
      <c r="L34" s="877">
        <f t="shared" si="17"/>
        <v>745.16390364156496</v>
      </c>
      <c r="M34" s="688">
        <f t="shared" si="17"/>
        <v>572.8533161908033</v>
      </c>
      <c r="N34" s="688">
        <f t="shared" si="17"/>
        <v>114.40766111234379</v>
      </c>
      <c r="O34" s="688">
        <f t="shared" si="17"/>
        <v>81.144230769230774</v>
      </c>
      <c r="P34" s="688">
        <f t="shared" si="17"/>
        <v>75.752622377622373</v>
      </c>
      <c r="Q34" s="688">
        <f t="shared" si="17"/>
        <v>75.752622377622373</v>
      </c>
      <c r="R34" s="688">
        <f t="shared" si="17"/>
        <v>74.224999999999994</v>
      </c>
      <c r="S34" s="688">
        <f t="shared" si="17"/>
        <v>74.224999999999994</v>
      </c>
      <c r="T34" s="688">
        <f t="shared" si="17"/>
        <v>74.224999999999994</v>
      </c>
      <c r="U34" s="688">
        <f t="shared" si="17"/>
        <v>74.224999999999994</v>
      </c>
      <c r="V34" s="688">
        <f t="shared" si="17"/>
        <v>72.86</v>
      </c>
      <c r="W34" s="689">
        <f t="shared" si="17"/>
        <v>72.86</v>
      </c>
      <c r="X34" s="678"/>
      <c r="Y34" s="678"/>
      <c r="Z34" s="678"/>
      <c r="AA34" s="678"/>
      <c r="AB34" s="678"/>
      <c r="AC34" s="678"/>
      <c r="AD34" s="678"/>
      <c r="AE34" s="678"/>
      <c r="AF34" s="678"/>
      <c r="AG34" s="678"/>
      <c r="AH34" s="678"/>
      <c r="AI34" s="678"/>
      <c r="AJ34" s="678"/>
      <c r="AK34" s="678"/>
      <c r="AL34" s="678"/>
      <c r="AM34" s="678"/>
      <c r="AN34" s="678"/>
      <c r="AO34" s="678"/>
      <c r="AP34" s="678"/>
      <c r="AQ34" s="678"/>
      <c r="AR34" s="678"/>
      <c r="AS34" s="678"/>
      <c r="AT34" s="678"/>
      <c r="AU34" s="678"/>
      <c r="AV34" s="678"/>
      <c r="AW34" s="678"/>
      <c r="AX34" s="678"/>
      <c r="AY34" s="678"/>
      <c r="AZ34" s="678"/>
      <c r="BA34" s="678"/>
      <c r="BB34" s="678"/>
      <c r="BC34" s="678"/>
      <c r="BD34" s="678"/>
      <c r="BE34" s="678"/>
      <c r="BF34" s="678"/>
      <c r="BG34" s="678"/>
      <c r="BH34" s="678"/>
      <c r="BI34" s="678"/>
      <c r="BJ34" s="678"/>
      <c r="BK34" s="678"/>
      <c r="BL34" s="678"/>
      <c r="BM34" s="678"/>
      <c r="BN34" s="678"/>
      <c r="BO34" s="678"/>
      <c r="BP34" s="678"/>
      <c r="BQ34" s="678"/>
      <c r="BR34" s="678"/>
      <c r="BS34" s="678"/>
      <c r="BT34" s="678"/>
      <c r="BU34" s="678"/>
      <c r="BV34" s="678"/>
      <c r="BW34" s="678"/>
      <c r="BX34" s="678"/>
    </row>
    <row r="35" spans="1:76">
      <c r="A35" s="279"/>
      <c r="B35" s="67"/>
      <c r="C35" s="428"/>
      <c r="D35" s="428"/>
      <c r="E35" s="428"/>
      <c r="F35" s="428"/>
      <c r="G35" s="428"/>
      <c r="H35" s="428"/>
      <c r="I35" s="428"/>
      <c r="J35" s="428"/>
      <c r="K35" s="428"/>
      <c r="L35" s="428"/>
      <c r="M35" s="428"/>
      <c r="N35" s="428"/>
      <c r="O35" s="428"/>
      <c r="P35" s="428"/>
      <c r="Q35" s="428"/>
      <c r="R35" s="428"/>
      <c r="S35" s="428"/>
      <c r="T35" s="428"/>
      <c r="U35" s="428"/>
      <c r="V35" s="428"/>
      <c r="W35" s="428"/>
    </row>
  </sheetData>
  <mergeCells count="13">
    <mergeCell ref="B32:C32"/>
    <mergeCell ref="B2:W6"/>
    <mergeCell ref="B1:W1"/>
    <mergeCell ref="S9:V9"/>
    <mergeCell ref="D8:K8"/>
    <mergeCell ref="B24:C24"/>
    <mergeCell ref="B8:C10"/>
    <mergeCell ref="D9:F9"/>
    <mergeCell ref="G9:J9"/>
    <mergeCell ref="L9:N9"/>
    <mergeCell ref="O9:R9"/>
    <mergeCell ref="L8:W8"/>
    <mergeCell ref="B11:C1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B32"/>
  <sheetViews>
    <sheetView topLeftCell="E5" zoomScale="181" zoomScaleNormal="52" workbookViewId="0">
      <selection activeCell="N20" sqref="N20"/>
    </sheetView>
  </sheetViews>
  <sheetFormatPr baseColWidth="10" defaultColWidth="8.6640625" defaultRowHeight="14"/>
  <cols>
    <col min="1" max="1" width="8.6640625" style="37"/>
    <col min="2" max="2" width="52.6640625" style="37" customWidth="1"/>
    <col min="3" max="3" width="11.5" style="37" customWidth="1"/>
    <col min="4" max="7" width="11.5" style="428" customWidth="1"/>
    <col min="8" max="8" width="12.1640625" style="37" bestFit="1" customWidth="1"/>
    <col min="9" max="9" width="8.6640625" style="37" bestFit="1" customWidth="1"/>
    <col min="10" max="10" width="10.33203125" style="37" bestFit="1" customWidth="1"/>
    <col min="11" max="11" width="8.6640625" style="37" bestFit="1" customWidth="1"/>
    <col min="12" max="12" width="11.33203125" style="37" bestFit="1" customWidth="1"/>
    <col min="13" max="20" width="9.6640625" style="37" customWidth="1"/>
    <col min="21" max="21" width="10.83203125" style="37" customWidth="1"/>
    <col min="22" max="25" width="10.83203125" style="333" customWidth="1"/>
    <col min="26" max="26" width="93.1640625" style="37" customWidth="1"/>
    <col min="27" max="32" width="9.6640625" style="37" customWidth="1"/>
    <col min="33" max="36" width="8.6640625" style="37" bestFit="1" customWidth="1"/>
    <col min="37" max="16384" width="8.6640625" style="37"/>
  </cols>
  <sheetData>
    <row r="1" spans="2:26" s="428" customFormat="1">
      <c r="B1" s="1262" t="s">
        <v>640</v>
      </c>
      <c r="C1" s="1262"/>
      <c r="D1" s="1262"/>
      <c r="E1" s="1262"/>
      <c r="F1" s="1262"/>
      <c r="G1" s="1262"/>
      <c r="H1" s="1262"/>
      <c r="I1" s="1262"/>
      <c r="J1" s="1262"/>
      <c r="K1" s="1262"/>
      <c r="L1" s="1262"/>
      <c r="M1" s="1262"/>
      <c r="N1" s="1262"/>
      <c r="O1" s="1262"/>
      <c r="P1" s="1262"/>
      <c r="Q1" s="1262"/>
      <c r="R1" s="1262"/>
      <c r="S1" s="1262"/>
      <c r="T1" s="1262"/>
      <c r="U1" s="1262"/>
      <c r="V1" s="1262"/>
      <c r="W1" s="1262"/>
      <c r="X1" s="1262"/>
      <c r="Y1" s="1262"/>
    </row>
    <row r="2" spans="2:26" ht="14" customHeight="1">
      <c r="B2" s="1244" t="s">
        <v>679</v>
      </c>
      <c r="C2" s="1244"/>
      <c r="D2" s="1244"/>
      <c r="E2" s="1244"/>
      <c r="F2" s="1244"/>
      <c r="G2" s="1244"/>
      <c r="H2" s="1244"/>
      <c r="I2" s="1244"/>
      <c r="J2" s="1244"/>
      <c r="K2" s="1244"/>
      <c r="L2" s="1244"/>
      <c r="M2" s="1244"/>
      <c r="N2" s="1244"/>
      <c r="O2" s="1244"/>
      <c r="P2" s="1244"/>
      <c r="Q2" s="1244"/>
      <c r="R2" s="1244"/>
      <c r="S2" s="1244"/>
      <c r="T2" s="1244"/>
      <c r="U2" s="1244"/>
      <c r="V2" s="1244"/>
      <c r="W2" s="1244"/>
      <c r="X2" s="1244"/>
      <c r="Y2" s="1244"/>
    </row>
    <row r="3" spans="2:26">
      <c r="B3" s="1244"/>
      <c r="C3" s="1244"/>
      <c r="D3" s="1244"/>
      <c r="E3" s="1244"/>
      <c r="F3" s="1244"/>
      <c r="G3" s="1244"/>
      <c r="H3" s="1244"/>
      <c r="I3" s="1244"/>
      <c r="J3" s="1244"/>
      <c r="K3" s="1244"/>
      <c r="L3" s="1244"/>
      <c r="M3" s="1244"/>
      <c r="N3" s="1244"/>
      <c r="O3" s="1244"/>
      <c r="P3" s="1244"/>
      <c r="Q3" s="1244"/>
      <c r="R3" s="1244"/>
      <c r="S3" s="1244"/>
      <c r="T3" s="1244"/>
      <c r="U3" s="1244"/>
      <c r="V3" s="1244"/>
      <c r="W3" s="1244"/>
      <c r="X3" s="1244"/>
      <c r="Y3" s="1244"/>
    </row>
    <row r="4" spans="2:26">
      <c r="B4" s="1244"/>
      <c r="C4" s="1244"/>
      <c r="D4" s="1244"/>
      <c r="E4" s="1244"/>
      <c r="F4" s="1244"/>
      <c r="G4" s="1244"/>
      <c r="H4" s="1244"/>
      <c r="I4" s="1244"/>
      <c r="J4" s="1244"/>
      <c r="K4" s="1244"/>
      <c r="L4" s="1244"/>
      <c r="M4" s="1244"/>
      <c r="N4" s="1244"/>
      <c r="O4" s="1244"/>
      <c r="P4" s="1244"/>
      <c r="Q4" s="1244"/>
      <c r="R4" s="1244"/>
      <c r="S4" s="1244"/>
      <c r="T4" s="1244"/>
      <c r="U4" s="1244"/>
      <c r="V4" s="1244"/>
      <c r="W4" s="1244"/>
      <c r="X4" s="1244"/>
      <c r="Y4" s="1244"/>
    </row>
    <row r="5" spans="2:26">
      <c r="B5" s="1244"/>
      <c r="C5" s="1244"/>
      <c r="D5" s="1244"/>
      <c r="E5" s="1244"/>
      <c r="F5" s="1244"/>
      <c r="G5" s="1244"/>
      <c r="H5" s="1244"/>
      <c r="I5" s="1244"/>
      <c r="J5" s="1244"/>
      <c r="K5" s="1244"/>
      <c r="L5" s="1244"/>
      <c r="M5" s="1244"/>
      <c r="N5" s="1244"/>
      <c r="O5" s="1244"/>
      <c r="P5" s="1244"/>
      <c r="Q5" s="1244"/>
      <c r="R5" s="1244"/>
      <c r="S5" s="1244"/>
      <c r="T5" s="1244"/>
      <c r="U5" s="1244"/>
      <c r="V5" s="1244"/>
      <c r="W5" s="1244"/>
      <c r="X5" s="1244"/>
      <c r="Y5" s="1244"/>
    </row>
    <row r="6" spans="2:26" ht="38.5" customHeight="1">
      <c r="B6" s="1244"/>
      <c r="C6" s="1244"/>
      <c r="D6" s="1244"/>
      <c r="E6" s="1244"/>
      <c r="F6" s="1244"/>
      <c r="G6" s="1244"/>
      <c r="H6" s="1244"/>
      <c r="I6" s="1244"/>
      <c r="J6" s="1244"/>
      <c r="K6" s="1244"/>
      <c r="L6" s="1244"/>
      <c r="M6" s="1244"/>
      <c r="N6" s="1244"/>
      <c r="O6" s="1244"/>
      <c r="P6" s="1244"/>
      <c r="Q6" s="1244"/>
      <c r="R6" s="1244"/>
      <c r="S6" s="1244"/>
      <c r="T6" s="1244"/>
      <c r="U6" s="1244"/>
      <c r="V6" s="1244"/>
      <c r="W6" s="1244"/>
      <c r="X6" s="1244"/>
      <c r="Y6" s="1244"/>
    </row>
    <row r="7" spans="2:26">
      <c r="B7" s="56"/>
      <c r="C7" s="56"/>
      <c r="D7" s="377"/>
      <c r="E7" s="377"/>
      <c r="F7" s="377"/>
      <c r="G7" s="377"/>
      <c r="H7" s="57"/>
      <c r="I7" s="57"/>
      <c r="J7" s="57"/>
      <c r="K7" s="57"/>
      <c r="L7" s="57"/>
      <c r="M7" s="57"/>
      <c r="N7" s="57"/>
      <c r="O7" s="57"/>
      <c r="P7" s="57"/>
      <c r="Q7" s="57"/>
      <c r="R7" s="57"/>
      <c r="S7" s="57"/>
      <c r="T7" s="57"/>
      <c r="U7" s="57"/>
      <c r="V7" s="334"/>
      <c r="W7" s="334"/>
      <c r="X7" s="334"/>
      <c r="Y7" s="334"/>
    </row>
    <row r="8" spans="2:26" ht="14.5" customHeight="1">
      <c r="B8" s="1245" t="s">
        <v>277</v>
      </c>
      <c r="C8" s="1246"/>
      <c r="D8" s="1324" t="s">
        <v>278</v>
      </c>
      <c r="E8" s="1325"/>
      <c r="F8" s="1325"/>
      <c r="G8" s="1325"/>
      <c r="H8" s="1325"/>
      <c r="I8" s="1325"/>
      <c r="J8" s="1325"/>
      <c r="K8" s="1325"/>
      <c r="L8" s="1325"/>
      <c r="M8" s="1326"/>
      <c r="N8" s="1272" t="s">
        <v>145</v>
      </c>
      <c r="O8" s="1273"/>
      <c r="P8" s="1273"/>
      <c r="Q8" s="1273"/>
      <c r="R8" s="1273"/>
      <c r="S8" s="1273"/>
      <c r="T8" s="1273"/>
      <c r="U8" s="1273"/>
      <c r="V8" s="1273"/>
      <c r="W8" s="1273"/>
      <c r="X8" s="1273"/>
      <c r="Y8" s="1275"/>
    </row>
    <row r="9" spans="2:26" ht="12.5" customHeight="1">
      <c r="B9" s="1247"/>
      <c r="C9" s="1248"/>
      <c r="D9" s="878">
        <v>2018</v>
      </c>
      <c r="E9" s="1256">
        <v>2019</v>
      </c>
      <c r="F9" s="1305"/>
      <c r="G9" s="1305"/>
      <c r="H9" s="1323"/>
      <c r="I9" s="1305">
        <v>2020</v>
      </c>
      <c r="J9" s="1257"/>
      <c r="K9" s="1257"/>
      <c r="L9" s="1258"/>
      <c r="M9" s="39">
        <v>2021</v>
      </c>
      <c r="N9" s="1269">
        <v>2021</v>
      </c>
      <c r="O9" s="1270"/>
      <c r="P9" s="1271"/>
      <c r="Q9" s="1269">
        <v>2022</v>
      </c>
      <c r="R9" s="1270"/>
      <c r="S9" s="1270"/>
      <c r="T9" s="1270"/>
      <c r="U9" s="1269">
        <v>2023</v>
      </c>
      <c r="V9" s="1270"/>
      <c r="W9" s="1270"/>
      <c r="X9" s="1270"/>
      <c r="Y9" s="77">
        <v>2024</v>
      </c>
    </row>
    <row r="10" spans="2:26" ht="14.5" customHeight="1">
      <c r="B10" s="1247"/>
      <c r="C10" s="1248"/>
      <c r="D10" s="296" t="s">
        <v>140</v>
      </c>
      <c r="E10" s="712" t="s">
        <v>137</v>
      </c>
      <c r="F10" s="713" t="s">
        <v>138</v>
      </c>
      <c r="G10" s="713" t="s">
        <v>139</v>
      </c>
      <c r="H10" s="714" t="s">
        <v>140</v>
      </c>
      <c r="I10" s="42" t="s">
        <v>137</v>
      </c>
      <c r="J10" s="42" t="s">
        <v>138</v>
      </c>
      <c r="K10" s="42" t="s">
        <v>139</v>
      </c>
      <c r="L10" s="43" t="s">
        <v>140</v>
      </c>
      <c r="M10" s="40" t="s">
        <v>137</v>
      </c>
      <c r="N10" s="207" t="s">
        <v>138</v>
      </c>
      <c r="O10" s="169" t="s">
        <v>139</v>
      </c>
      <c r="P10" s="208" t="s">
        <v>140</v>
      </c>
      <c r="Q10" s="207" t="s">
        <v>137</v>
      </c>
      <c r="R10" s="169" t="s">
        <v>138</v>
      </c>
      <c r="S10" s="169" t="s">
        <v>139</v>
      </c>
      <c r="T10" s="169" t="s">
        <v>140</v>
      </c>
      <c r="U10" s="207" t="s">
        <v>137</v>
      </c>
      <c r="V10" s="169" t="s">
        <v>138</v>
      </c>
      <c r="W10" s="169" t="s">
        <v>139</v>
      </c>
      <c r="X10" s="169" t="s">
        <v>140</v>
      </c>
      <c r="Y10" s="117" t="s">
        <v>137</v>
      </c>
    </row>
    <row r="11" spans="2:26">
      <c r="B11" s="857" t="s">
        <v>279</v>
      </c>
      <c r="C11" s="858" t="s">
        <v>209</v>
      </c>
      <c r="D11" s="865">
        <f>'Haver Pivoted'!GO14</f>
        <v>27</v>
      </c>
      <c r="E11" s="819">
        <f>'Haver Pivoted'!GP14</f>
        <v>28</v>
      </c>
      <c r="F11" s="819">
        <f>'Haver Pivoted'!GQ14</f>
        <v>27.5</v>
      </c>
      <c r="G11" s="819">
        <f>'Haver Pivoted'!GR14</f>
        <v>27.6</v>
      </c>
      <c r="H11" s="819">
        <f>'Haver Pivoted'!GS14</f>
        <v>27.9</v>
      </c>
      <c r="I11" s="819">
        <f>'Haver Pivoted'!GT14</f>
        <v>43.4</v>
      </c>
      <c r="J11" s="819">
        <f>'Haver Pivoted'!GU14</f>
        <v>1084.5999999999999</v>
      </c>
      <c r="K11" s="819">
        <f>'Haver Pivoted'!GV14</f>
        <v>775.2</v>
      </c>
      <c r="L11" s="819">
        <f>'Haver Pivoted'!GW14</f>
        <v>296.39999999999998</v>
      </c>
      <c r="M11" s="819">
        <f>'Haver Pivoted'!GX14</f>
        <v>544.29999999999995</v>
      </c>
      <c r="N11" s="842">
        <f>'Monthly Personal Income'!L33</f>
        <v>458.8</v>
      </c>
      <c r="O11" s="997">
        <f t="shared" ref="O11:Y11" si="0">O12+O13+O20</f>
        <v>391.38728323699428</v>
      </c>
      <c r="P11" s="997">
        <f t="shared" si="0"/>
        <v>44.089595375722546</v>
      </c>
      <c r="Q11" s="997">
        <f t="shared" si="0"/>
        <v>40.170520231213871</v>
      </c>
      <c r="R11" s="997">
        <f t="shared" si="0"/>
        <v>39.190751445086704</v>
      </c>
      <c r="S11" s="997">
        <f t="shared" si="0"/>
        <v>38.210982658959537</v>
      </c>
      <c r="T11" s="997">
        <f t="shared" si="0"/>
        <v>38.210982658959537</v>
      </c>
      <c r="U11" s="997">
        <f t="shared" si="0"/>
        <v>36.251445086705203</v>
      </c>
      <c r="V11" s="997">
        <f t="shared" si="0"/>
        <v>35.271676300578036</v>
      </c>
      <c r="W11" s="997">
        <f t="shared" si="0"/>
        <v>35.271676300578036</v>
      </c>
      <c r="X11" s="997">
        <f t="shared" si="0"/>
        <v>34.29190751445087</v>
      </c>
      <c r="Y11" s="843">
        <f t="shared" si="0"/>
        <v>36.251445086705203</v>
      </c>
      <c r="Z11" s="37" t="s">
        <v>280</v>
      </c>
    </row>
    <row r="12" spans="2:26" s="175" customFormat="1">
      <c r="B12" s="837" t="s">
        <v>281</v>
      </c>
      <c r="C12" s="838" t="s">
        <v>210</v>
      </c>
      <c r="D12" s="844">
        <f>'Haver Pivoted'!GO63</f>
        <v>0</v>
      </c>
      <c r="E12" s="582">
        <f>'Haver Pivoted'!GP63</f>
        <v>0</v>
      </c>
      <c r="F12" s="582">
        <f>'Haver Pivoted'!GQ63</f>
        <v>0</v>
      </c>
      <c r="G12" s="582">
        <f>'Haver Pivoted'!GR63</f>
        <v>0</v>
      </c>
      <c r="H12" s="582">
        <f>'Haver Pivoted'!GS63</f>
        <v>0</v>
      </c>
      <c r="I12" s="582">
        <f>'Haver Pivoted'!GT63</f>
        <v>0</v>
      </c>
      <c r="J12" s="582">
        <f>'Haver Pivoted'!GU63</f>
        <v>0</v>
      </c>
      <c r="K12" s="582">
        <f>'Haver Pivoted'!GV63</f>
        <v>3.1</v>
      </c>
      <c r="L12" s="582">
        <f>'Haver Pivoted'!GW63</f>
        <v>11</v>
      </c>
      <c r="M12" s="582">
        <f>'Haver Pivoted'!GX63</f>
        <v>18.600000000000001</v>
      </c>
      <c r="N12" s="998">
        <f>'Monthly Personal Income'!L35</f>
        <v>3.7</v>
      </c>
      <c r="O12" s="999">
        <f>MAX(N12*(O22-5)/(N22-5),0)</f>
        <v>0</v>
      </c>
      <c r="P12" s="999">
        <v>0</v>
      </c>
      <c r="Q12" s="999">
        <f>MAX(P12*(Q22-5)/(P22-5),0)</f>
        <v>0</v>
      </c>
      <c r="R12" s="999">
        <f>MAX(Q12*(R22-5)/(Q22-5),0)</f>
        <v>0</v>
      </c>
      <c r="S12" s="999">
        <f>MAX(R12*(S22-5)/(R22-5),0)</f>
        <v>0</v>
      </c>
      <c r="T12" s="999">
        <f>MAX(S12*(T22-5)/(S22-5),0)</f>
        <v>0</v>
      </c>
      <c r="U12" s="999">
        <f>T12*U22/T22</f>
        <v>0</v>
      </c>
      <c r="V12" s="999">
        <f>U12*V22/U22</f>
        <v>0</v>
      </c>
      <c r="W12" s="999">
        <f>V12*W22/V22</f>
        <v>0</v>
      </c>
      <c r="X12" s="999">
        <f>W12*X22/W22</f>
        <v>0</v>
      </c>
      <c r="Y12" s="1000">
        <f>X12*Y22/X22</f>
        <v>0</v>
      </c>
      <c r="Z12" s="175" t="s">
        <v>282</v>
      </c>
    </row>
    <row r="13" spans="2:26">
      <c r="B13" s="837" t="s">
        <v>283</v>
      </c>
      <c r="C13" s="838"/>
      <c r="D13" s="844"/>
      <c r="E13" s="582"/>
      <c r="F13" s="582"/>
      <c r="G13" s="582"/>
      <c r="H13" s="102">
        <f>SUM(H14:H17)</f>
        <v>0</v>
      </c>
      <c r="I13" s="102">
        <f t="shared" ref="I13:M13" si="1">SUM(I14:I17)</f>
        <v>0</v>
      </c>
      <c r="J13" s="102">
        <f t="shared" si="1"/>
        <v>787.90000000000009</v>
      </c>
      <c r="K13" s="102">
        <f t="shared" si="1"/>
        <v>556.20000000000005</v>
      </c>
      <c r="L13" s="102">
        <f t="shared" si="1"/>
        <v>198.49999999999997</v>
      </c>
      <c r="M13" s="102">
        <f t="shared" si="1"/>
        <v>473.5</v>
      </c>
      <c r="N13" s="998">
        <f>SUM(N14:N17)</f>
        <v>398.6</v>
      </c>
      <c r="O13" s="999">
        <f t="shared" ref="O13:Y13" si="2">SUM(O14:O17)</f>
        <v>342.39884393063591</v>
      </c>
      <c r="P13" s="999">
        <f t="shared" si="2"/>
        <v>0</v>
      </c>
      <c r="Q13" s="999">
        <f t="shared" si="2"/>
        <v>0</v>
      </c>
      <c r="R13" s="999">
        <f t="shared" si="2"/>
        <v>0</v>
      </c>
      <c r="S13" s="999">
        <f t="shared" si="2"/>
        <v>0</v>
      </c>
      <c r="T13" s="999">
        <f t="shared" si="2"/>
        <v>0</v>
      </c>
      <c r="U13" s="999">
        <f t="shared" si="2"/>
        <v>0</v>
      </c>
      <c r="V13" s="999">
        <f t="shared" si="2"/>
        <v>0</v>
      </c>
      <c r="W13" s="999">
        <f t="shared" si="2"/>
        <v>0</v>
      </c>
      <c r="X13" s="999">
        <f t="shared" si="2"/>
        <v>0</v>
      </c>
      <c r="Y13" s="1000">
        <f t="shared" si="2"/>
        <v>0</v>
      </c>
      <c r="Z13" s="37" t="s">
        <v>291</v>
      </c>
    </row>
    <row r="14" spans="2:26" s="175" customFormat="1" ht="18" customHeight="1">
      <c r="B14" s="839" t="s">
        <v>284</v>
      </c>
      <c r="C14" s="840" t="s">
        <v>210</v>
      </c>
      <c r="D14" s="222">
        <f>'Haver Pivoted'!GO63</f>
        <v>0</v>
      </c>
      <c r="E14" s="246">
        <f>'Haver Pivoted'!GP63</f>
        <v>0</v>
      </c>
      <c r="F14" s="246">
        <f>'Haver Pivoted'!GQ63</f>
        <v>0</v>
      </c>
      <c r="G14" s="246">
        <f>'Haver Pivoted'!GR63</f>
        <v>0</v>
      </c>
      <c r="H14" s="246">
        <f>'Haver Pivoted'!GS63</f>
        <v>0</v>
      </c>
      <c r="I14" s="246">
        <f>'Haver Pivoted'!GT63</f>
        <v>0</v>
      </c>
      <c r="J14" s="246">
        <f>'Haver Pivoted'!GU63</f>
        <v>0</v>
      </c>
      <c r="K14" s="246">
        <f>'Haver Pivoted'!GV63</f>
        <v>3.1</v>
      </c>
      <c r="L14" s="246">
        <f>'Haver Pivoted'!GW63</f>
        <v>11</v>
      </c>
      <c r="M14" s="246">
        <f>'Haver Pivoted'!GX63</f>
        <v>18.600000000000001</v>
      </c>
      <c r="N14" s="1001">
        <f>N12</f>
        <v>3.7</v>
      </c>
      <c r="O14" s="1002">
        <f t="shared" ref="O14:Y14" si="3">O12</f>
        <v>0</v>
      </c>
      <c r="P14" s="1002">
        <f t="shared" si="3"/>
        <v>0</v>
      </c>
      <c r="Q14" s="1002">
        <f t="shared" si="3"/>
        <v>0</v>
      </c>
      <c r="R14" s="1002">
        <f t="shared" si="3"/>
        <v>0</v>
      </c>
      <c r="S14" s="1002">
        <f t="shared" si="3"/>
        <v>0</v>
      </c>
      <c r="T14" s="1002">
        <f t="shared" si="3"/>
        <v>0</v>
      </c>
      <c r="U14" s="1002">
        <f t="shared" si="3"/>
        <v>0</v>
      </c>
      <c r="V14" s="1002">
        <f t="shared" si="3"/>
        <v>0</v>
      </c>
      <c r="W14" s="1002">
        <f t="shared" si="3"/>
        <v>0</v>
      </c>
      <c r="X14" s="1002">
        <f t="shared" si="3"/>
        <v>0</v>
      </c>
      <c r="Y14" s="1003">
        <f t="shared" si="3"/>
        <v>0</v>
      </c>
    </row>
    <row r="15" spans="2:26" ht="18" customHeight="1">
      <c r="B15" s="859" t="s">
        <v>285</v>
      </c>
      <c r="C15" s="860" t="s">
        <v>211</v>
      </c>
      <c r="D15" s="866">
        <f>'Haver Pivoted'!GO59</f>
        <v>0</v>
      </c>
      <c r="E15" s="867">
        <f>'Haver Pivoted'!GP59</f>
        <v>0</v>
      </c>
      <c r="F15" s="867">
        <f>'Haver Pivoted'!GQ59</f>
        <v>0</v>
      </c>
      <c r="G15" s="867">
        <f>'Haver Pivoted'!GR59</f>
        <v>0</v>
      </c>
      <c r="H15" s="867">
        <f>'Haver Pivoted'!GS59</f>
        <v>0</v>
      </c>
      <c r="I15" s="867">
        <f>'Haver Pivoted'!GT59</f>
        <v>0</v>
      </c>
      <c r="J15" s="867">
        <f>'Haver Pivoted'!GU59</f>
        <v>7.2</v>
      </c>
      <c r="K15" s="867">
        <f>'Haver Pivoted'!GV59</f>
        <v>23.9</v>
      </c>
      <c r="L15" s="867">
        <f>'Haver Pivoted'!GW59</f>
        <v>63.6</v>
      </c>
      <c r="M15" s="867">
        <f>'Haver Pivoted'!GX59</f>
        <v>74.099999999999994</v>
      </c>
      <c r="N15" s="1001">
        <f>'Monthly Personal Income'!L36</f>
        <v>81.3</v>
      </c>
      <c r="O15" s="1002">
        <f t="shared" ref="O15:O17" si="4">N15*O$22/N$22</f>
        <v>70.491329479768794</v>
      </c>
      <c r="P15" s="1002">
        <v>0</v>
      </c>
      <c r="Q15" s="1002">
        <f t="shared" ref="Q15:Y15" si="5">P15*Q$22/P$22</f>
        <v>0</v>
      </c>
      <c r="R15" s="1002">
        <f t="shared" si="5"/>
        <v>0</v>
      </c>
      <c r="S15" s="1002">
        <f t="shared" si="5"/>
        <v>0</v>
      </c>
      <c r="T15" s="1002">
        <f t="shared" si="5"/>
        <v>0</v>
      </c>
      <c r="U15" s="1002">
        <f t="shared" si="5"/>
        <v>0</v>
      </c>
      <c r="V15" s="1002">
        <f t="shared" si="5"/>
        <v>0</v>
      </c>
      <c r="W15" s="1002">
        <f t="shared" si="5"/>
        <v>0</v>
      </c>
      <c r="X15" s="1002">
        <f t="shared" si="5"/>
        <v>0</v>
      </c>
      <c r="Y15" s="1003">
        <f t="shared" si="5"/>
        <v>0</v>
      </c>
    </row>
    <row r="16" spans="2:26" ht="18" customHeight="1">
      <c r="B16" s="859" t="s">
        <v>286</v>
      </c>
      <c r="C16" s="860" t="s">
        <v>212</v>
      </c>
      <c r="D16" s="866">
        <f>'Haver Pivoted'!GO60</f>
        <v>0</v>
      </c>
      <c r="E16" s="867">
        <f>'Haver Pivoted'!GP60</f>
        <v>0</v>
      </c>
      <c r="F16" s="867">
        <f>'Haver Pivoted'!GQ60</f>
        <v>0</v>
      </c>
      <c r="G16" s="867">
        <f>'Haver Pivoted'!GR60</f>
        <v>0</v>
      </c>
      <c r="H16" s="867">
        <f>'Haver Pivoted'!GS60</f>
        <v>0</v>
      </c>
      <c r="I16" s="867">
        <f>'Haver Pivoted'!GT60</f>
        <v>0</v>
      </c>
      <c r="J16" s="867">
        <f>'Haver Pivoted'!GU60</f>
        <v>101.5</v>
      </c>
      <c r="K16" s="867">
        <f>'Haver Pivoted'!GV60</f>
        <v>156.1</v>
      </c>
      <c r="L16" s="867">
        <f>'Haver Pivoted'!GW60</f>
        <v>110.3</v>
      </c>
      <c r="M16" s="867">
        <f>'Haver Pivoted'!GX60</f>
        <v>97.2</v>
      </c>
      <c r="N16" s="1001">
        <f>'Monthly Personal Income'!L37</f>
        <v>83.8</v>
      </c>
      <c r="O16" s="1002">
        <f t="shared" si="4"/>
        <v>72.658959537572272</v>
      </c>
      <c r="P16" s="1002">
        <v>0</v>
      </c>
      <c r="Q16" s="1002">
        <f t="shared" ref="Q16:Y16" si="6">P16*Q$22/P$22</f>
        <v>0</v>
      </c>
      <c r="R16" s="1002">
        <f t="shared" si="6"/>
        <v>0</v>
      </c>
      <c r="S16" s="1002">
        <f t="shared" si="6"/>
        <v>0</v>
      </c>
      <c r="T16" s="1002">
        <f t="shared" si="6"/>
        <v>0</v>
      </c>
      <c r="U16" s="1002">
        <f t="shared" si="6"/>
        <v>0</v>
      </c>
      <c r="V16" s="1002">
        <f t="shared" si="6"/>
        <v>0</v>
      </c>
      <c r="W16" s="1002">
        <f t="shared" si="6"/>
        <v>0</v>
      </c>
      <c r="X16" s="1002">
        <f t="shared" si="6"/>
        <v>0</v>
      </c>
      <c r="Y16" s="1003">
        <f t="shared" si="6"/>
        <v>0</v>
      </c>
    </row>
    <row r="17" spans="2:28" ht="18" customHeight="1">
      <c r="B17" s="859" t="s">
        <v>287</v>
      </c>
      <c r="C17" s="860" t="s">
        <v>213</v>
      </c>
      <c r="D17" s="866">
        <f>'Haver Pivoted'!GO61</f>
        <v>0</v>
      </c>
      <c r="E17" s="867">
        <f>'Haver Pivoted'!GP61</f>
        <v>0</v>
      </c>
      <c r="F17" s="867">
        <f>'Haver Pivoted'!GQ61</f>
        <v>0</v>
      </c>
      <c r="G17" s="867">
        <f>'Haver Pivoted'!GR61</f>
        <v>0</v>
      </c>
      <c r="H17" s="867">
        <f>'Haver Pivoted'!GS61</f>
        <v>0</v>
      </c>
      <c r="I17" s="867">
        <f>'Haver Pivoted'!GT61</f>
        <v>0</v>
      </c>
      <c r="J17" s="867">
        <f>'Haver Pivoted'!GU61</f>
        <v>679.2</v>
      </c>
      <c r="K17" s="867">
        <f>'Haver Pivoted'!GV61</f>
        <v>373.1</v>
      </c>
      <c r="L17" s="867">
        <f>'Haver Pivoted'!GW61</f>
        <v>13.6</v>
      </c>
      <c r="M17" s="867">
        <f>'Haver Pivoted'!GX61</f>
        <v>283.60000000000002</v>
      </c>
      <c r="N17" s="1001">
        <f>'Monthly Personal Income'!L38</f>
        <v>229.8</v>
      </c>
      <c r="O17" s="1002">
        <f t="shared" si="4"/>
        <v>199.24855491329484</v>
      </c>
      <c r="P17" s="1002">
        <v>0</v>
      </c>
      <c r="Q17" s="1002">
        <f t="shared" ref="Q17:Y17" si="7">P17*Q$22/P$22</f>
        <v>0</v>
      </c>
      <c r="R17" s="1002">
        <f t="shared" si="7"/>
        <v>0</v>
      </c>
      <c r="S17" s="1002">
        <f t="shared" si="7"/>
        <v>0</v>
      </c>
      <c r="T17" s="1002">
        <f t="shared" si="7"/>
        <v>0</v>
      </c>
      <c r="U17" s="1002">
        <f t="shared" si="7"/>
        <v>0</v>
      </c>
      <c r="V17" s="1002">
        <f t="shared" si="7"/>
        <v>0</v>
      </c>
      <c r="W17" s="1002">
        <f t="shared" si="7"/>
        <v>0</v>
      </c>
      <c r="X17" s="1002">
        <f t="shared" si="7"/>
        <v>0</v>
      </c>
      <c r="Y17" s="1003">
        <f t="shared" si="7"/>
        <v>0</v>
      </c>
    </row>
    <row r="18" spans="2:28" s="175" customFormat="1" ht="15">
      <c r="B18" s="373" t="s">
        <v>288</v>
      </c>
      <c r="C18" s="175" t="s">
        <v>214</v>
      </c>
      <c r="D18" s="844">
        <f>'Haver Pivoted'!GO64</f>
        <v>0</v>
      </c>
      <c r="E18" s="582">
        <f>'Haver Pivoted'!GP64</f>
        <v>0</v>
      </c>
      <c r="F18" s="582">
        <f>'Haver Pivoted'!GQ64</f>
        <v>0</v>
      </c>
      <c r="G18" s="582">
        <f>'Haver Pivoted'!GR64</f>
        <v>0</v>
      </c>
      <c r="H18" s="582">
        <f>'Haver Pivoted'!GS64</f>
        <v>0</v>
      </c>
      <c r="I18" s="582">
        <f>'Haver Pivoted'!GT64</f>
        <v>0</v>
      </c>
      <c r="J18" s="582">
        <f>'Haver Pivoted'!GU64</f>
        <v>0</v>
      </c>
      <c r="K18" s="582">
        <f>'Haver Pivoted'!GV64</f>
        <v>106.2</v>
      </c>
      <c r="L18" s="582">
        <f>'Haver Pivoted'!GW64</f>
        <v>35.9</v>
      </c>
      <c r="M18" s="582">
        <f>'Haver Pivoted'!GX64</f>
        <v>1.6</v>
      </c>
      <c r="N18" s="998">
        <v>0</v>
      </c>
      <c r="O18" s="999"/>
      <c r="P18" s="999"/>
      <c r="Q18" s="999"/>
      <c r="R18" s="999"/>
      <c r="S18" s="999"/>
      <c r="T18" s="999"/>
      <c r="U18" s="999"/>
      <c r="V18" s="999"/>
      <c r="W18" s="999"/>
      <c r="X18" s="999"/>
      <c r="Y18" s="1000"/>
      <c r="AB18" s="841"/>
    </row>
    <row r="19" spans="2:28" ht="15">
      <c r="B19" s="456" t="s">
        <v>535</v>
      </c>
      <c r="C19" s="861"/>
      <c r="D19" s="864">
        <f t="shared" ref="D19:N19" si="8">D11-D20</f>
        <v>0</v>
      </c>
      <c r="E19" s="862">
        <f t="shared" si="8"/>
        <v>0</v>
      </c>
      <c r="F19" s="862">
        <f t="shared" si="8"/>
        <v>0</v>
      </c>
      <c r="G19" s="862">
        <f t="shared" si="8"/>
        <v>0</v>
      </c>
      <c r="H19" s="862">
        <f t="shared" si="8"/>
        <v>0</v>
      </c>
      <c r="I19" s="862">
        <f t="shared" si="8"/>
        <v>0</v>
      </c>
      <c r="J19" s="862">
        <f t="shared" si="8"/>
        <v>787.90000000000009</v>
      </c>
      <c r="K19" s="862">
        <f t="shared" si="8"/>
        <v>559.30000000000007</v>
      </c>
      <c r="L19" s="862">
        <f t="shared" si="8"/>
        <v>209.49999999999997</v>
      </c>
      <c r="M19" s="863">
        <f t="shared" si="8"/>
        <v>492.1</v>
      </c>
      <c r="N19" s="1001">
        <f t="shared" si="8"/>
        <v>402.3</v>
      </c>
      <c r="O19" s="1002">
        <f t="shared" ref="O19:Y19" si="9">O11-O20</f>
        <v>342.39884393063591</v>
      </c>
      <c r="P19" s="1002">
        <f t="shared" si="9"/>
        <v>0</v>
      </c>
      <c r="Q19" s="1002">
        <f t="shared" si="9"/>
        <v>0</v>
      </c>
      <c r="R19" s="1002">
        <f t="shared" si="9"/>
        <v>0</v>
      </c>
      <c r="S19" s="1002">
        <f t="shared" si="9"/>
        <v>0</v>
      </c>
      <c r="T19" s="1002">
        <f t="shared" si="9"/>
        <v>0</v>
      </c>
      <c r="U19" s="1002">
        <f t="shared" si="9"/>
        <v>0</v>
      </c>
      <c r="V19" s="1002">
        <f t="shared" si="9"/>
        <v>0</v>
      </c>
      <c r="W19" s="1002">
        <f t="shared" si="9"/>
        <v>0</v>
      </c>
      <c r="X19" s="1002">
        <f t="shared" si="9"/>
        <v>0</v>
      </c>
      <c r="Y19" s="1002">
        <f t="shared" si="9"/>
        <v>0</v>
      </c>
      <c r="AB19" s="49"/>
    </row>
    <row r="20" spans="2:28" ht="15">
      <c r="B20" s="456" t="s">
        <v>289</v>
      </c>
      <c r="C20" s="861"/>
      <c r="D20" s="864">
        <f t="shared" ref="D20:H20" si="10">D11</f>
        <v>27</v>
      </c>
      <c r="E20" s="862">
        <f t="shared" si="10"/>
        <v>28</v>
      </c>
      <c r="F20" s="862">
        <f t="shared" si="10"/>
        <v>27.5</v>
      </c>
      <c r="G20" s="862">
        <f t="shared" si="10"/>
        <v>27.6</v>
      </c>
      <c r="H20" s="862">
        <f t="shared" si="10"/>
        <v>27.9</v>
      </c>
      <c r="I20" s="862">
        <f>I11</f>
        <v>43.4</v>
      </c>
      <c r="J20" s="862">
        <f>J11-J13-J12</f>
        <v>296.69999999999982</v>
      </c>
      <c r="K20" s="862">
        <f>K11-K13-K12</f>
        <v>215.9</v>
      </c>
      <c r="L20" s="862">
        <f>L11-L13-L12</f>
        <v>86.9</v>
      </c>
      <c r="M20" s="863">
        <f>M11-M13-M12</f>
        <v>52.199999999999953</v>
      </c>
      <c r="N20" s="998">
        <f>N11-N12-N13</f>
        <v>56.5</v>
      </c>
      <c r="O20" s="999">
        <f>N20*O22/N22</f>
        <v>48.988439306358387</v>
      </c>
      <c r="P20" s="999">
        <f t="shared" ref="P20:Y20" si="11">O20*P22/O22</f>
        <v>44.089595375722546</v>
      </c>
      <c r="Q20" s="999">
        <f t="shared" si="11"/>
        <v>40.170520231213871</v>
      </c>
      <c r="R20" s="999">
        <f t="shared" si="11"/>
        <v>39.190751445086704</v>
      </c>
      <c r="S20" s="999">
        <f t="shared" si="11"/>
        <v>38.210982658959537</v>
      </c>
      <c r="T20" s="999">
        <f t="shared" si="11"/>
        <v>38.210982658959537</v>
      </c>
      <c r="U20" s="999">
        <f t="shared" si="11"/>
        <v>36.251445086705203</v>
      </c>
      <c r="V20" s="999">
        <f t="shared" si="11"/>
        <v>35.271676300578036</v>
      </c>
      <c r="W20" s="999">
        <f t="shared" si="11"/>
        <v>35.271676300578036</v>
      </c>
      <c r="X20" s="999">
        <f t="shared" si="11"/>
        <v>34.29190751445087</v>
      </c>
      <c r="Y20" s="1000">
        <f t="shared" si="11"/>
        <v>36.251445086705203</v>
      </c>
      <c r="Z20" s="37" t="s">
        <v>680</v>
      </c>
      <c r="AB20" s="49"/>
    </row>
    <row r="21" spans="2:28">
      <c r="B21" s="373"/>
      <c r="C21" s="861"/>
      <c r="D21" s="222"/>
      <c r="E21" s="246"/>
      <c r="F21" s="246"/>
      <c r="G21" s="246"/>
      <c r="H21" s="862"/>
      <c r="I21" s="862"/>
      <c r="J21" s="862"/>
      <c r="K21" s="862"/>
      <c r="L21" s="862"/>
      <c r="M21" s="863"/>
      <c r="N21" s="981"/>
      <c r="O21" s="982"/>
      <c r="P21" s="982"/>
      <c r="Q21" s="982"/>
      <c r="R21" s="982"/>
      <c r="S21" s="982"/>
      <c r="T21" s="982"/>
      <c r="U21" s="982"/>
      <c r="V21" s="982"/>
      <c r="W21" s="982"/>
      <c r="X21" s="982"/>
      <c r="Y21" s="984"/>
      <c r="AB21" s="49"/>
    </row>
    <row r="22" spans="2:28">
      <c r="B22" s="258" t="s">
        <v>678</v>
      </c>
      <c r="C22" s="305"/>
      <c r="D22" s="845"/>
      <c r="E22" s="846"/>
      <c r="F22" s="846"/>
      <c r="G22" s="846"/>
      <c r="H22" s="63"/>
      <c r="I22" s="64"/>
      <c r="J22" s="64"/>
      <c r="K22" s="64"/>
      <c r="L22" s="64"/>
      <c r="M22" s="65">
        <f>D27</f>
        <v>6.166666666666667</v>
      </c>
      <c r="N22" s="989">
        <f>D30</f>
        <v>5.7666666666666657</v>
      </c>
      <c r="O22" s="990">
        <v>5</v>
      </c>
      <c r="P22" s="990">
        <v>4.5</v>
      </c>
      <c r="Q22" s="990">
        <v>4.0999999999999996</v>
      </c>
      <c r="R22" s="990">
        <v>4</v>
      </c>
      <c r="S22" s="990">
        <v>3.9</v>
      </c>
      <c r="T22" s="990">
        <v>3.9</v>
      </c>
      <c r="U22" s="990">
        <v>3.7</v>
      </c>
      <c r="V22" s="990">
        <v>3.6</v>
      </c>
      <c r="W22" s="990">
        <v>3.6</v>
      </c>
      <c r="X22" s="990">
        <v>3.5</v>
      </c>
      <c r="Y22" s="991">
        <v>3.7</v>
      </c>
      <c r="Z22" s="66" t="s">
        <v>681</v>
      </c>
    </row>
    <row r="24" spans="2:28">
      <c r="AA24" s="44"/>
    </row>
    <row r="25" spans="2:28" s="428" customFormat="1">
      <c r="O25" s="36"/>
      <c r="P25" s="36"/>
      <c r="Q25" s="36"/>
      <c r="R25" s="36"/>
      <c r="S25" s="36"/>
      <c r="T25" s="36"/>
    </row>
    <row r="26" spans="2:28" ht="30.5" customHeight="1">
      <c r="B26" s="651" t="s">
        <v>676</v>
      </c>
      <c r="C26" s="652" t="s">
        <v>290</v>
      </c>
      <c r="D26" s="653" t="s">
        <v>677</v>
      </c>
      <c r="E26" s="37"/>
      <c r="F26" s="37"/>
      <c r="G26" s="37"/>
      <c r="K26" s="36"/>
      <c r="L26" s="36"/>
      <c r="M26" s="36"/>
      <c r="N26" s="36"/>
      <c r="O26" s="36"/>
      <c r="P26" s="36"/>
      <c r="R26" s="333"/>
      <c r="S26" s="333"/>
      <c r="T26" s="333"/>
      <c r="U26" s="333"/>
      <c r="V26" s="37"/>
      <c r="W26" s="37"/>
      <c r="X26" s="37"/>
      <c r="Y26" s="37"/>
    </row>
    <row r="27" spans="2:28">
      <c r="B27" s="650">
        <v>44197</v>
      </c>
      <c r="C27" s="36">
        <v>6.3</v>
      </c>
      <c r="D27" s="46">
        <f>AVERAGE(C27:C29)</f>
        <v>6.166666666666667</v>
      </c>
      <c r="E27" s="37"/>
      <c r="F27" s="37"/>
      <c r="G27" s="37"/>
      <c r="R27" s="333"/>
      <c r="S27" s="333"/>
      <c r="T27" s="333"/>
      <c r="U27" s="333"/>
      <c r="V27" s="37"/>
      <c r="W27" s="37"/>
      <c r="X27" s="37"/>
      <c r="Y27" s="37"/>
    </row>
    <row r="28" spans="2:28">
      <c r="B28" s="650">
        <v>44228</v>
      </c>
      <c r="C28" s="36">
        <v>6.2</v>
      </c>
      <c r="D28" s="46"/>
      <c r="E28" s="37"/>
      <c r="F28" s="37"/>
      <c r="G28" s="37"/>
      <c r="R28" s="333"/>
      <c r="S28" s="333"/>
      <c r="T28" s="333"/>
      <c r="U28" s="333"/>
      <c r="V28" s="37"/>
      <c r="W28" s="37"/>
      <c r="X28" s="37"/>
      <c r="Y28" s="37"/>
    </row>
    <row r="29" spans="2:28">
      <c r="B29" s="650">
        <v>44256</v>
      </c>
      <c r="C29" s="36">
        <v>6</v>
      </c>
      <c r="D29" s="46"/>
      <c r="E29" s="37"/>
      <c r="F29" s="37"/>
      <c r="G29" s="37"/>
      <c r="R29" s="333"/>
      <c r="S29" s="333"/>
      <c r="T29" s="333"/>
      <c r="U29" s="333"/>
      <c r="V29" s="37"/>
      <c r="W29" s="37"/>
      <c r="X29" s="37"/>
      <c r="Y29" s="37"/>
    </row>
    <row r="30" spans="2:28">
      <c r="B30" s="650">
        <v>44287</v>
      </c>
      <c r="C30" s="36">
        <v>6.1</v>
      </c>
      <c r="D30" s="46">
        <f>AVERAGE(C30:C32)</f>
        <v>5.7666666666666657</v>
      </c>
      <c r="E30" s="37"/>
      <c r="F30" s="37"/>
      <c r="G30" s="37"/>
      <c r="R30" s="333"/>
      <c r="S30" s="333"/>
      <c r="T30" s="333"/>
      <c r="U30" s="333"/>
      <c r="V30" s="37"/>
      <c r="W30" s="37"/>
      <c r="X30" s="37"/>
      <c r="Y30" s="37"/>
    </row>
    <row r="31" spans="2:28">
      <c r="B31" s="650">
        <v>44317</v>
      </c>
      <c r="C31" s="36">
        <v>5.8</v>
      </c>
      <c r="D31" s="46"/>
      <c r="E31" s="37"/>
      <c r="F31" s="37"/>
      <c r="G31" s="37"/>
      <c r="R31" s="333"/>
      <c r="S31" s="333"/>
      <c r="T31" s="333"/>
      <c r="U31" s="333"/>
      <c r="V31" s="37"/>
      <c r="W31" s="37"/>
      <c r="X31" s="37"/>
      <c r="Y31" s="37"/>
    </row>
    <row r="32" spans="2:28">
      <c r="B32" s="1074">
        <v>44348</v>
      </c>
      <c r="C32" s="1075">
        <v>5.4</v>
      </c>
      <c r="D32" s="1076"/>
      <c r="E32" s="37"/>
      <c r="F32" s="37"/>
      <c r="G32" s="37"/>
      <c r="R32" s="333"/>
      <c r="S32" s="333"/>
      <c r="T32" s="333"/>
      <c r="U32" s="333"/>
      <c r="V32" s="37"/>
      <c r="W32" s="37"/>
      <c r="X32" s="37"/>
      <c r="Y32" s="37"/>
    </row>
  </sheetData>
  <mergeCells count="10">
    <mergeCell ref="B2:Y6"/>
    <mergeCell ref="B1:Y1"/>
    <mergeCell ref="E9:H9"/>
    <mergeCell ref="D8:M8"/>
    <mergeCell ref="B8:C10"/>
    <mergeCell ref="I9:L9"/>
    <mergeCell ref="N9:P9"/>
    <mergeCell ref="Q9:T9"/>
    <mergeCell ref="N8:Y8"/>
    <mergeCell ref="U9:X9"/>
  </mergeCells>
  <phoneticPr fontId="52"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Y49"/>
  <sheetViews>
    <sheetView topLeftCell="A8" zoomScale="114" zoomScaleNormal="80" workbookViewId="0">
      <selection activeCell="K28" sqref="K28"/>
    </sheetView>
  </sheetViews>
  <sheetFormatPr baseColWidth="10" defaultColWidth="8.6640625" defaultRowHeight="14"/>
  <cols>
    <col min="1" max="1" width="8.6640625" style="428"/>
    <col min="2" max="2" width="31.83203125" style="428" customWidth="1"/>
    <col min="3" max="7" width="7.6640625" style="428" customWidth="1"/>
    <col min="8" max="8" width="8.6640625" style="428"/>
    <col min="9" max="9" width="8.6640625" style="428" customWidth="1"/>
    <col min="10" max="24" width="9.1640625" style="428" bestFit="1" customWidth="1"/>
    <col min="25" max="16384" width="8.6640625" style="428"/>
  </cols>
  <sheetData>
    <row r="1" spans="2:25">
      <c r="B1" s="1262" t="s">
        <v>143</v>
      </c>
      <c r="C1" s="1262"/>
      <c r="D1" s="1262"/>
      <c r="E1" s="1262"/>
      <c r="F1" s="1262"/>
      <c r="G1" s="1262"/>
      <c r="H1" s="1262"/>
      <c r="I1" s="1262"/>
      <c r="J1" s="1262"/>
      <c r="K1" s="1262"/>
      <c r="L1" s="1262"/>
      <c r="M1" s="1262"/>
      <c r="N1" s="1262"/>
      <c r="O1" s="1262"/>
      <c r="P1" s="1262"/>
      <c r="Q1" s="1262"/>
      <c r="R1" s="1262"/>
      <c r="S1" s="1262"/>
      <c r="T1" s="1262"/>
      <c r="U1" s="1262"/>
      <c r="V1" s="1262"/>
      <c r="W1" s="1262"/>
      <c r="X1" s="1262"/>
      <c r="Y1" s="1262"/>
    </row>
    <row r="2" spans="2:25">
      <c r="B2" s="1244" t="s">
        <v>725</v>
      </c>
      <c r="C2" s="1244"/>
      <c r="D2" s="1244"/>
      <c r="E2" s="1244"/>
      <c r="F2" s="1244"/>
      <c r="G2" s="1244"/>
      <c r="H2" s="1244"/>
      <c r="I2" s="1244"/>
      <c r="J2" s="1244"/>
      <c r="K2" s="1244"/>
      <c r="L2" s="1244"/>
      <c r="M2" s="1244"/>
      <c r="N2" s="1244"/>
      <c r="O2" s="1244"/>
      <c r="P2" s="1244"/>
      <c r="Q2" s="1244"/>
      <c r="R2" s="1244"/>
      <c r="S2" s="1244"/>
      <c r="T2" s="1244"/>
      <c r="U2" s="1244"/>
      <c r="V2" s="1244"/>
      <c r="W2" s="1244"/>
      <c r="X2" s="1244"/>
      <c r="Y2" s="1244"/>
    </row>
    <row r="3" spans="2:25" ht="59.5" customHeight="1">
      <c r="B3" s="1244"/>
      <c r="C3" s="1244"/>
      <c r="D3" s="1244"/>
      <c r="E3" s="1244"/>
      <c r="F3" s="1244"/>
      <c r="G3" s="1244"/>
      <c r="H3" s="1244"/>
      <c r="I3" s="1244"/>
      <c r="J3" s="1244"/>
      <c r="K3" s="1244"/>
      <c r="L3" s="1244"/>
      <c r="M3" s="1244"/>
      <c r="N3" s="1244"/>
      <c r="O3" s="1244"/>
      <c r="P3" s="1244"/>
      <c r="Q3" s="1244"/>
      <c r="R3" s="1244"/>
      <c r="S3" s="1244"/>
      <c r="T3" s="1244"/>
      <c r="U3" s="1244"/>
      <c r="V3" s="1244"/>
      <c r="W3" s="1244"/>
      <c r="X3" s="1244"/>
      <c r="Y3" s="1244"/>
    </row>
    <row r="4" spans="2:25" ht="60.5" customHeight="1">
      <c r="B4" s="1244"/>
      <c r="C4" s="1244"/>
      <c r="D4" s="1244"/>
      <c r="E4" s="1244"/>
      <c r="F4" s="1244"/>
      <c r="G4" s="1244"/>
      <c r="H4" s="1244"/>
      <c r="I4" s="1244"/>
      <c r="J4" s="1244"/>
      <c r="K4" s="1244"/>
      <c r="L4" s="1244"/>
      <c r="M4" s="1244"/>
      <c r="N4" s="1244"/>
      <c r="O4" s="1244"/>
      <c r="P4" s="1244"/>
      <c r="Q4" s="1244"/>
      <c r="R4" s="1244"/>
      <c r="S4" s="1244"/>
      <c r="T4" s="1244"/>
      <c r="U4" s="1244"/>
      <c r="V4" s="1244"/>
      <c r="W4" s="1244"/>
      <c r="X4" s="1244"/>
      <c r="Y4" s="1244"/>
    </row>
    <row r="5" spans="2:25" ht="15">
      <c r="B5" s="245" t="s">
        <v>421</v>
      </c>
    </row>
    <row r="6" spans="2:25" ht="14.5" customHeight="1">
      <c r="B6" s="1346" t="s">
        <v>311</v>
      </c>
      <c r="C6" s="1347"/>
      <c r="D6" s="1352" t="s">
        <v>278</v>
      </c>
      <c r="E6" s="1325"/>
      <c r="F6" s="1325"/>
      <c r="G6" s="1325"/>
      <c r="H6" s="1325"/>
      <c r="I6" s="1325"/>
      <c r="J6" s="1325"/>
      <c r="K6" s="1325"/>
      <c r="L6" s="1325"/>
      <c r="M6" s="1353"/>
      <c r="N6" s="1349" t="s">
        <v>145</v>
      </c>
      <c r="O6" s="1350"/>
      <c r="P6" s="1350"/>
      <c r="Q6" s="1350"/>
      <c r="R6" s="1350"/>
      <c r="S6" s="1350"/>
      <c r="T6" s="1350"/>
      <c r="U6" s="1350"/>
      <c r="V6" s="1350"/>
      <c r="W6" s="1350"/>
      <c r="X6" s="1350"/>
      <c r="Y6" s="1351"/>
    </row>
    <row r="7" spans="2:25">
      <c r="B7" s="1247"/>
      <c r="C7" s="1348"/>
      <c r="D7" s="809">
        <v>2018</v>
      </c>
      <c r="E7" s="1345">
        <v>2019</v>
      </c>
      <c r="F7" s="1305"/>
      <c r="G7" s="1305"/>
      <c r="H7" s="1323"/>
      <c r="I7" s="1305">
        <v>2020</v>
      </c>
      <c r="J7" s="1305"/>
      <c r="K7" s="1305"/>
      <c r="L7" s="1323"/>
      <c r="M7" s="808">
        <v>2021</v>
      </c>
      <c r="N7" s="1315">
        <v>2021</v>
      </c>
      <c r="O7" s="1297"/>
      <c r="P7" s="1298"/>
      <c r="Q7" s="1315">
        <v>2022</v>
      </c>
      <c r="R7" s="1297"/>
      <c r="S7" s="1297"/>
      <c r="T7" s="1297"/>
      <c r="U7" s="1315">
        <v>2023</v>
      </c>
      <c r="V7" s="1297"/>
      <c r="W7" s="1297"/>
      <c r="X7" s="1297"/>
      <c r="Y7" s="795">
        <v>2024</v>
      </c>
    </row>
    <row r="8" spans="2:25">
      <c r="B8" s="1247"/>
      <c r="C8" s="1292"/>
      <c r="D8" s="321" t="s">
        <v>140</v>
      </c>
      <c r="E8" s="312" t="s">
        <v>137</v>
      </c>
      <c r="F8" s="277" t="s">
        <v>138</v>
      </c>
      <c r="G8" s="277" t="s">
        <v>139</v>
      </c>
      <c r="H8" s="287" t="s">
        <v>140</v>
      </c>
      <c r="I8" s="278" t="s">
        <v>137</v>
      </c>
      <c r="J8" s="278" t="s">
        <v>138</v>
      </c>
      <c r="K8" s="278" t="s">
        <v>139</v>
      </c>
      <c r="L8" s="287" t="s">
        <v>140</v>
      </c>
      <c r="M8" s="301" t="s">
        <v>137</v>
      </c>
      <c r="N8" s="590" t="s">
        <v>138</v>
      </c>
      <c r="O8" s="591" t="s">
        <v>139</v>
      </c>
      <c r="P8" s="592" t="s">
        <v>140</v>
      </c>
      <c r="Q8" s="590" t="s">
        <v>137</v>
      </c>
      <c r="R8" s="591" t="s">
        <v>138</v>
      </c>
      <c r="S8" s="591" t="s">
        <v>139</v>
      </c>
      <c r="T8" s="591" t="s">
        <v>140</v>
      </c>
      <c r="U8" s="590" t="s">
        <v>137</v>
      </c>
      <c r="V8" s="591" t="s">
        <v>138</v>
      </c>
      <c r="W8" s="591" t="s">
        <v>139</v>
      </c>
      <c r="X8" s="591" t="s">
        <v>140</v>
      </c>
      <c r="Y8" s="117" t="s">
        <v>137</v>
      </c>
    </row>
    <row r="9" spans="2:25">
      <c r="B9" s="449" t="s">
        <v>440</v>
      </c>
      <c r="C9" s="450" t="s">
        <v>227</v>
      </c>
      <c r="D9" s="807">
        <f>'Haver Pivoted'!GO13</f>
        <v>589.79999999999995</v>
      </c>
      <c r="E9" s="807">
        <f>'Haver Pivoted'!GP13</f>
        <v>599.4</v>
      </c>
      <c r="F9" s="807">
        <f>'Haver Pivoted'!GQ13</f>
        <v>615</v>
      </c>
      <c r="G9" s="807">
        <f>'Haver Pivoted'!GR13</f>
        <v>622.29999999999995</v>
      </c>
      <c r="H9" s="807">
        <f>'Haver Pivoted'!GS13</f>
        <v>619.4</v>
      </c>
      <c r="I9" s="807">
        <f>'Haver Pivoted'!GT13</f>
        <v>624.1</v>
      </c>
      <c r="J9" s="807">
        <f>'Haver Pivoted'!GU13</f>
        <v>668.8</v>
      </c>
      <c r="K9" s="807">
        <f>'Haver Pivoted'!GV13</f>
        <v>683.7</v>
      </c>
      <c r="L9" s="807">
        <f>'Haver Pivoted'!GW13</f>
        <v>682.4</v>
      </c>
      <c r="M9" s="807">
        <f>'Haver Pivoted'!GX13</f>
        <v>700.1</v>
      </c>
      <c r="N9" s="807"/>
      <c r="O9" s="807"/>
      <c r="P9" s="807"/>
      <c r="Q9" s="807"/>
      <c r="R9" s="807"/>
      <c r="S9" s="450"/>
      <c r="T9" s="450"/>
      <c r="U9" s="450"/>
      <c r="V9" s="450"/>
      <c r="W9" s="450"/>
      <c r="X9" s="450"/>
      <c r="Y9" s="454"/>
    </row>
    <row r="10" spans="2:25">
      <c r="B10" s="47" t="s">
        <v>441</v>
      </c>
      <c r="C10" s="36" t="s">
        <v>252</v>
      </c>
      <c r="D10" s="828">
        <f>'Haver Pivoted'!GO40</f>
        <v>389.62400000000002</v>
      </c>
      <c r="E10" s="828">
        <f>'Haver Pivoted'!GP40</f>
        <v>404.529</v>
      </c>
      <c r="F10" s="828">
        <f>'Haver Pivoted'!GQ40</f>
        <v>419.67200000000003</v>
      </c>
      <c r="G10" s="828">
        <f>'Haver Pivoted'!GR40</f>
        <v>418.82400000000001</v>
      </c>
      <c r="H10" s="828">
        <f>'Haver Pivoted'!GS40</f>
        <v>411.40899999999999</v>
      </c>
      <c r="I10" s="828">
        <f>'Haver Pivoted'!GT40</f>
        <v>423.42899999999997</v>
      </c>
      <c r="J10" s="828">
        <f>'Haver Pivoted'!GU40</f>
        <v>512.64</v>
      </c>
      <c r="K10" s="828">
        <f>'Haver Pivoted'!GV40</f>
        <v>486.072</v>
      </c>
      <c r="L10" s="828">
        <f>'Haver Pivoted'!GW40</f>
        <v>512.19299999999998</v>
      </c>
      <c r="M10" s="828">
        <f>'Haver Pivoted'!GX40</f>
        <v>523.16300000000001</v>
      </c>
      <c r="N10" s="828"/>
      <c r="O10" s="828"/>
      <c r="P10" s="828"/>
      <c r="Q10" s="828"/>
      <c r="R10" s="828"/>
      <c r="S10" s="36"/>
      <c r="T10" s="36"/>
      <c r="U10" s="36"/>
      <c r="V10" s="36"/>
      <c r="W10" s="36"/>
      <c r="X10" s="36"/>
      <c r="Y10" s="46"/>
    </row>
    <row r="11" spans="2:25" ht="15">
      <c r="B11" s="74" t="s">
        <v>553</v>
      </c>
      <c r="C11" s="36"/>
      <c r="D11" s="829">
        <f t="shared" ref="D11:M11" si="0">D10/D9</f>
        <v>0.66060359443879291</v>
      </c>
      <c r="E11" s="829">
        <f t="shared" si="0"/>
        <v>0.67488988988988996</v>
      </c>
      <c r="F11" s="829">
        <f t="shared" si="0"/>
        <v>0.68239349593495935</v>
      </c>
      <c r="G11" s="829">
        <f t="shared" si="0"/>
        <v>0.67302587176602935</v>
      </c>
      <c r="H11" s="829">
        <f t="shared" si="0"/>
        <v>0.66420568291895388</v>
      </c>
      <c r="I11" s="829">
        <f t="shared" si="0"/>
        <v>0.67846338727767974</v>
      </c>
      <c r="J11" s="829">
        <f t="shared" si="0"/>
        <v>0.7665071770334928</v>
      </c>
      <c r="K11" s="829">
        <f t="shared" si="0"/>
        <v>0.710943396226415</v>
      </c>
      <c r="L11" s="829">
        <f t="shared" si="0"/>
        <v>0.75057590855803047</v>
      </c>
      <c r="M11" s="829">
        <f t="shared" si="0"/>
        <v>0.74726896157691758</v>
      </c>
      <c r="N11" s="829">
        <f>AVERAGE(L11:M11)</f>
        <v>0.74892243506747402</v>
      </c>
      <c r="O11" s="829">
        <f>N11</f>
        <v>0.74892243506747402</v>
      </c>
      <c r="P11" s="829">
        <f>O11</f>
        <v>0.74892243506747402</v>
      </c>
      <c r="Q11" s="829">
        <f>P11</f>
        <v>0.74892243506747402</v>
      </c>
      <c r="R11" s="829">
        <f>Q11</f>
        <v>0.74892243506747402</v>
      </c>
      <c r="S11" s="829">
        <f>AVERAGE(D11:G11)</f>
        <v>0.67272821300741792</v>
      </c>
      <c r="T11" s="829">
        <f>AVERAGE(D11:G11)</f>
        <v>0.67272821300741792</v>
      </c>
      <c r="U11" s="829">
        <f t="shared" ref="U11:Y12" si="1">T11</f>
        <v>0.67272821300741792</v>
      </c>
      <c r="V11" s="829">
        <f t="shared" si="1"/>
        <v>0.67272821300741792</v>
      </c>
      <c r="W11" s="829">
        <f t="shared" si="1"/>
        <v>0.67272821300741792</v>
      </c>
      <c r="X11" s="829">
        <f t="shared" si="1"/>
        <v>0.67272821300741792</v>
      </c>
      <c r="Y11" s="617">
        <f t="shared" si="1"/>
        <v>0.67272821300741792</v>
      </c>
    </row>
    <row r="12" spans="2:25">
      <c r="B12" s="316" t="s">
        <v>554</v>
      </c>
      <c r="C12" s="48"/>
      <c r="D12" s="611">
        <f t="shared" ref="D12:M12" si="2">D11</f>
        <v>0.66060359443879291</v>
      </c>
      <c r="E12" s="611">
        <f t="shared" si="2"/>
        <v>0.67488988988988996</v>
      </c>
      <c r="F12" s="611">
        <f t="shared" si="2"/>
        <v>0.68239349593495935</v>
      </c>
      <c r="G12" s="611">
        <f t="shared" si="2"/>
        <v>0.67302587176602935</v>
      </c>
      <c r="H12" s="611">
        <f t="shared" si="2"/>
        <v>0.66420568291895388</v>
      </c>
      <c r="I12" s="611">
        <f t="shared" si="2"/>
        <v>0.67846338727767974</v>
      </c>
      <c r="J12" s="611">
        <f t="shared" si="2"/>
        <v>0.7665071770334928</v>
      </c>
      <c r="K12" s="611">
        <f t="shared" si="2"/>
        <v>0.710943396226415</v>
      </c>
      <c r="L12" s="611">
        <f t="shared" si="2"/>
        <v>0.75057590855803047</v>
      </c>
      <c r="M12" s="611">
        <f t="shared" si="2"/>
        <v>0.74726896157691758</v>
      </c>
      <c r="N12" s="611">
        <f>N11+F48</f>
        <v>0.75829538178937095</v>
      </c>
      <c r="O12" s="611">
        <f>N12</f>
        <v>0.75829538178937095</v>
      </c>
      <c r="P12" s="611">
        <f>O12</f>
        <v>0.75829538178937095</v>
      </c>
      <c r="Q12" s="611">
        <f>Q11+G48</f>
        <v>0.75722653880939805</v>
      </c>
      <c r="R12" s="611">
        <f>Q12</f>
        <v>0.75722653880939805</v>
      </c>
      <c r="S12" s="611">
        <f>S11+G48</f>
        <v>0.68103231674934195</v>
      </c>
      <c r="T12" s="611">
        <f>T11+H48</f>
        <v>0.67757919830673252</v>
      </c>
      <c r="U12" s="611">
        <f t="shared" si="1"/>
        <v>0.67757919830673252</v>
      </c>
      <c r="V12" s="611">
        <f t="shared" si="1"/>
        <v>0.67757919830673252</v>
      </c>
      <c r="W12" s="611">
        <f t="shared" si="1"/>
        <v>0.67757919830673252</v>
      </c>
      <c r="X12" s="611">
        <f t="shared" si="1"/>
        <v>0.67757919830673252</v>
      </c>
      <c r="Y12" s="806">
        <f t="shared" si="1"/>
        <v>0.67757919830673252</v>
      </c>
    </row>
    <row r="14" spans="2:25">
      <c r="B14" s="67" t="s">
        <v>422</v>
      </c>
    </row>
    <row r="15" spans="2:25" ht="25" customHeight="1">
      <c r="B15" s="805" t="s">
        <v>447</v>
      </c>
      <c r="C15" s="804">
        <v>2020</v>
      </c>
      <c r="D15" s="803">
        <v>2021</v>
      </c>
      <c r="E15" s="803">
        <v>2022</v>
      </c>
      <c r="F15" s="803">
        <v>2023</v>
      </c>
      <c r="G15" s="802">
        <v>2024</v>
      </c>
      <c r="H15" s="801"/>
      <c r="I15" s="801"/>
      <c r="J15" s="801"/>
    </row>
    <row r="16" spans="2:25" ht="31.5" customHeight="1">
      <c r="B16" s="60" t="s">
        <v>442</v>
      </c>
      <c r="C16" s="800">
        <v>458.46899999999999</v>
      </c>
      <c r="D16" s="799">
        <v>507.26100000000002</v>
      </c>
      <c r="E16" s="799">
        <v>514.14599999999996</v>
      </c>
      <c r="F16" s="799">
        <v>491.86900000000003</v>
      </c>
      <c r="G16" s="798">
        <v>503.505</v>
      </c>
    </row>
    <row r="17" spans="2:21">
      <c r="B17" s="47" t="s">
        <v>443</v>
      </c>
      <c r="C17" s="331">
        <f>AVERAGE(H11:K11)</f>
        <v>0.70502991086413547</v>
      </c>
      <c r="D17" s="797">
        <f>AVERAGE(L11:O11)</f>
        <v>0.74892243506747402</v>
      </c>
      <c r="E17" s="797">
        <f>AVERAGE(P11:S11)</f>
        <v>0.72987387955245997</v>
      </c>
      <c r="F17" s="797">
        <f>AVERAGE(T11:W11)</f>
        <v>0.67272821300741792</v>
      </c>
      <c r="G17" s="329">
        <f>F17</f>
        <v>0.67272821300741792</v>
      </c>
    </row>
    <row r="18" spans="2:21">
      <c r="B18" s="47" t="s">
        <v>141</v>
      </c>
      <c r="C18" s="275">
        <f>C16/C17</f>
        <v>650.2830488965601</v>
      </c>
      <c r="D18" s="614">
        <f>D16/D17</f>
        <v>677.32114334950916</v>
      </c>
      <c r="E18" s="614">
        <f>E16/E17</f>
        <v>704.43129204084016</v>
      </c>
      <c r="F18" s="614">
        <f>F16/F17</f>
        <v>731.15559967540173</v>
      </c>
      <c r="G18" s="575">
        <f>G16/G17</f>
        <v>748.45233225627783</v>
      </c>
    </row>
    <row r="19" spans="2:21" ht="32" customHeight="1">
      <c r="B19" s="280" t="s">
        <v>444</v>
      </c>
      <c r="C19" s="276"/>
      <c r="D19" s="367">
        <f>D18/C18-1</f>
        <v>4.1578962420793397E-2</v>
      </c>
      <c r="E19" s="367">
        <f>E18/D18-1</f>
        <v>4.0025546164504933E-2</v>
      </c>
      <c r="F19" s="367">
        <f>F18/E18-1</f>
        <v>3.7937422622350336E-2</v>
      </c>
      <c r="G19" s="315">
        <f>G18/F18-1</f>
        <v>2.3656705342276041E-2</v>
      </c>
      <c r="I19" s="326"/>
      <c r="J19" s="326"/>
      <c r="K19" s="326"/>
      <c r="L19" s="326"/>
    </row>
    <row r="21" spans="2:21">
      <c r="B21" s="67" t="s">
        <v>423</v>
      </c>
    </row>
    <row r="22" spans="2:21">
      <c r="B22" s="1346" t="s">
        <v>445</v>
      </c>
      <c r="C22" s="1347"/>
      <c r="D22" s="1342" t="s">
        <v>278</v>
      </c>
      <c r="E22" s="1343"/>
      <c r="F22" s="1343"/>
      <c r="G22" s="1343"/>
      <c r="H22" s="1343"/>
      <c r="I22" s="1344"/>
      <c r="J22" s="1349" t="s">
        <v>145</v>
      </c>
      <c r="K22" s="1350"/>
      <c r="L22" s="1350"/>
      <c r="M22" s="1350"/>
      <c r="N22" s="1350"/>
      <c r="O22" s="1350"/>
      <c r="P22" s="1350"/>
      <c r="Q22" s="1350"/>
      <c r="R22" s="1350"/>
      <c r="S22" s="1350"/>
      <c r="T22" s="1350"/>
      <c r="U22" s="1351"/>
    </row>
    <row r="23" spans="2:21">
      <c r="B23" s="1247"/>
      <c r="C23" s="1348"/>
      <c r="D23" s="796">
        <v>2019</v>
      </c>
      <c r="E23" s="1305">
        <v>2020</v>
      </c>
      <c r="F23" s="1305"/>
      <c r="G23" s="1305"/>
      <c r="H23" s="1323"/>
      <c r="I23" s="796">
        <v>2021</v>
      </c>
      <c r="J23" s="1315">
        <v>2021</v>
      </c>
      <c r="K23" s="1297"/>
      <c r="L23" s="1298"/>
      <c r="M23" s="1315">
        <v>2022</v>
      </c>
      <c r="N23" s="1297"/>
      <c r="O23" s="1297"/>
      <c r="P23" s="1297"/>
      <c r="Q23" s="1315">
        <v>2023</v>
      </c>
      <c r="R23" s="1297"/>
      <c r="S23" s="1297"/>
      <c r="T23" s="1297"/>
      <c r="U23" s="795">
        <v>2024</v>
      </c>
    </row>
    <row r="24" spans="2:21">
      <c r="B24" s="1249"/>
      <c r="C24" s="1293"/>
      <c r="D24" s="40" t="s">
        <v>140</v>
      </c>
      <c r="E24" s="42" t="s">
        <v>137</v>
      </c>
      <c r="F24" s="42" t="s">
        <v>138</v>
      </c>
      <c r="G24" s="42" t="s">
        <v>139</v>
      </c>
      <c r="H24" s="43" t="s">
        <v>140</v>
      </c>
      <c r="I24" s="40" t="s">
        <v>137</v>
      </c>
      <c r="J24" s="78" t="s">
        <v>138</v>
      </c>
      <c r="K24" s="79" t="s">
        <v>139</v>
      </c>
      <c r="L24" s="80" t="s">
        <v>140</v>
      </c>
      <c r="M24" s="78" t="s">
        <v>137</v>
      </c>
      <c r="N24" s="79" t="s">
        <v>138</v>
      </c>
      <c r="O24" s="79" t="s">
        <v>139</v>
      </c>
      <c r="P24" s="79" t="s">
        <v>140</v>
      </c>
      <c r="Q24" s="78" t="s">
        <v>137</v>
      </c>
      <c r="R24" s="79" t="s">
        <v>138</v>
      </c>
      <c r="S24" s="79" t="s">
        <v>139</v>
      </c>
      <c r="T24" s="79" t="s">
        <v>140</v>
      </c>
      <c r="U24" s="81" t="s">
        <v>137</v>
      </c>
    </row>
    <row r="25" spans="2:21" ht="19.5" customHeight="1">
      <c r="B25" s="449" t="s">
        <v>551</v>
      </c>
      <c r="C25" s="454"/>
      <c r="D25" s="794">
        <f t="shared" ref="D25:I25" si="3">H9</f>
        <v>619.4</v>
      </c>
      <c r="E25" s="503">
        <f t="shared" si="3"/>
        <v>624.1</v>
      </c>
      <c r="F25" s="503">
        <f t="shared" si="3"/>
        <v>668.8</v>
      </c>
      <c r="G25" s="503">
        <f t="shared" si="3"/>
        <v>683.7</v>
      </c>
      <c r="H25" s="503">
        <f t="shared" si="3"/>
        <v>682.4</v>
      </c>
      <c r="I25" s="503">
        <f t="shared" si="3"/>
        <v>700.1</v>
      </c>
      <c r="J25" s="504">
        <f>'Monthly Personal Income'!L32 - J26-J27</f>
        <v>720.39512083830527</v>
      </c>
      <c r="K25" s="505">
        <f>J25*(1+$D$19)^0.25</f>
        <v>727.76943593473425</v>
      </c>
      <c r="L25" s="505">
        <f>K25*(1+$E$19)^0.25</f>
        <v>734.94495721873636</v>
      </c>
      <c r="M25" s="504">
        <f>L25*(1+$E$19)^0.25</f>
        <v>742.19122632911706</v>
      </c>
      <c r="N25" s="505">
        <f>M25*(1+$E$19)^0.25</f>
        <v>749.50894081170463</v>
      </c>
      <c r="O25" s="505">
        <f>N25*(1+$E$19)^0.25</f>
        <v>756.89880508985573</v>
      </c>
      <c r="P25" s="507">
        <f>O25*(1+$F$19)^0.25</f>
        <v>763.97757736194819</v>
      </c>
      <c r="Q25" s="505">
        <f>P25*(1+$F$19)^0.25</f>
        <v>771.12255269387265</v>
      </c>
      <c r="R25" s="505">
        <f>Q25*(1+$F$19)^0.25</f>
        <v>778.33435023891764</v>
      </c>
      <c r="S25" s="505">
        <f>R25*(1+$F$19)^0.25</f>
        <v>785.61359494090163</v>
      </c>
      <c r="T25" s="505">
        <f>S25*(1+$G$19)^0.25</f>
        <v>790.21919380575196</v>
      </c>
      <c r="U25" s="793">
        <f>T25*(1+$G$19)^0.25</f>
        <v>794.85179263730413</v>
      </c>
    </row>
    <row r="26" spans="2:21" ht="19.5" customHeight="1">
      <c r="B26" s="47" t="s">
        <v>721</v>
      </c>
      <c r="C26" s="46"/>
      <c r="D26" s="289"/>
      <c r="E26" s="792"/>
      <c r="F26" s="792"/>
      <c r="G26" s="792"/>
      <c r="H26" s="792"/>
      <c r="I26" s="792"/>
      <c r="J26" s="416">
        <f>F49/1000*4/3</f>
        <v>1.5546666666666666</v>
      </c>
      <c r="K26" s="791">
        <f>J26</f>
        <v>1.5546666666666666</v>
      </c>
      <c r="L26" s="791">
        <f>K26</f>
        <v>1.5546666666666666</v>
      </c>
      <c r="M26" s="416">
        <f>G49/1000</f>
        <v>1.5580000000000001</v>
      </c>
      <c r="N26" s="791">
        <f>M26</f>
        <v>1.5580000000000001</v>
      </c>
      <c r="O26" s="791">
        <f>N26</f>
        <v>1.5580000000000001</v>
      </c>
      <c r="P26" s="406">
        <f>O26</f>
        <v>1.5580000000000001</v>
      </c>
      <c r="Q26" s="791">
        <f>H49/1000</f>
        <v>1.105</v>
      </c>
      <c r="R26" s="791">
        <f>Q26</f>
        <v>1.105</v>
      </c>
      <c r="S26" s="791">
        <f>R26</f>
        <v>1.105</v>
      </c>
      <c r="T26" s="791">
        <f>S26</f>
        <v>1.105</v>
      </c>
      <c r="U26" s="790">
        <f>T26</f>
        <v>1.105</v>
      </c>
    </row>
    <row r="27" spans="2:21" ht="19.5" customHeight="1">
      <c r="B27" s="47" t="s">
        <v>720</v>
      </c>
      <c r="C27" s="46"/>
      <c r="D27" s="289"/>
      <c r="E27" s="792"/>
      <c r="F27" s="792"/>
      <c r="G27" s="792"/>
      <c r="H27" s="792"/>
      <c r="I27" s="792"/>
      <c r="J27" s="416">
        <f t="shared" ref="J27:U27" si="4">J26/N12</f>
        <v>2.0502124950280929</v>
      </c>
      <c r="K27" s="791">
        <f t="shared" si="4"/>
        <v>2.0502124950280929</v>
      </c>
      <c r="L27" s="791">
        <f t="shared" si="4"/>
        <v>2.0502124950280929</v>
      </c>
      <c r="M27" s="416">
        <f t="shared" si="4"/>
        <v>2.0575084471414242</v>
      </c>
      <c r="N27" s="791">
        <f t="shared" si="4"/>
        <v>2.0575084471414242</v>
      </c>
      <c r="O27" s="791">
        <f t="shared" si="4"/>
        <v>2.2877034785023738</v>
      </c>
      <c r="P27" s="406">
        <f t="shared" si="4"/>
        <v>2.2993622057664038</v>
      </c>
      <c r="Q27" s="791">
        <f t="shared" si="4"/>
        <v>1.6308056722540925</v>
      </c>
      <c r="R27" s="791">
        <f t="shared" si="4"/>
        <v>1.6308056722540925</v>
      </c>
      <c r="S27" s="791">
        <f t="shared" si="4"/>
        <v>1.6308056722540925</v>
      </c>
      <c r="T27" s="791">
        <f t="shared" si="4"/>
        <v>1.6308056722540925</v>
      </c>
      <c r="U27" s="790">
        <f t="shared" si="4"/>
        <v>1.6308056722540925</v>
      </c>
    </row>
    <row r="28" spans="2:21" ht="19.5" customHeight="1">
      <c r="B28" s="47" t="s">
        <v>552</v>
      </c>
      <c r="C28" s="46"/>
      <c r="D28" s="289">
        <f t="shared" ref="D28:U28" si="5">D27+D25</f>
        <v>619.4</v>
      </c>
      <c r="E28" s="290">
        <f t="shared" si="5"/>
        <v>624.1</v>
      </c>
      <c r="F28" s="290">
        <f t="shared" si="5"/>
        <v>668.8</v>
      </c>
      <c r="G28" s="290">
        <f t="shared" si="5"/>
        <v>683.7</v>
      </c>
      <c r="H28" s="290">
        <f t="shared" si="5"/>
        <v>682.4</v>
      </c>
      <c r="I28" s="290">
        <f t="shared" si="5"/>
        <v>700.1</v>
      </c>
      <c r="J28" s="416">
        <f>'Monthly Personal Income'!L32</f>
        <v>724</v>
      </c>
      <c r="K28" s="791">
        <f t="shared" si="5"/>
        <v>729.81964842976231</v>
      </c>
      <c r="L28" s="791">
        <f t="shared" si="5"/>
        <v>736.99516971376443</v>
      </c>
      <c r="M28" s="416">
        <f t="shared" si="5"/>
        <v>744.24873477625852</v>
      </c>
      <c r="N28" s="791">
        <f t="shared" si="5"/>
        <v>751.56644925884609</v>
      </c>
      <c r="O28" s="791">
        <f t="shared" si="5"/>
        <v>759.18650856835814</v>
      </c>
      <c r="P28" s="406">
        <f t="shared" si="5"/>
        <v>766.27693956771463</v>
      </c>
      <c r="Q28" s="791">
        <f t="shared" si="5"/>
        <v>772.75335836612669</v>
      </c>
      <c r="R28" s="791">
        <f t="shared" si="5"/>
        <v>779.96515591117168</v>
      </c>
      <c r="S28" s="791">
        <f t="shared" si="5"/>
        <v>787.24440061315568</v>
      </c>
      <c r="T28" s="791">
        <f t="shared" si="5"/>
        <v>791.849999478006</v>
      </c>
      <c r="U28" s="790">
        <f t="shared" si="5"/>
        <v>796.48259830955817</v>
      </c>
    </row>
    <row r="29" spans="2:21" ht="19" customHeight="1">
      <c r="B29" s="262" t="s">
        <v>142</v>
      </c>
      <c r="C29" s="264"/>
      <c r="D29" s="307">
        <f t="shared" ref="D29:U29" si="6">D28*H12</f>
        <v>411.40899999999999</v>
      </c>
      <c r="E29" s="335">
        <f t="shared" si="6"/>
        <v>423.42899999999992</v>
      </c>
      <c r="F29" s="335">
        <f t="shared" si="6"/>
        <v>512.64</v>
      </c>
      <c r="G29" s="335">
        <f t="shared" si="6"/>
        <v>486.07199999999995</v>
      </c>
      <c r="H29" s="335">
        <f t="shared" si="6"/>
        <v>512.19299999999998</v>
      </c>
      <c r="I29" s="335">
        <f t="shared" si="6"/>
        <v>523.16300000000001</v>
      </c>
      <c r="J29" s="414">
        <f t="shared" si="6"/>
        <v>549.00585641550458</v>
      </c>
      <c r="K29" s="789">
        <f t="shared" si="6"/>
        <v>553.41886894343111</v>
      </c>
      <c r="L29" s="789">
        <f t="shared" si="6"/>
        <v>558.86003359502126</v>
      </c>
      <c r="M29" s="414">
        <f t="shared" si="6"/>
        <v>563.56489344789986</v>
      </c>
      <c r="N29" s="789">
        <f t="shared" si="6"/>
        <v>569.10606105754516</v>
      </c>
      <c r="O29" s="789">
        <f t="shared" si="6"/>
        <v>517.03054677515308</v>
      </c>
      <c r="P29" s="413">
        <f t="shared" si="6"/>
        <v>519.21331439322864</v>
      </c>
      <c r="Q29" s="789">
        <f t="shared" si="6"/>
        <v>523.60160105055525</v>
      </c>
      <c r="R29" s="789">
        <f t="shared" si="6"/>
        <v>528.48816504947729</v>
      </c>
      <c r="S29" s="789">
        <f t="shared" si="6"/>
        <v>533.42042983892622</v>
      </c>
      <c r="T29" s="789">
        <f t="shared" si="6"/>
        <v>536.54108782549383</v>
      </c>
      <c r="U29" s="788">
        <f t="shared" si="6"/>
        <v>539.68004042785367</v>
      </c>
    </row>
    <row r="30" spans="2:21" ht="19" customHeight="1">
      <c r="B30" s="265" t="s">
        <v>446</v>
      </c>
      <c r="C30" s="267"/>
      <c r="D30" s="352">
        <f t="shared" ref="D30:U30" si="7">D25-D29</f>
        <v>207.99099999999999</v>
      </c>
      <c r="E30" s="353">
        <f t="shared" si="7"/>
        <v>200.67100000000011</v>
      </c>
      <c r="F30" s="353">
        <f t="shared" si="7"/>
        <v>156.15999999999997</v>
      </c>
      <c r="G30" s="353">
        <f t="shared" si="7"/>
        <v>197.6280000000001</v>
      </c>
      <c r="H30" s="353">
        <f t="shared" si="7"/>
        <v>170.20699999999999</v>
      </c>
      <c r="I30" s="353">
        <f t="shared" si="7"/>
        <v>176.93700000000001</v>
      </c>
      <c r="J30" s="787">
        <f t="shared" si="7"/>
        <v>171.38926442280069</v>
      </c>
      <c r="K30" s="785">
        <f t="shared" si="7"/>
        <v>174.35056699130314</v>
      </c>
      <c r="L30" s="785">
        <f t="shared" si="7"/>
        <v>176.0849236237151</v>
      </c>
      <c r="M30" s="787">
        <f t="shared" si="7"/>
        <v>178.62633288121719</v>
      </c>
      <c r="N30" s="785">
        <f t="shared" si="7"/>
        <v>180.40287975415947</v>
      </c>
      <c r="O30" s="785">
        <f t="shared" si="7"/>
        <v>239.86825831470264</v>
      </c>
      <c r="P30" s="786">
        <f t="shared" si="7"/>
        <v>244.76426296871955</v>
      </c>
      <c r="Q30" s="785">
        <f t="shared" si="7"/>
        <v>247.5209516433174</v>
      </c>
      <c r="R30" s="785">
        <f t="shared" si="7"/>
        <v>249.84618518944035</v>
      </c>
      <c r="S30" s="785">
        <f t="shared" si="7"/>
        <v>252.19316510197541</v>
      </c>
      <c r="T30" s="785">
        <f t="shared" si="7"/>
        <v>253.67810598025812</v>
      </c>
      <c r="U30" s="784">
        <f t="shared" si="7"/>
        <v>255.17175220945046</v>
      </c>
    </row>
    <row r="31" spans="2:21">
      <c r="D31" s="327"/>
      <c r="E31" s="327"/>
      <c r="F31" s="327"/>
      <c r="G31" s="327"/>
      <c r="H31" s="327"/>
      <c r="I31" s="451"/>
      <c r="J31" s="327"/>
      <c r="K31" s="327"/>
      <c r="L31" s="327"/>
      <c r="M31" s="327"/>
      <c r="N31" s="327"/>
      <c r="O31" s="327"/>
      <c r="P31" s="327"/>
      <c r="Q31" s="327"/>
      <c r="R31" s="327"/>
      <c r="S31" s="327"/>
    </row>
    <row r="32" spans="2:21">
      <c r="D32" s="327"/>
      <c r="E32" s="327"/>
      <c r="F32" s="327"/>
      <c r="G32" s="327"/>
      <c r="H32" s="327"/>
      <c r="I32" s="327"/>
      <c r="J32" s="327"/>
      <c r="K32" s="327"/>
      <c r="L32" s="327"/>
      <c r="M32" s="327"/>
      <c r="N32" s="327"/>
      <c r="O32" s="327"/>
      <c r="P32" s="327"/>
      <c r="Q32" s="327"/>
      <c r="R32" s="327"/>
      <c r="S32" s="327"/>
    </row>
    <row r="33" spans="2:19">
      <c r="D33" s="327"/>
      <c r="E33" s="327"/>
      <c r="F33" s="327"/>
      <c r="G33" s="327"/>
      <c r="H33" s="327"/>
      <c r="I33" s="327"/>
      <c r="J33" s="327"/>
      <c r="K33" s="327"/>
      <c r="L33" s="327"/>
      <c r="M33" s="327"/>
      <c r="N33" s="327"/>
      <c r="O33" s="327"/>
      <c r="P33" s="327"/>
      <c r="Q33" s="327"/>
      <c r="R33" s="327"/>
      <c r="S33" s="327"/>
    </row>
    <row r="36" spans="2:19">
      <c r="B36" s="831" t="s">
        <v>555</v>
      </c>
      <c r="C36" s="832"/>
      <c r="D36" s="832"/>
      <c r="E36" s="833"/>
      <c r="F36" s="834">
        <v>2021</v>
      </c>
      <c r="G36" s="834">
        <v>2022</v>
      </c>
      <c r="H36" s="834">
        <v>2023</v>
      </c>
      <c r="I36" s="834">
        <v>2024</v>
      </c>
      <c r="J36" s="834">
        <v>2025</v>
      </c>
      <c r="K36" s="834">
        <v>2025</v>
      </c>
      <c r="L36" s="834">
        <v>2027</v>
      </c>
      <c r="M36" s="834">
        <v>2028</v>
      </c>
      <c r="N36" s="834">
        <v>2029</v>
      </c>
      <c r="O36" s="834">
        <v>2030</v>
      </c>
      <c r="P36" s="835">
        <v>2031</v>
      </c>
    </row>
    <row r="37" spans="2:19">
      <c r="B37" s="1336" t="s">
        <v>730</v>
      </c>
      <c r="C37" s="1337"/>
      <c r="D37" s="1337"/>
      <c r="E37" s="1338"/>
      <c r="F37" s="50">
        <v>287</v>
      </c>
      <c r="G37" s="50">
        <v>534</v>
      </c>
      <c r="H37" s="50">
        <v>247</v>
      </c>
      <c r="I37" s="50">
        <v>63</v>
      </c>
      <c r="J37" s="50"/>
      <c r="K37" s="50"/>
      <c r="L37" s="50"/>
      <c r="M37" s="50"/>
      <c r="N37" s="50"/>
      <c r="O37" s="50"/>
      <c r="P37" s="575"/>
    </row>
    <row r="38" spans="2:19">
      <c r="B38" s="1336" t="s">
        <v>731</v>
      </c>
      <c r="C38" s="1337"/>
      <c r="D38" s="1337"/>
      <c r="E38" s="1338"/>
      <c r="F38" s="50">
        <v>0</v>
      </c>
      <c r="G38" s="50">
        <v>0</v>
      </c>
      <c r="H38" s="50">
        <v>756</v>
      </c>
      <c r="I38" s="50">
        <v>1249</v>
      </c>
      <c r="J38" s="50">
        <v>1417</v>
      </c>
      <c r="K38" s="50">
        <v>1522</v>
      </c>
      <c r="L38" s="50">
        <v>1107</v>
      </c>
      <c r="M38" s="50"/>
      <c r="N38" s="50"/>
      <c r="O38" s="50"/>
      <c r="P38" s="575"/>
    </row>
    <row r="39" spans="2:19">
      <c r="B39" s="1336" t="s">
        <v>732</v>
      </c>
      <c r="C39" s="1337"/>
      <c r="D39" s="1337"/>
      <c r="E39" s="1338"/>
      <c r="F39" s="50">
        <v>0</v>
      </c>
      <c r="G39" s="50">
        <v>5</v>
      </c>
      <c r="H39" s="50">
        <v>77</v>
      </c>
      <c r="I39" s="50">
        <v>307</v>
      </c>
      <c r="J39" s="50">
        <v>332</v>
      </c>
      <c r="K39" s="50">
        <v>270</v>
      </c>
      <c r="L39" s="50">
        <v>25</v>
      </c>
      <c r="M39" s="50">
        <v>32</v>
      </c>
      <c r="N39" s="50">
        <v>40</v>
      </c>
      <c r="O39" s="50">
        <v>49</v>
      </c>
      <c r="P39" s="575">
        <v>58</v>
      </c>
    </row>
    <row r="40" spans="2:19" ht="32.5" customHeight="1">
      <c r="B40" s="1327" t="s">
        <v>733</v>
      </c>
      <c r="C40" s="1328"/>
      <c r="D40" s="1328"/>
      <c r="E40" s="1329"/>
      <c r="F40" s="50">
        <v>0</v>
      </c>
      <c r="G40" s="50">
        <v>0</v>
      </c>
      <c r="H40" s="50">
        <v>3768</v>
      </c>
      <c r="I40" s="50">
        <v>3428</v>
      </c>
      <c r="J40" s="50">
        <v>2176</v>
      </c>
      <c r="K40" s="50">
        <v>2304</v>
      </c>
      <c r="L40" s="50">
        <v>2129</v>
      </c>
      <c r="M40" s="50">
        <v>1335</v>
      </c>
      <c r="N40" s="50">
        <v>478</v>
      </c>
      <c r="O40" s="50">
        <v>531</v>
      </c>
      <c r="P40" s="575">
        <v>212</v>
      </c>
    </row>
    <row r="41" spans="2:19" ht="32.5" customHeight="1">
      <c r="B41" s="1327" t="s">
        <v>738</v>
      </c>
      <c r="C41" s="1328"/>
      <c r="D41" s="1328"/>
      <c r="E41" s="1329"/>
      <c r="F41" s="50">
        <v>38</v>
      </c>
      <c r="G41" s="50">
        <v>81</v>
      </c>
      <c r="H41" s="50">
        <v>43</v>
      </c>
      <c r="I41" s="50"/>
      <c r="J41" s="50"/>
      <c r="K41" s="50"/>
      <c r="L41" s="50"/>
      <c r="M41" s="50"/>
      <c r="N41" s="50"/>
      <c r="O41" s="50"/>
      <c r="P41" s="575"/>
    </row>
    <row r="42" spans="2:19">
      <c r="B42" s="1336" t="s">
        <v>734</v>
      </c>
      <c r="C42" s="1337"/>
      <c r="D42" s="1337"/>
      <c r="E42" s="1338"/>
      <c r="F42" s="50"/>
      <c r="G42" s="50"/>
      <c r="H42" s="50"/>
      <c r="I42" s="50">
        <v>-184</v>
      </c>
      <c r="J42" s="50">
        <v>-1830</v>
      </c>
      <c r="K42" s="50">
        <v>-2406</v>
      </c>
      <c r="L42" s="50">
        <v>-2419</v>
      </c>
      <c r="M42" s="50">
        <v>-2467</v>
      </c>
      <c r="N42" s="50">
        <v>-2531</v>
      </c>
      <c r="O42" s="50">
        <v>-2667</v>
      </c>
      <c r="P42" s="575">
        <v>-2809</v>
      </c>
    </row>
    <row r="43" spans="2:19" ht="15.5" customHeight="1">
      <c r="B43" s="1333" t="s">
        <v>735</v>
      </c>
      <c r="C43" s="1334"/>
      <c r="D43" s="1334"/>
      <c r="E43" s="1335"/>
      <c r="F43" s="50">
        <v>6524</v>
      </c>
      <c r="G43" s="50">
        <v>6143</v>
      </c>
      <c r="H43" s="50"/>
      <c r="I43" s="50"/>
      <c r="J43" s="50"/>
      <c r="K43" s="50"/>
      <c r="L43" s="50"/>
      <c r="M43" s="50"/>
      <c r="N43" s="50"/>
      <c r="O43" s="50"/>
      <c r="P43" s="575"/>
    </row>
    <row r="44" spans="2:19">
      <c r="B44" s="1336" t="s">
        <v>736</v>
      </c>
      <c r="C44" s="1337"/>
      <c r="D44" s="1337"/>
      <c r="E44" s="1338"/>
      <c r="F44" s="50">
        <v>50</v>
      </c>
      <c r="G44" s="50">
        <v>175</v>
      </c>
      <c r="H44" s="50">
        <v>25</v>
      </c>
      <c r="I44" s="50"/>
      <c r="J44" s="50"/>
      <c r="K44" s="50"/>
      <c r="L44" s="50"/>
      <c r="M44" s="50"/>
      <c r="N44" s="50"/>
      <c r="O44" s="50"/>
      <c r="P44" s="575"/>
    </row>
    <row r="45" spans="2:19">
      <c r="B45" s="1336" t="s">
        <v>737</v>
      </c>
      <c r="C45" s="1337"/>
      <c r="D45" s="1337"/>
      <c r="E45" s="1338"/>
      <c r="F45" s="50">
        <v>829</v>
      </c>
      <c r="G45" s="50">
        <v>844</v>
      </c>
      <c r="H45" s="50"/>
      <c r="I45" s="50"/>
      <c r="J45" s="50"/>
      <c r="K45" s="50"/>
      <c r="L45" s="50"/>
      <c r="M45" s="50"/>
      <c r="N45" s="50"/>
      <c r="O45" s="50"/>
      <c r="P45" s="575"/>
    </row>
    <row r="46" spans="2:19">
      <c r="B46" s="1339" t="s">
        <v>726</v>
      </c>
      <c r="C46" s="1340"/>
      <c r="D46" s="1340"/>
      <c r="E46" s="1341"/>
      <c r="F46" s="50">
        <f t="shared" ref="F46:P46" si="8">SUM(F37:F45)</f>
        <v>7728</v>
      </c>
      <c r="G46" s="50">
        <f t="shared" si="8"/>
        <v>7782</v>
      </c>
      <c r="H46" s="50">
        <f t="shared" si="8"/>
        <v>4916</v>
      </c>
      <c r="I46" s="50">
        <f t="shared" si="8"/>
        <v>4863</v>
      </c>
      <c r="J46" s="50">
        <f t="shared" si="8"/>
        <v>2095</v>
      </c>
      <c r="K46" s="50">
        <f t="shared" si="8"/>
        <v>1690</v>
      </c>
      <c r="L46" s="50">
        <f t="shared" si="8"/>
        <v>842</v>
      </c>
      <c r="M46" s="50">
        <f t="shared" si="8"/>
        <v>-1100</v>
      </c>
      <c r="N46" s="50">
        <f t="shared" si="8"/>
        <v>-2013</v>
      </c>
      <c r="O46" s="50">
        <f t="shared" si="8"/>
        <v>-2087</v>
      </c>
      <c r="P46" s="575">
        <f t="shared" si="8"/>
        <v>-2539</v>
      </c>
    </row>
    <row r="47" spans="2:19">
      <c r="B47" s="1333" t="s">
        <v>556</v>
      </c>
      <c r="C47" s="1334"/>
      <c r="D47" s="1334"/>
      <c r="E47" s="1335"/>
      <c r="F47" s="50">
        <f t="shared" ref="F47:P47" si="9">F43+F41+F40</f>
        <v>6562</v>
      </c>
      <c r="G47" s="50">
        <f t="shared" si="9"/>
        <v>6224</v>
      </c>
      <c r="H47" s="50">
        <f t="shared" si="9"/>
        <v>3811</v>
      </c>
      <c r="I47" s="50">
        <f t="shared" si="9"/>
        <v>3428</v>
      </c>
      <c r="J47" s="50">
        <f t="shared" si="9"/>
        <v>2176</v>
      </c>
      <c r="K47" s="50">
        <f t="shared" si="9"/>
        <v>2304</v>
      </c>
      <c r="L47" s="50">
        <f t="shared" si="9"/>
        <v>2129</v>
      </c>
      <c r="M47" s="50">
        <f t="shared" si="9"/>
        <v>1335</v>
      </c>
      <c r="N47" s="50">
        <f t="shared" si="9"/>
        <v>478</v>
      </c>
      <c r="O47" s="50">
        <f t="shared" si="9"/>
        <v>531</v>
      </c>
      <c r="P47" s="575">
        <f t="shared" si="9"/>
        <v>212</v>
      </c>
      <c r="Q47" s="428" t="s">
        <v>729</v>
      </c>
    </row>
    <row r="48" spans="2:19">
      <c r="B48" s="1336" t="s">
        <v>557</v>
      </c>
      <c r="C48" s="1337"/>
      <c r="D48" s="1337"/>
      <c r="E48" s="1338"/>
      <c r="F48" s="50">
        <f>(F47/1000)/I25</f>
        <v>9.3729467218968722E-3</v>
      </c>
      <c r="G48" s="50">
        <f>(G47/1000)/N25</f>
        <v>8.3041037419240397E-3</v>
      </c>
      <c r="H48" s="50">
        <f>(H47/1000)/S25</f>
        <v>4.8509852993145891E-3</v>
      </c>
      <c r="I48" s="50">
        <f>(I47/1000)/T25</f>
        <v>4.3380368723904411E-3</v>
      </c>
      <c r="J48" s="50"/>
      <c r="K48" s="50"/>
      <c r="L48" s="50"/>
      <c r="M48" s="50"/>
      <c r="N48" s="50"/>
      <c r="O48" s="50"/>
      <c r="P48" s="575"/>
      <c r="Q48" s="428" t="s">
        <v>728</v>
      </c>
    </row>
    <row r="49" spans="2:16">
      <c r="B49" s="1330" t="s">
        <v>727</v>
      </c>
      <c r="C49" s="1331"/>
      <c r="D49" s="1331"/>
      <c r="E49" s="1332"/>
      <c r="F49" s="272">
        <f t="shared" ref="F49:P49" si="10">F46-F47</f>
        <v>1166</v>
      </c>
      <c r="G49" s="272">
        <f t="shared" si="10"/>
        <v>1558</v>
      </c>
      <c r="H49" s="272">
        <f t="shared" si="10"/>
        <v>1105</v>
      </c>
      <c r="I49" s="272">
        <f t="shared" si="10"/>
        <v>1435</v>
      </c>
      <c r="J49" s="272">
        <f t="shared" si="10"/>
        <v>-81</v>
      </c>
      <c r="K49" s="272">
        <f t="shared" si="10"/>
        <v>-614</v>
      </c>
      <c r="L49" s="272">
        <f t="shared" si="10"/>
        <v>-1287</v>
      </c>
      <c r="M49" s="272">
        <f t="shared" si="10"/>
        <v>-2435</v>
      </c>
      <c r="N49" s="272">
        <f t="shared" si="10"/>
        <v>-2491</v>
      </c>
      <c r="O49" s="272">
        <f t="shared" si="10"/>
        <v>-2618</v>
      </c>
      <c r="P49" s="328">
        <f t="shared" si="10"/>
        <v>-2751</v>
      </c>
    </row>
  </sheetData>
  <mergeCells count="30">
    <mergeCell ref="Q23:T23"/>
    <mergeCell ref="D22:I22"/>
    <mergeCell ref="B42:E42"/>
    <mergeCell ref="E7:H7"/>
    <mergeCell ref="B1:Y1"/>
    <mergeCell ref="B2:Y4"/>
    <mergeCell ref="B6:C8"/>
    <mergeCell ref="N6:Y6"/>
    <mergeCell ref="I7:L7"/>
    <mergeCell ref="N7:P7"/>
    <mergeCell ref="Q7:T7"/>
    <mergeCell ref="U7:X7"/>
    <mergeCell ref="D6:M6"/>
    <mergeCell ref="B22:C24"/>
    <mergeCell ref="J22:U22"/>
    <mergeCell ref="E23:H23"/>
    <mergeCell ref="J23:L23"/>
    <mergeCell ref="M23:P23"/>
    <mergeCell ref="B37:E37"/>
    <mergeCell ref="B38:E38"/>
    <mergeCell ref="B39:E39"/>
    <mergeCell ref="B40:E40"/>
    <mergeCell ref="B41:E41"/>
    <mergeCell ref="B49:E49"/>
    <mergeCell ref="B43:E43"/>
    <mergeCell ref="B44:E44"/>
    <mergeCell ref="B45:E45"/>
    <mergeCell ref="B46:E46"/>
    <mergeCell ref="B47:E47"/>
    <mergeCell ref="B48:E4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B27"/>
  <sheetViews>
    <sheetView topLeftCell="E1" zoomScale="159" workbookViewId="0">
      <selection activeCell="R12" sqref="R12:Y12"/>
    </sheetView>
  </sheetViews>
  <sheetFormatPr baseColWidth="10" defaultColWidth="8.83203125" defaultRowHeight="14"/>
  <cols>
    <col min="1" max="1" width="8.83203125" style="333"/>
    <col min="2" max="2" width="57.5" style="333" customWidth="1"/>
    <col min="3" max="3" width="7.5" style="333" bestFit="1" customWidth="1"/>
    <col min="4" max="4" width="8.83203125" style="333" customWidth="1"/>
    <col min="5" max="5" width="9" style="333" customWidth="1"/>
    <col min="6" max="13" width="8.83203125" style="333"/>
    <col min="14" max="14" width="9" style="333" bestFit="1" customWidth="1"/>
    <col min="15" max="16384" width="8.83203125" style="333"/>
  </cols>
  <sheetData>
    <row r="1" spans="2:28">
      <c r="B1" s="1262" t="s">
        <v>406</v>
      </c>
      <c r="C1" s="1262"/>
      <c r="D1" s="1262"/>
      <c r="E1" s="1262"/>
      <c r="F1" s="1262"/>
      <c r="G1" s="1262"/>
      <c r="H1" s="1262"/>
      <c r="I1" s="1262"/>
      <c r="J1" s="1262"/>
      <c r="K1" s="1262"/>
      <c r="L1" s="1262"/>
      <c r="M1" s="1262"/>
      <c r="N1" s="1262"/>
      <c r="O1" s="1262"/>
      <c r="P1" s="1262"/>
      <c r="Q1" s="1262"/>
      <c r="R1" s="1262"/>
      <c r="S1" s="1262"/>
      <c r="T1" s="1262"/>
      <c r="U1" s="1262"/>
      <c r="V1" s="1262"/>
      <c r="W1" s="1262"/>
      <c r="X1" s="1262"/>
      <c r="Y1" s="1262"/>
    </row>
    <row r="2" spans="2:28">
      <c r="B2" s="1244" t="s">
        <v>809</v>
      </c>
      <c r="C2" s="1244"/>
      <c r="D2" s="1244"/>
      <c r="E2" s="1244"/>
      <c r="F2" s="1244"/>
      <c r="G2" s="1244"/>
      <c r="H2" s="1244"/>
      <c r="I2" s="1244"/>
      <c r="J2" s="1244"/>
      <c r="K2" s="1244"/>
      <c r="L2" s="1244"/>
      <c r="M2" s="1244"/>
      <c r="N2" s="1244"/>
      <c r="O2" s="1244"/>
      <c r="P2" s="1244"/>
      <c r="Q2" s="1244"/>
      <c r="R2" s="1244"/>
      <c r="S2" s="1244"/>
      <c r="T2" s="1244"/>
      <c r="U2" s="1244"/>
      <c r="V2" s="1244"/>
      <c r="W2" s="1244"/>
      <c r="X2" s="1244"/>
      <c r="Y2" s="1244"/>
    </row>
    <row r="3" spans="2:28">
      <c r="B3" s="1244"/>
      <c r="C3" s="1244"/>
      <c r="D3" s="1244"/>
      <c r="E3" s="1244"/>
      <c r="F3" s="1244"/>
      <c r="G3" s="1244"/>
      <c r="H3" s="1244"/>
      <c r="I3" s="1244"/>
      <c r="J3" s="1244"/>
      <c r="K3" s="1244"/>
      <c r="L3" s="1244"/>
      <c r="M3" s="1244"/>
      <c r="N3" s="1244"/>
      <c r="O3" s="1244"/>
      <c r="P3" s="1244"/>
      <c r="Q3" s="1244"/>
      <c r="R3" s="1244"/>
      <c r="S3" s="1244"/>
      <c r="T3" s="1244"/>
      <c r="U3" s="1244"/>
      <c r="V3" s="1244"/>
      <c r="W3" s="1244"/>
      <c r="X3" s="1244"/>
      <c r="Y3" s="1244"/>
    </row>
    <row r="4" spans="2:28">
      <c r="B4" s="1244"/>
      <c r="C4" s="1244"/>
      <c r="D4" s="1244"/>
      <c r="E4" s="1244"/>
      <c r="F4" s="1244"/>
      <c r="G4" s="1244"/>
      <c r="H4" s="1244"/>
      <c r="I4" s="1244"/>
      <c r="J4" s="1244"/>
      <c r="K4" s="1244"/>
      <c r="L4" s="1244"/>
      <c r="M4" s="1244"/>
      <c r="N4" s="1244"/>
      <c r="O4" s="1244"/>
      <c r="P4" s="1244"/>
      <c r="Q4" s="1244"/>
      <c r="R4" s="1244"/>
      <c r="S4" s="1244"/>
      <c r="T4" s="1244"/>
      <c r="U4" s="1244"/>
      <c r="V4" s="1244"/>
      <c r="W4" s="1244"/>
      <c r="X4" s="1244"/>
      <c r="Y4" s="1244"/>
    </row>
    <row r="7" spans="2:28" ht="14.5" customHeight="1">
      <c r="B7" s="1245" t="s">
        <v>311</v>
      </c>
      <c r="C7" s="1291"/>
      <c r="D7" s="1316" t="s">
        <v>278</v>
      </c>
      <c r="E7" s="1317"/>
      <c r="F7" s="1317"/>
      <c r="G7" s="1317"/>
      <c r="H7" s="1317"/>
      <c r="I7" s="1317"/>
      <c r="J7" s="1317"/>
      <c r="K7" s="1317"/>
      <c r="L7" s="1317"/>
      <c r="M7" s="1318"/>
      <c r="N7" s="1272" t="s">
        <v>145</v>
      </c>
      <c r="O7" s="1273"/>
      <c r="P7" s="1273"/>
      <c r="Q7" s="1273"/>
      <c r="R7" s="1273"/>
      <c r="S7" s="1273"/>
      <c r="T7" s="1273"/>
      <c r="U7" s="1273"/>
      <c r="V7" s="1273"/>
      <c r="W7" s="1273"/>
      <c r="X7" s="1273"/>
      <c r="Y7" s="1275"/>
      <c r="Z7" s="286"/>
      <c r="AA7" s="304"/>
      <c r="AB7" s="304"/>
    </row>
    <row r="8" spans="2:28">
      <c r="B8" s="1247"/>
      <c r="C8" s="1292"/>
      <c r="D8" s="317">
        <v>2018</v>
      </c>
      <c r="E8" s="1256">
        <v>2019</v>
      </c>
      <c r="F8" s="1257"/>
      <c r="G8" s="1257"/>
      <c r="H8" s="1258"/>
      <c r="I8" s="1256">
        <v>2020</v>
      </c>
      <c r="J8" s="1257"/>
      <c r="K8" s="1257"/>
      <c r="L8" s="1258"/>
      <c r="M8" s="39">
        <v>2021</v>
      </c>
      <c r="N8" s="1269">
        <v>2021</v>
      </c>
      <c r="O8" s="1270"/>
      <c r="P8" s="1271"/>
      <c r="Q8" s="1269">
        <v>2022</v>
      </c>
      <c r="R8" s="1270"/>
      <c r="S8" s="1270"/>
      <c r="T8" s="1271"/>
      <c r="U8" s="1269">
        <v>2023</v>
      </c>
      <c r="V8" s="1270"/>
      <c r="W8" s="1270"/>
      <c r="X8" s="1271"/>
      <c r="Y8" s="77">
        <v>2024</v>
      </c>
      <c r="Z8" s="282"/>
      <c r="AA8" s="282"/>
      <c r="AB8" s="282"/>
    </row>
    <row r="9" spans="2:28">
      <c r="B9" s="1247"/>
      <c r="C9" s="1292"/>
      <c r="D9" s="321" t="s">
        <v>140</v>
      </c>
      <c r="E9" s="312" t="s">
        <v>137</v>
      </c>
      <c r="F9" s="277" t="s">
        <v>138</v>
      </c>
      <c r="G9" s="277" t="s">
        <v>139</v>
      </c>
      <c r="H9" s="287" t="s">
        <v>140</v>
      </c>
      <c r="I9" s="301" t="s">
        <v>137</v>
      </c>
      <c r="J9" s="278" t="s">
        <v>138</v>
      </c>
      <c r="K9" s="278" t="s">
        <v>139</v>
      </c>
      <c r="L9" s="287" t="s">
        <v>140</v>
      </c>
      <c r="M9" s="314" t="s">
        <v>137</v>
      </c>
      <c r="N9" s="207" t="s">
        <v>138</v>
      </c>
      <c r="O9" s="169" t="s">
        <v>139</v>
      </c>
      <c r="P9" s="208" t="s">
        <v>140</v>
      </c>
      <c r="Q9" s="207" t="s">
        <v>137</v>
      </c>
      <c r="R9" s="169" t="s">
        <v>138</v>
      </c>
      <c r="S9" s="169" t="s">
        <v>139</v>
      </c>
      <c r="T9" s="208" t="s">
        <v>140</v>
      </c>
      <c r="U9" s="207" t="s">
        <v>137</v>
      </c>
      <c r="V9" s="169" t="s">
        <v>138</v>
      </c>
      <c r="W9" s="169" t="s">
        <v>139</v>
      </c>
      <c r="X9" s="208" t="s">
        <v>140</v>
      </c>
      <c r="Y9" s="117" t="s">
        <v>137</v>
      </c>
      <c r="Z9" s="295"/>
      <c r="AA9" s="295"/>
      <c r="AB9" s="295"/>
    </row>
    <row r="10" spans="2:28">
      <c r="B10" s="285" t="s">
        <v>449</v>
      </c>
      <c r="C10" s="318"/>
      <c r="D10" s="340">
        <f>SUM(D11:D12)</f>
        <v>753.3</v>
      </c>
      <c r="E10" s="345">
        <f t="shared" ref="E10:M10" si="0">SUM(E11:E12)</f>
        <v>767.4</v>
      </c>
      <c r="F10" s="345">
        <f t="shared" si="0"/>
        <v>779.7</v>
      </c>
      <c r="G10" s="345">
        <f t="shared" si="0"/>
        <v>789.9</v>
      </c>
      <c r="H10" s="345">
        <f t="shared" si="0"/>
        <v>797.9</v>
      </c>
      <c r="I10" s="345">
        <f t="shared" si="0"/>
        <v>804.7</v>
      </c>
      <c r="J10" s="345">
        <f t="shared" si="0"/>
        <v>824.1</v>
      </c>
      <c r="K10" s="345">
        <f t="shared" si="0"/>
        <v>842.7</v>
      </c>
      <c r="L10" s="345">
        <f t="shared" si="0"/>
        <v>860.6</v>
      </c>
      <c r="M10" s="346">
        <f t="shared" si="0"/>
        <v>880.1</v>
      </c>
      <c r="N10" s="294">
        <f>SUM(N11:N12)</f>
        <v>895.70157498646347</v>
      </c>
      <c r="O10" s="310">
        <f t="shared" ref="O10:Y10" si="1">SUM(O11:O12)</f>
        <v>911.5797198423262</v>
      </c>
      <c r="P10" s="310">
        <f t="shared" si="1"/>
        <v>928.62428642880502</v>
      </c>
      <c r="Q10" s="310">
        <f t="shared" si="1"/>
        <v>929.9875494976618</v>
      </c>
      <c r="R10" s="310">
        <f t="shared" si="1"/>
        <v>947.6754679829279</v>
      </c>
      <c r="S10" s="310">
        <f t="shared" si="1"/>
        <v>965.69411223779593</v>
      </c>
      <c r="T10" s="310">
        <f t="shared" si="1"/>
        <v>984.02183727713145</v>
      </c>
      <c r="U10" s="310">
        <f t="shared" si="1"/>
        <v>1002.6917315328554</v>
      </c>
      <c r="V10" s="310">
        <f t="shared" si="1"/>
        <v>1021.7101831285561</v>
      </c>
      <c r="W10" s="310">
        <f t="shared" si="1"/>
        <v>1041.0836994508093</v>
      </c>
      <c r="X10" s="310">
        <f t="shared" si="1"/>
        <v>1060.5365906011345</v>
      </c>
      <c r="Y10" s="299">
        <f t="shared" si="1"/>
        <v>1080.3474618946623</v>
      </c>
      <c r="Z10" s="71"/>
      <c r="AA10" s="68"/>
      <c r="AB10" s="68"/>
    </row>
    <row r="11" spans="2:28" ht="15">
      <c r="B11" s="138" t="s">
        <v>406</v>
      </c>
      <c r="C11" s="309" t="s">
        <v>226</v>
      </c>
      <c r="D11" s="289">
        <f>'Haver Pivoted'!GO12</f>
        <v>753.3</v>
      </c>
      <c r="E11" s="290">
        <f>'Haver Pivoted'!GP12</f>
        <v>767.4</v>
      </c>
      <c r="F11" s="290">
        <f>'Haver Pivoted'!GQ12</f>
        <v>779.7</v>
      </c>
      <c r="G11" s="290">
        <f>'Haver Pivoted'!GR12</f>
        <v>789.9</v>
      </c>
      <c r="H11" s="290">
        <f>'Haver Pivoted'!GS12</f>
        <v>797.9</v>
      </c>
      <c r="I11" s="290">
        <f>'Haver Pivoted'!GT12</f>
        <v>804.7</v>
      </c>
      <c r="J11" s="290">
        <f>'Haver Pivoted'!GU12</f>
        <v>824.1</v>
      </c>
      <c r="K11" s="290">
        <f>'Haver Pivoted'!GV12</f>
        <v>842.7</v>
      </c>
      <c r="L11" s="290">
        <f>'Haver Pivoted'!GW12</f>
        <v>860.6</v>
      </c>
      <c r="M11" s="319">
        <f>'Haver Pivoted'!GX12</f>
        <v>880.1</v>
      </c>
      <c r="N11" s="283">
        <f t="shared" ref="N11:Y11" si="2">M11*(1+N15)</f>
        <v>895.70157498646347</v>
      </c>
      <c r="O11" s="303">
        <f t="shared" si="2"/>
        <v>911.5797198423262</v>
      </c>
      <c r="P11" s="303">
        <f t="shared" si="2"/>
        <v>928.62428642880502</v>
      </c>
      <c r="Q11" s="303">
        <f t="shared" si="2"/>
        <v>945.9875494976618</v>
      </c>
      <c r="R11" s="303">
        <f t="shared" si="2"/>
        <v>963.6754679829279</v>
      </c>
      <c r="S11" s="303">
        <f t="shared" si="2"/>
        <v>981.69411223779593</v>
      </c>
      <c r="T11" s="303">
        <f>S11*(1+T15)</f>
        <v>1000.0218372771315</v>
      </c>
      <c r="U11" s="303">
        <f t="shared" si="2"/>
        <v>1018.6917315328554</v>
      </c>
      <c r="V11" s="303">
        <f t="shared" si="2"/>
        <v>1037.7101831285561</v>
      </c>
      <c r="W11" s="303">
        <f t="shared" si="2"/>
        <v>1057.0836994508093</v>
      </c>
      <c r="X11" s="303">
        <f t="shared" si="2"/>
        <v>1076.5365906011345</v>
      </c>
      <c r="Y11" s="297">
        <f t="shared" si="2"/>
        <v>1096.3474618946623</v>
      </c>
      <c r="Z11" s="71"/>
      <c r="AA11" s="68"/>
      <c r="AB11" s="68"/>
    </row>
    <row r="12" spans="2:28" ht="15">
      <c r="B12" s="363" t="s">
        <v>558</v>
      </c>
      <c r="C12" s="365"/>
      <c r="D12" s="298"/>
      <c r="E12" s="358"/>
      <c r="F12" s="358"/>
      <c r="G12" s="358"/>
      <c r="H12" s="358"/>
      <c r="I12" s="358"/>
      <c r="J12" s="358"/>
      <c r="K12" s="358"/>
      <c r="L12" s="358"/>
      <c r="M12" s="360"/>
      <c r="N12" s="325"/>
      <c r="O12" s="324"/>
      <c r="P12" s="324"/>
      <c r="Q12" s="324">
        <f>-'Monthly Personal Income'!L31</f>
        <v>-16</v>
      </c>
      <c r="R12" s="324">
        <f>Q12</f>
        <v>-16</v>
      </c>
      <c r="S12" s="324">
        <f t="shared" ref="S12:Y12" si="3">R12</f>
        <v>-16</v>
      </c>
      <c r="T12" s="324">
        <f t="shared" si="3"/>
        <v>-16</v>
      </c>
      <c r="U12" s="324">
        <f t="shared" si="3"/>
        <v>-16</v>
      </c>
      <c r="V12" s="324">
        <f t="shared" si="3"/>
        <v>-16</v>
      </c>
      <c r="W12" s="324">
        <f t="shared" si="3"/>
        <v>-16</v>
      </c>
      <c r="X12" s="324">
        <f t="shared" si="3"/>
        <v>-16</v>
      </c>
      <c r="Y12" s="324">
        <f t="shared" si="3"/>
        <v>-16</v>
      </c>
      <c r="Z12" s="71"/>
      <c r="AA12" s="68"/>
      <c r="AB12" s="68"/>
    </row>
    <row r="13" spans="2:28">
      <c r="B13" s="302"/>
      <c r="C13" s="322"/>
      <c r="D13" s="350"/>
      <c r="E13" s="351"/>
      <c r="F13" s="351"/>
      <c r="G13" s="351"/>
      <c r="H13" s="290"/>
      <c r="I13" s="290"/>
      <c r="J13" s="290"/>
      <c r="K13" s="290"/>
      <c r="L13" s="290"/>
      <c r="M13" s="319"/>
      <c r="N13" s="308"/>
      <c r="O13" s="293"/>
      <c r="P13" s="293"/>
      <c r="Q13" s="293"/>
      <c r="R13" s="293"/>
      <c r="S13" s="293"/>
      <c r="T13" s="293"/>
      <c r="U13" s="293"/>
      <c r="V13" s="293"/>
      <c r="W13" s="293"/>
      <c r="X13" s="293"/>
      <c r="Y13" s="349"/>
      <c r="Z13" s="36"/>
    </row>
    <row r="14" spans="2:28">
      <c r="B14" s="311"/>
      <c r="C14" s="322"/>
      <c r="D14" s="350"/>
      <c r="E14" s="351"/>
      <c r="F14" s="351"/>
      <c r="G14" s="351"/>
      <c r="H14" s="290"/>
      <c r="I14" s="290"/>
      <c r="J14" s="290"/>
      <c r="K14" s="290"/>
      <c r="L14" s="290"/>
      <c r="M14" s="319"/>
      <c r="N14" s="308"/>
      <c r="O14" s="293"/>
      <c r="P14" s="293"/>
      <c r="Q14" s="293"/>
      <c r="R14" s="293"/>
      <c r="S14" s="293"/>
      <c r="T14" s="293"/>
      <c r="U14" s="293"/>
      <c r="V14" s="293"/>
      <c r="W14" s="293"/>
      <c r="X14" s="293"/>
      <c r="Y14" s="349"/>
      <c r="Z14" s="36"/>
    </row>
    <row r="15" spans="2:28">
      <c r="B15" s="300" t="s">
        <v>452</v>
      </c>
      <c r="C15" s="281"/>
      <c r="D15" s="357"/>
      <c r="E15" s="361"/>
      <c r="F15" s="361"/>
      <c r="G15" s="361"/>
      <c r="H15" s="361"/>
      <c r="I15" s="361"/>
      <c r="J15" s="356"/>
      <c r="K15" s="356"/>
      <c r="L15" s="356"/>
      <c r="M15" s="337"/>
      <c r="N15" s="355">
        <f>(1 + $E$27)^0.25-1</f>
        <v>1.7727048047339489E-2</v>
      </c>
      <c r="O15" s="355">
        <f t="shared" ref="O15" si="4">(1 + $E$27)^0.25-1</f>
        <v>1.7727048047339489E-2</v>
      </c>
      <c r="P15" s="355">
        <f>(1 + $F$27)^0.25-1</f>
        <v>1.8697834336888208E-2</v>
      </c>
      <c r="Q15" s="338">
        <f>(1 +$F$27)^0.25-1</f>
        <v>1.8697834336888208E-2</v>
      </c>
      <c r="R15" s="338">
        <f t="shared" ref="R15:S15" si="5">(1 +$F$27)^0.25-1</f>
        <v>1.8697834336888208E-2</v>
      </c>
      <c r="S15" s="338">
        <f t="shared" si="5"/>
        <v>1.8697834336888208E-2</v>
      </c>
      <c r="T15" s="338">
        <f>(1 +$G$27)^0.25-1</f>
        <v>1.8669486564971915E-2</v>
      </c>
      <c r="U15" s="338">
        <f>(1 +$G$27)^0.25-1</f>
        <v>1.8669486564971915E-2</v>
      </c>
      <c r="V15" s="338">
        <f>(1 +$G$27)^0.25-1</f>
        <v>1.8669486564971915E-2</v>
      </c>
      <c r="W15" s="338">
        <f>(1 +$G$27)^0.25-1</f>
        <v>1.8669486564971915E-2</v>
      </c>
      <c r="X15" s="338">
        <f>(1 +$H$27)^0.25-1</f>
        <v>1.8402413319240196E-2</v>
      </c>
      <c r="Y15" s="338">
        <f>(1 +$H$27)^0.25-1</f>
        <v>1.8402413319240196E-2</v>
      </c>
      <c r="Z15" s="36"/>
    </row>
    <row r="16" spans="2:28">
      <c r="B16" s="323"/>
      <c r="C16" s="292"/>
      <c r="D16" s="292"/>
      <c r="E16" s="292"/>
      <c r="F16" s="292"/>
      <c r="G16" s="292"/>
      <c r="H16" s="292"/>
      <c r="I16" s="292"/>
      <c r="J16" s="284"/>
      <c r="K16" s="284"/>
      <c r="L16" s="284"/>
      <c r="M16" s="284"/>
      <c r="N16" s="284"/>
      <c r="O16" s="284"/>
      <c r="P16" s="284"/>
      <c r="Q16" s="284"/>
      <c r="R16" s="284"/>
      <c r="S16" s="284"/>
      <c r="T16" s="284"/>
      <c r="U16" s="284"/>
      <c r="V16" s="284"/>
      <c r="W16" s="284"/>
      <c r="X16" s="284"/>
      <c r="Y16" s="284"/>
    </row>
    <row r="18" spans="2:17">
      <c r="B18" s="348" t="s">
        <v>447</v>
      </c>
      <c r="C18" s="348">
        <v>2019</v>
      </c>
      <c r="D18" s="362">
        <v>2020</v>
      </c>
      <c r="E18" s="362">
        <v>2021</v>
      </c>
      <c r="F18" s="362">
        <v>2022</v>
      </c>
      <c r="G18" s="362">
        <v>2023</v>
      </c>
      <c r="H18" s="347">
        <v>2024</v>
      </c>
    </row>
    <row r="19" spans="2:17" ht="21" customHeight="1">
      <c r="B19" s="316" t="s">
        <v>453</v>
      </c>
      <c r="C19" s="359">
        <v>775</v>
      </c>
      <c r="D19" s="341">
        <v>916.94899999999996</v>
      </c>
      <c r="E19" s="341">
        <v>830.23699999999997</v>
      </c>
      <c r="F19" s="341">
        <v>942.86400000000003</v>
      </c>
      <c r="G19" s="341">
        <v>1017.717</v>
      </c>
      <c r="H19" s="330">
        <v>1047.1569999999999</v>
      </c>
      <c r="I19" s="320"/>
      <c r="J19" s="320"/>
      <c r="K19" s="320"/>
      <c r="L19" s="320"/>
      <c r="M19" s="320"/>
      <c r="N19" s="320"/>
      <c r="O19" s="320"/>
    </row>
    <row r="20" spans="2:17">
      <c r="B20" s="428" t="s">
        <v>805</v>
      </c>
      <c r="C20" s="428"/>
      <c r="D20" s="428">
        <v>47</v>
      </c>
      <c r="E20" s="428">
        <v>-46</v>
      </c>
      <c r="F20" s="428"/>
      <c r="G20" s="428"/>
      <c r="H20" s="428"/>
      <c r="I20" s="428"/>
      <c r="J20" s="428"/>
      <c r="K20" s="428"/>
      <c r="L20" s="428"/>
      <c r="M20" s="428"/>
      <c r="N20" s="1069"/>
      <c r="O20" s="451"/>
      <c r="P20" s="451"/>
      <c r="Q20" s="451"/>
    </row>
    <row r="21" spans="2:17">
      <c r="B21" s="428" t="s">
        <v>806</v>
      </c>
      <c r="C21" s="1070">
        <f>C19-C20</f>
        <v>775</v>
      </c>
      <c r="D21" s="1070">
        <f t="shared" ref="D21:H21" si="6">D19-D20</f>
        <v>869.94899999999996</v>
      </c>
      <c r="E21" s="1070">
        <f t="shared" si="6"/>
        <v>876.23699999999997</v>
      </c>
      <c r="F21" s="1070">
        <f t="shared" si="6"/>
        <v>942.86400000000003</v>
      </c>
      <c r="G21" s="1070">
        <f t="shared" si="6"/>
        <v>1017.717</v>
      </c>
      <c r="H21" s="1070">
        <f t="shared" si="6"/>
        <v>1047.1569999999999</v>
      </c>
      <c r="I21" s="428"/>
      <c r="J21" s="428"/>
      <c r="K21" s="428"/>
      <c r="L21" s="428"/>
      <c r="M21" s="428"/>
      <c r="N21" s="428"/>
      <c r="O21" s="428"/>
      <c r="P21" s="428"/>
      <c r="Q21" s="428"/>
    </row>
    <row r="22" spans="2:17">
      <c r="B22" s="428" t="s">
        <v>807</v>
      </c>
      <c r="C22" s="1071">
        <f>AVERAGE(D10:G10)</f>
        <v>772.57499999999993</v>
      </c>
      <c r="D22" s="1071">
        <f>AVERAGE(H10:K10)</f>
        <v>817.34999999999991</v>
      </c>
      <c r="E22" s="1070"/>
      <c r="F22" s="428"/>
      <c r="G22" s="428"/>
      <c r="H22" s="428"/>
      <c r="I22" s="428"/>
      <c r="J22" s="428"/>
      <c r="K22" s="428"/>
      <c r="L22" s="428"/>
      <c r="M22" s="428"/>
      <c r="N22" s="428"/>
      <c r="O22" s="428"/>
      <c r="P22" s="428"/>
      <c r="Q22" s="428"/>
    </row>
    <row r="23" spans="2:17">
      <c r="B23" s="428"/>
      <c r="C23" s="428"/>
      <c r="D23" s="1070">
        <f>D22/C22</f>
        <v>1.0579555382972528</v>
      </c>
      <c r="E23" s="428"/>
      <c r="F23" s="428"/>
      <c r="G23" s="428"/>
      <c r="H23" s="428"/>
      <c r="I23" s="428"/>
      <c r="J23" s="428"/>
      <c r="K23" s="428"/>
      <c r="L23" s="428"/>
      <c r="M23" s="428"/>
      <c r="N23" s="428"/>
      <c r="O23" s="428"/>
      <c r="P23" s="428"/>
      <c r="Q23" s="428"/>
    </row>
    <row r="24" spans="2:17">
      <c r="B24" s="428"/>
      <c r="C24" s="1072"/>
      <c r="D24" s="428"/>
      <c r="E24" s="428"/>
      <c r="F24" s="428"/>
      <c r="G24" s="428"/>
      <c r="H24" s="428"/>
      <c r="I24" s="428"/>
      <c r="J24" s="428"/>
      <c r="K24" s="428"/>
      <c r="L24" s="428"/>
      <c r="M24" s="428"/>
      <c r="N24" s="428"/>
      <c r="O24" s="428"/>
      <c r="P24" s="428"/>
      <c r="Q24" s="428"/>
    </row>
    <row r="25" spans="2:17">
      <c r="B25" s="428"/>
      <c r="C25" s="428"/>
      <c r="D25" s="428"/>
      <c r="E25" s="428"/>
      <c r="F25" s="428"/>
      <c r="G25" s="428"/>
      <c r="H25" s="428"/>
      <c r="I25" s="428"/>
      <c r="J25" s="428"/>
      <c r="K25" s="428"/>
      <c r="L25" s="428"/>
      <c r="M25" s="428"/>
      <c r="N25" s="428"/>
      <c r="O25" s="428"/>
      <c r="P25" s="428"/>
      <c r="Q25" s="428"/>
    </row>
    <row r="26" spans="2:17">
      <c r="B26" s="428" t="s">
        <v>808</v>
      </c>
      <c r="C26" s="1073">
        <v>775.32100000000003</v>
      </c>
      <c r="D26" s="1073">
        <v>834.85699999999997</v>
      </c>
      <c r="E26" s="1073">
        <v>895.64800000000002</v>
      </c>
      <c r="F26" s="1073">
        <v>964.53700000000003</v>
      </c>
      <c r="G26" s="1073">
        <v>1038.6089999999999</v>
      </c>
      <c r="H26" s="1073">
        <v>1117.1969999999999</v>
      </c>
      <c r="I26" s="1073">
        <v>1200.6600000000001</v>
      </c>
      <c r="J26" s="1073">
        <v>1286.6790000000001</v>
      </c>
      <c r="K26" s="428"/>
      <c r="L26" s="428"/>
      <c r="M26" s="428"/>
      <c r="N26" s="428"/>
      <c r="O26" s="428"/>
      <c r="P26" s="428"/>
      <c r="Q26" s="428"/>
    </row>
    <row r="27" spans="2:17">
      <c r="B27" s="428"/>
      <c r="C27" s="428"/>
      <c r="D27" s="428">
        <f>D26/C26-1</f>
        <v>7.6788839719290403E-2</v>
      </c>
      <c r="E27" s="428">
        <f>E26/D26-1</f>
        <v>7.2816063110209273E-2</v>
      </c>
      <c r="F27" s="428">
        <f>F26/E26-1</f>
        <v>7.6915261352674236E-2</v>
      </c>
      <c r="G27" s="428">
        <f t="shared" ref="G27:J27" si="7">G26/F26-1</f>
        <v>7.6795395096300068E-2</v>
      </c>
      <c r="H27" s="428">
        <f t="shared" si="7"/>
        <v>7.5666588677741009E-2</v>
      </c>
      <c r="I27" s="428">
        <f t="shared" si="7"/>
        <v>7.4707504585135975E-2</v>
      </c>
      <c r="J27" s="428">
        <f t="shared" si="7"/>
        <v>7.164309629703669E-2</v>
      </c>
      <c r="K27" s="428"/>
      <c r="L27" s="428"/>
      <c r="M27" s="428"/>
      <c r="N27" s="428"/>
      <c r="O27" s="428"/>
      <c r="P27" s="428"/>
      <c r="Q27" s="428"/>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U55"/>
  <sheetViews>
    <sheetView topLeftCell="A7" zoomScale="150" workbookViewId="0">
      <selection activeCell="J11" sqref="J11"/>
    </sheetView>
  </sheetViews>
  <sheetFormatPr baseColWidth="10" defaultColWidth="8.83203125" defaultRowHeight="15"/>
  <cols>
    <col min="1" max="1" width="6" customWidth="1"/>
    <col min="2" max="2" width="29.6640625" customWidth="1"/>
    <col min="3" max="3" width="10.6640625" customWidth="1"/>
  </cols>
  <sheetData>
    <row r="1" spans="1:21">
      <c r="B1" s="1262" t="s">
        <v>133</v>
      </c>
      <c r="C1" s="1262"/>
      <c r="D1" s="1262"/>
      <c r="E1" s="1262"/>
      <c r="F1" s="1262"/>
      <c r="G1" s="1262"/>
      <c r="H1" s="1262"/>
      <c r="I1" s="1262"/>
      <c r="J1" s="1262"/>
      <c r="K1" s="1262"/>
      <c r="L1" s="1262"/>
      <c r="M1" s="1262"/>
      <c r="N1" s="1262"/>
      <c r="O1" s="1262"/>
      <c r="P1" s="1262"/>
      <c r="Q1" s="1262"/>
      <c r="R1" s="1262"/>
      <c r="S1" s="1262"/>
      <c r="T1" s="1262"/>
      <c r="U1" s="1262"/>
    </row>
    <row r="2" spans="1:21">
      <c r="B2" s="1244" t="s">
        <v>689</v>
      </c>
      <c r="C2" s="1244"/>
      <c r="D2" s="1244"/>
      <c r="E2" s="1244"/>
      <c r="F2" s="1244"/>
      <c r="G2" s="1244"/>
      <c r="H2" s="1244"/>
      <c r="I2" s="1244"/>
      <c r="J2" s="1244"/>
      <c r="K2" s="1244"/>
      <c r="L2" s="1244"/>
      <c r="M2" s="1244"/>
      <c r="N2" s="1244"/>
      <c r="O2" s="1244"/>
      <c r="P2" s="1244"/>
      <c r="Q2" s="1244"/>
      <c r="R2" s="1244"/>
      <c r="S2" s="1244"/>
      <c r="T2" s="1244"/>
      <c r="U2" s="1244"/>
    </row>
    <row r="3" spans="1:21">
      <c r="B3" s="1244"/>
      <c r="C3" s="1244"/>
      <c r="D3" s="1244"/>
      <c r="E3" s="1244"/>
      <c r="F3" s="1244"/>
      <c r="G3" s="1244"/>
      <c r="H3" s="1244"/>
      <c r="I3" s="1244"/>
      <c r="J3" s="1244"/>
      <c r="K3" s="1244"/>
      <c r="L3" s="1244"/>
      <c r="M3" s="1244"/>
      <c r="N3" s="1244"/>
      <c r="O3" s="1244"/>
      <c r="P3" s="1244"/>
      <c r="Q3" s="1244"/>
      <c r="R3" s="1244"/>
      <c r="S3" s="1244"/>
      <c r="T3" s="1244"/>
      <c r="U3" s="1244"/>
    </row>
    <row r="4" spans="1:21">
      <c r="B4" s="1244"/>
      <c r="C4" s="1244"/>
      <c r="D4" s="1244"/>
      <c r="E4" s="1244"/>
      <c r="F4" s="1244"/>
      <c r="G4" s="1244"/>
      <c r="H4" s="1244"/>
      <c r="I4" s="1244"/>
      <c r="J4" s="1244"/>
      <c r="K4" s="1244"/>
      <c r="L4" s="1244"/>
      <c r="M4" s="1244"/>
      <c r="N4" s="1244"/>
      <c r="O4" s="1244"/>
      <c r="P4" s="1244"/>
      <c r="Q4" s="1244"/>
      <c r="R4" s="1244"/>
      <c r="S4" s="1244"/>
      <c r="T4" s="1244"/>
      <c r="U4" s="1244"/>
    </row>
    <row r="5" spans="1:21">
      <c r="B5" s="245"/>
      <c r="C5" s="37"/>
      <c r="D5" s="37"/>
      <c r="E5" s="37"/>
      <c r="F5" s="37"/>
      <c r="G5" s="37"/>
      <c r="H5" s="37"/>
      <c r="I5" s="37"/>
      <c r="J5" s="37"/>
      <c r="K5" s="37"/>
      <c r="L5" s="37"/>
      <c r="M5" s="37"/>
      <c r="N5" s="37"/>
      <c r="O5" s="37"/>
      <c r="P5" s="37"/>
      <c r="Q5" s="37"/>
      <c r="R5" s="37"/>
      <c r="S5" s="37"/>
      <c r="T5" s="37"/>
      <c r="U5" s="37"/>
    </row>
    <row r="6" spans="1:21">
      <c r="B6" s="1245" t="s">
        <v>311</v>
      </c>
      <c r="C6" s="1246"/>
      <c r="D6" s="1251" t="s">
        <v>278</v>
      </c>
      <c r="E6" s="1252"/>
      <c r="F6" s="1252"/>
      <c r="G6" s="1252"/>
      <c r="H6" s="1252"/>
      <c r="I6" s="1252"/>
      <c r="J6" s="1272" t="s">
        <v>145</v>
      </c>
      <c r="K6" s="1273"/>
      <c r="L6" s="1273"/>
      <c r="M6" s="1273"/>
      <c r="N6" s="1273"/>
      <c r="O6" s="1273"/>
      <c r="P6" s="1273"/>
      <c r="Q6" s="1273"/>
      <c r="R6" s="1273"/>
      <c r="S6" s="1273"/>
      <c r="T6" s="1273"/>
      <c r="U6" s="1275"/>
    </row>
    <row r="7" spans="1:21">
      <c r="B7" s="1247"/>
      <c r="C7" s="1248"/>
      <c r="D7" s="105">
        <v>2019</v>
      </c>
      <c r="E7" s="1256">
        <v>2020</v>
      </c>
      <c r="F7" s="1257"/>
      <c r="G7" s="1257"/>
      <c r="H7" s="1258"/>
      <c r="I7" s="104">
        <v>2021</v>
      </c>
      <c r="J7" s="1269">
        <v>2021</v>
      </c>
      <c r="K7" s="1270"/>
      <c r="L7" s="1271"/>
      <c r="M7" s="1269">
        <v>2022</v>
      </c>
      <c r="N7" s="1270"/>
      <c r="O7" s="1270"/>
      <c r="P7" s="1270"/>
      <c r="Q7" s="1269">
        <v>2023</v>
      </c>
      <c r="R7" s="1270"/>
      <c r="S7" s="1270"/>
      <c r="T7" s="1270"/>
      <c r="U7" s="77">
        <v>2024</v>
      </c>
    </row>
    <row r="8" spans="1:21">
      <c r="B8" s="1249"/>
      <c r="C8" s="1250"/>
      <c r="D8" s="43" t="s">
        <v>140</v>
      </c>
      <c r="E8" s="41" t="s">
        <v>137</v>
      </c>
      <c r="F8" s="42" t="s">
        <v>138</v>
      </c>
      <c r="G8" s="42" t="s">
        <v>139</v>
      </c>
      <c r="H8" s="43" t="s">
        <v>140</v>
      </c>
      <c r="I8" s="41" t="s">
        <v>137</v>
      </c>
      <c r="J8" s="78" t="s">
        <v>138</v>
      </c>
      <c r="K8" s="79" t="s">
        <v>139</v>
      </c>
      <c r="L8" s="80" t="s">
        <v>140</v>
      </c>
      <c r="M8" s="78" t="s">
        <v>137</v>
      </c>
      <c r="N8" s="79" t="s">
        <v>138</v>
      </c>
      <c r="O8" s="79" t="s">
        <v>139</v>
      </c>
      <c r="P8" s="79" t="s">
        <v>140</v>
      </c>
      <c r="Q8" s="78" t="s">
        <v>137</v>
      </c>
      <c r="R8" s="79" t="s">
        <v>138</v>
      </c>
      <c r="S8" s="79" t="s">
        <v>139</v>
      </c>
      <c r="T8" s="79" t="s">
        <v>140</v>
      </c>
      <c r="U8" s="81" t="s">
        <v>137</v>
      </c>
    </row>
    <row r="9" spans="1:21">
      <c r="B9" s="259" t="s">
        <v>133</v>
      </c>
      <c r="C9" s="260" t="s">
        <v>257</v>
      </c>
      <c r="D9" s="260"/>
      <c r="E9" s="260"/>
      <c r="F9" s="260">
        <f>'Haver Pivoted'!GU45</f>
        <v>1078.0999999999999</v>
      </c>
      <c r="G9" s="260">
        <f>'Haver Pivoted'!GV45</f>
        <v>15.6</v>
      </c>
      <c r="H9" s="260">
        <f>'Haver Pivoted'!GW45</f>
        <v>5</v>
      </c>
      <c r="I9" s="260">
        <f>'Haver Pivoted'!GX45</f>
        <v>1933.7</v>
      </c>
      <c r="J9" s="260"/>
      <c r="K9" s="260"/>
      <c r="L9" s="260"/>
      <c r="M9" s="260"/>
      <c r="N9" s="260"/>
      <c r="O9" s="260"/>
      <c r="P9" s="260"/>
      <c r="Q9" s="260"/>
      <c r="R9" s="260"/>
      <c r="S9" s="260"/>
      <c r="T9" s="260"/>
      <c r="U9" s="261"/>
    </row>
    <row r="10" spans="1:21">
      <c r="B10" s="262" t="s">
        <v>491</v>
      </c>
      <c r="C10" s="263"/>
      <c r="D10" s="263"/>
      <c r="E10" s="263"/>
      <c r="F10" s="263"/>
      <c r="G10" s="263"/>
      <c r="H10" s="263"/>
      <c r="I10" s="263">
        <f>I9-I11</f>
        <v>1348.1</v>
      </c>
      <c r="J10" s="263">
        <f>'Monthly Personal Income'!L42</f>
        <v>272</v>
      </c>
      <c r="K10" s="263"/>
      <c r="L10" s="263"/>
      <c r="M10" s="263">
        <f>'ARP Score'!B6*4/2</f>
        <v>34.93</v>
      </c>
      <c r="N10" s="263">
        <f>'ARP Score'!B6*4/2</f>
        <v>34.93</v>
      </c>
      <c r="O10" s="263"/>
      <c r="P10" s="263"/>
      <c r="Q10" s="263"/>
      <c r="R10" s="263"/>
      <c r="S10" s="263"/>
      <c r="T10" s="263"/>
      <c r="U10" s="264"/>
    </row>
    <row r="11" spans="1:21" s="106" customFormat="1">
      <c r="B11" s="265" t="s">
        <v>550</v>
      </c>
      <c r="C11" s="266"/>
      <c r="D11" s="266"/>
      <c r="E11" s="266"/>
      <c r="F11" s="266">
        <f t="shared" ref="F11:H11" si="0">F9-F10</f>
        <v>1078.0999999999999</v>
      </c>
      <c r="G11" s="266">
        <f t="shared" si="0"/>
        <v>15.6</v>
      </c>
      <c r="H11" s="266">
        <f t="shared" si="0"/>
        <v>5</v>
      </c>
      <c r="I11" s="266">
        <f>SUM(C17:D17)/12*4</f>
        <v>585.6</v>
      </c>
      <c r="J11" s="266"/>
      <c r="K11" s="266"/>
      <c r="L11" s="266"/>
      <c r="M11" s="266"/>
      <c r="N11" s="266"/>
      <c r="O11" s="266"/>
      <c r="P11" s="266"/>
      <c r="Q11" s="266"/>
      <c r="R11" s="266"/>
      <c r="S11" s="266"/>
      <c r="T11" s="266"/>
      <c r="U11" s="267"/>
    </row>
    <row r="12" spans="1:21">
      <c r="B12" s="37"/>
      <c r="C12" s="37"/>
      <c r="D12" s="37"/>
      <c r="E12" s="37"/>
      <c r="F12" s="37"/>
      <c r="G12" s="37"/>
      <c r="H12" s="37"/>
      <c r="I12" s="37"/>
      <c r="J12" s="37"/>
      <c r="K12" s="37"/>
      <c r="L12" s="37"/>
      <c r="M12" s="37"/>
      <c r="N12" s="37"/>
      <c r="O12" s="37"/>
      <c r="P12" s="37"/>
      <c r="Q12" s="37"/>
      <c r="R12" s="37"/>
      <c r="S12" s="37"/>
      <c r="T12" s="37"/>
      <c r="U12" s="37"/>
    </row>
    <row r="13" spans="1:21">
      <c r="A13" s="1360"/>
      <c r="B13" s="1360"/>
      <c r="C13" s="1360"/>
      <c r="D13" s="1360"/>
      <c r="E13" s="1360"/>
      <c r="F13" s="1360"/>
      <c r="G13" s="1360"/>
      <c r="H13" s="703"/>
      <c r="I13" s="703"/>
      <c r="J13" s="703"/>
      <c r="K13" s="279"/>
      <c r="L13" s="279"/>
      <c r="M13" s="279"/>
      <c r="N13" s="279"/>
      <c r="O13" s="279"/>
      <c r="P13" s="37"/>
      <c r="Q13" s="37"/>
      <c r="R13" s="37"/>
      <c r="S13" s="37"/>
      <c r="T13" s="37"/>
      <c r="U13" s="37"/>
    </row>
    <row r="14" spans="1:21">
      <c r="A14" s="702"/>
      <c r="B14" s="279"/>
      <c r="C14" s="410"/>
      <c r="D14" s="410"/>
      <c r="E14" s="410"/>
      <c r="F14" s="410"/>
      <c r="G14" s="410"/>
      <c r="H14" s="410"/>
      <c r="I14" s="410"/>
      <c r="J14" s="1354"/>
      <c r="K14" s="1354"/>
      <c r="L14" s="1354"/>
      <c r="M14" s="1354"/>
      <c r="N14" s="1354"/>
      <c r="O14" s="1354"/>
      <c r="P14" s="37"/>
      <c r="Q14" s="37"/>
      <c r="R14" s="37"/>
      <c r="S14" s="37"/>
      <c r="T14" s="37"/>
      <c r="U14" s="37"/>
    </row>
    <row r="15" spans="1:21">
      <c r="A15" s="589"/>
      <c r="B15" s="1355" t="s">
        <v>688</v>
      </c>
      <c r="C15" s="1357">
        <v>2021</v>
      </c>
      <c r="D15" s="1358"/>
      <c r="E15" s="1358"/>
      <c r="F15" s="1359"/>
      <c r="G15" s="1354"/>
      <c r="H15" s="1354"/>
      <c r="I15" s="1354"/>
      <c r="J15" s="1354"/>
      <c r="K15" s="1354"/>
      <c r="L15" s="1354"/>
      <c r="M15" s="37"/>
      <c r="N15" s="37"/>
      <c r="O15" s="37"/>
      <c r="P15" s="37"/>
      <c r="Q15" s="37"/>
      <c r="R15" s="37"/>
    </row>
    <row r="16" spans="1:21">
      <c r="A16" s="279"/>
      <c r="B16" s="1356"/>
      <c r="C16" s="708" t="s">
        <v>546</v>
      </c>
      <c r="D16" s="709" t="s">
        <v>547</v>
      </c>
      <c r="E16" s="709" t="s">
        <v>548</v>
      </c>
      <c r="F16" s="710" t="s">
        <v>549</v>
      </c>
      <c r="G16" s="589"/>
      <c r="H16" s="589"/>
      <c r="I16" s="589"/>
      <c r="J16" s="589"/>
      <c r="K16" s="589"/>
      <c r="L16" s="589"/>
      <c r="M16" s="37"/>
      <c r="N16" s="37"/>
      <c r="O16" s="37"/>
      <c r="P16" s="37"/>
      <c r="Q16" s="37"/>
      <c r="R16" s="37"/>
    </row>
    <row r="17" spans="1:21" ht="17">
      <c r="A17" s="279"/>
      <c r="B17" s="707" t="s">
        <v>686</v>
      </c>
      <c r="C17" s="705">
        <v>1660.9</v>
      </c>
      <c r="D17" s="705">
        <v>95.9</v>
      </c>
      <c r="E17" s="705">
        <v>4044.2</v>
      </c>
      <c r="F17" s="706">
        <v>688</v>
      </c>
      <c r="G17" s="704"/>
      <c r="H17" s="704"/>
      <c r="I17" s="704"/>
      <c r="J17" s="704"/>
      <c r="K17" s="704"/>
      <c r="L17" s="704"/>
      <c r="M17" s="37"/>
      <c r="N17" s="37"/>
      <c r="O17" s="37"/>
      <c r="P17" s="37"/>
      <c r="Q17" s="37"/>
      <c r="R17" s="37"/>
    </row>
    <row r="18" spans="1:21">
      <c r="A18" s="279"/>
      <c r="B18" s="711" t="s">
        <v>687</v>
      </c>
      <c r="C18" s="36"/>
      <c r="D18" s="36"/>
      <c r="E18" s="36"/>
      <c r="F18" s="36"/>
      <c r="G18" s="36"/>
      <c r="H18" s="36"/>
      <c r="I18" s="36"/>
      <c r="J18" s="36"/>
      <c r="K18" s="36"/>
      <c r="L18" s="36"/>
      <c r="M18" s="36"/>
      <c r="N18" s="36"/>
      <c r="O18" s="36"/>
      <c r="P18" s="37"/>
      <c r="Q18" s="37"/>
      <c r="R18" s="37"/>
      <c r="S18" s="37"/>
      <c r="T18" s="37"/>
      <c r="U18" s="37"/>
    </row>
    <row r="19" spans="1:21">
      <c r="B19" s="37"/>
      <c r="C19" s="37"/>
      <c r="D19" s="37"/>
      <c r="E19" s="37"/>
      <c r="F19" s="37"/>
      <c r="G19" s="37"/>
      <c r="H19" s="37"/>
      <c r="I19" s="37"/>
      <c r="J19" s="37"/>
      <c r="K19" s="37"/>
      <c r="L19" s="37"/>
      <c r="M19" s="37"/>
      <c r="N19" s="37"/>
      <c r="O19" s="37"/>
      <c r="P19" s="37"/>
      <c r="Q19" s="37"/>
      <c r="R19" s="37"/>
      <c r="S19" s="37"/>
      <c r="T19" s="37"/>
      <c r="U19" s="37"/>
    </row>
    <row r="20" spans="1:21">
      <c r="B20" s="411"/>
      <c r="C20" s="37"/>
      <c r="D20" s="37"/>
      <c r="E20" s="37"/>
      <c r="F20" s="37"/>
      <c r="G20" s="37"/>
      <c r="H20" s="37"/>
      <c r="I20" s="37"/>
      <c r="J20" s="37"/>
      <c r="K20" s="37"/>
      <c r="L20" s="37"/>
      <c r="M20" s="37"/>
      <c r="N20" s="37"/>
      <c r="O20" s="37"/>
      <c r="P20" s="37"/>
      <c r="Q20" s="37"/>
      <c r="R20" s="37"/>
      <c r="S20" s="37"/>
      <c r="T20" s="37"/>
      <c r="U20" s="37"/>
    </row>
    <row r="21" spans="1:21">
      <c r="B21" s="37"/>
      <c r="C21" s="37"/>
      <c r="D21" s="37"/>
      <c r="E21" s="37"/>
      <c r="F21" s="37"/>
      <c r="G21" s="37"/>
      <c r="H21" s="37"/>
      <c r="I21" s="37"/>
      <c r="J21" s="37"/>
      <c r="K21" s="37"/>
      <c r="L21" s="37"/>
      <c r="M21" s="37"/>
      <c r="N21" s="37"/>
      <c r="O21" s="37"/>
      <c r="P21" s="37"/>
      <c r="Q21" s="37"/>
      <c r="R21" s="37"/>
      <c r="S21" s="37"/>
      <c r="T21" s="37"/>
      <c r="U21" s="37"/>
    </row>
    <row r="22" spans="1:21">
      <c r="B22" s="37"/>
      <c r="C22" s="37"/>
      <c r="D22" s="37"/>
      <c r="E22" s="37"/>
      <c r="F22" s="37"/>
      <c r="G22" s="37"/>
      <c r="H22" s="37"/>
      <c r="I22" s="37"/>
      <c r="J22" s="37"/>
      <c r="K22" s="37"/>
      <c r="L22" s="37"/>
      <c r="M22" s="37"/>
      <c r="N22" s="37"/>
      <c r="O22" s="37"/>
      <c r="P22" s="37"/>
      <c r="Q22" s="37"/>
      <c r="R22" s="37"/>
      <c r="S22" s="37"/>
      <c r="T22" s="37"/>
      <c r="U22" s="37"/>
    </row>
    <row r="23" spans="1:21">
      <c r="B23" s="37"/>
      <c r="C23" s="37"/>
      <c r="D23" s="37"/>
      <c r="E23" s="37"/>
      <c r="F23" s="37"/>
      <c r="G23" s="37"/>
      <c r="H23" s="37"/>
      <c r="I23" s="37"/>
      <c r="J23" s="37"/>
      <c r="K23" s="37"/>
      <c r="L23" s="37"/>
      <c r="M23" s="37"/>
      <c r="N23" s="37"/>
      <c r="O23" s="37"/>
      <c r="P23" s="37"/>
      <c r="Q23" s="37"/>
      <c r="R23" s="37"/>
      <c r="S23" s="37"/>
      <c r="T23" s="37"/>
      <c r="U23" s="37"/>
    </row>
    <row r="24" spans="1:21">
      <c r="B24" s="37"/>
      <c r="C24" s="37"/>
      <c r="D24" s="37"/>
      <c r="E24" s="37"/>
      <c r="F24" s="37"/>
      <c r="G24" s="37"/>
      <c r="H24" s="37"/>
      <c r="I24" s="37"/>
      <c r="J24" s="37"/>
      <c r="K24" s="37"/>
      <c r="L24" s="37"/>
      <c r="M24" s="37"/>
      <c r="N24" s="37"/>
      <c r="O24" s="37"/>
      <c r="P24" s="37"/>
      <c r="Q24" s="37"/>
      <c r="R24" s="37"/>
      <c r="S24" s="37"/>
      <c r="T24" s="37"/>
      <c r="U24" s="37"/>
    </row>
    <row r="25" spans="1:21">
      <c r="B25" s="37"/>
      <c r="C25" s="37"/>
      <c r="D25" s="37"/>
      <c r="E25" s="37"/>
      <c r="F25" s="37"/>
      <c r="G25" s="37"/>
      <c r="H25" s="37"/>
      <c r="I25" s="37"/>
      <c r="J25" s="37"/>
      <c r="K25" s="37"/>
      <c r="L25" s="37"/>
      <c r="M25" s="37"/>
      <c r="N25" s="37"/>
      <c r="O25" s="37"/>
      <c r="P25" s="37"/>
      <c r="Q25" s="37"/>
      <c r="R25" s="37"/>
      <c r="S25" s="37"/>
      <c r="T25" s="37"/>
      <c r="U25" s="37"/>
    </row>
    <row r="26" spans="1:21">
      <c r="B26" s="37"/>
      <c r="C26" s="37"/>
      <c r="D26" s="37"/>
      <c r="E26" s="37"/>
      <c r="F26" s="37"/>
      <c r="G26" s="37"/>
      <c r="H26" s="37"/>
      <c r="I26" s="37"/>
      <c r="J26" s="37"/>
      <c r="K26" s="37"/>
      <c r="L26" s="37"/>
      <c r="M26" s="37"/>
      <c r="N26" s="37"/>
      <c r="O26" s="37"/>
      <c r="P26" s="37"/>
      <c r="Q26" s="37"/>
      <c r="R26" s="37"/>
      <c r="S26" s="37"/>
      <c r="T26" s="37"/>
      <c r="U26" s="37"/>
    </row>
    <row r="27" spans="1:21">
      <c r="B27" s="37"/>
      <c r="C27" s="37"/>
      <c r="D27" s="37"/>
      <c r="E27" s="37"/>
      <c r="F27" s="37"/>
      <c r="G27" s="37"/>
      <c r="H27" s="37"/>
      <c r="I27" s="37"/>
      <c r="J27" s="37"/>
      <c r="K27" s="37"/>
      <c r="L27" s="37"/>
      <c r="M27" s="37"/>
      <c r="N27" s="37"/>
      <c r="O27" s="37"/>
      <c r="P27" s="37"/>
      <c r="Q27" s="37"/>
      <c r="R27" s="37"/>
      <c r="S27" s="37"/>
      <c r="T27" s="37"/>
      <c r="U27" s="37"/>
    </row>
    <row r="28" spans="1:21">
      <c r="B28" s="37"/>
      <c r="C28" s="37"/>
      <c r="D28" s="37"/>
      <c r="E28" s="37"/>
      <c r="F28" s="37"/>
      <c r="G28" s="37"/>
      <c r="H28" s="37"/>
      <c r="I28" s="37"/>
      <c r="J28" s="37"/>
      <c r="K28" s="37"/>
      <c r="L28" s="37"/>
      <c r="M28" s="37"/>
      <c r="N28" s="37"/>
      <c r="O28" s="37"/>
      <c r="P28" s="37"/>
      <c r="Q28" s="37"/>
      <c r="R28" s="37"/>
      <c r="S28" s="37"/>
      <c r="T28" s="37"/>
      <c r="U28" s="37"/>
    </row>
    <row r="29" spans="1:21">
      <c r="B29" s="37"/>
      <c r="C29" s="37"/>
      <c r="D29" s="37"/>
      <c r="E29" s="37"/>
      <c r="F29" s="37"/>
      <c r="G29" s="37"/>
      <c r="H29" s="37"/>
      <c r="I29" s="37"/>
      <c r="J29" s="37"/>
      <c r="K29" s="37"/>
      <c r="L29" s="37"/>
      <c r="M29" s="37"/>
      <c r="N29" s="37"/>
      <c r="O29" s="37"/>
      <c r="P29" s="37"/>
      <c r="Q29" s="37"/>
      <c r="R29" s="37"/>
      <c r="S29" s="37"/>
      <c r="T29" s="37"/>
      <c r="U29" s="37"/>
    </row>
    <row r="30" spans="1:21">
      <c r="B30" s="37"/>
      <c r="C30" s="37"/>
      <c r="D30" s="37"/>
      <c r="E30" s="37"/>
      <c r="F30" s="37"/>
      <c r="G30" s="37"/>
      <c r="H30" s="37"/>
      <c r="I30" s="37"/>
      <c r="J30" s="37"/>
      <c r="K30" s="37"/>
      <c r="L30" s="37"/>
      <c r="M30" s="37"/>
      <c r="N30" s="37"/>
      <c r="O30" s="37"/>
      <c r="P30" s="37"/>
      <c r="Q30" s="37"/>
      <c r="R30" s="37"/>
      <c r="S30" s="37"/>
      <c r="T30" s="37"/>
      <c r="U30" s="37"/>
    </row>
    <row r="31" spans="1:21">
      <c r="B31" s="37"/>
      <c r="C31" s="37"/>
      <c r="D31" s="37"/>
      <c r="E31" s="37"/>
      <c r="F31" s="37"/>
      <c r="G31" s="37"/>
      <c r="H31" s="37"/>
      <c r="I31" s="37"/>
      <c r="J31" s="37"/>
      <c r="K31" s="37"/>
      <c r="L31" s="37"/>
      <c r="M31" s="37"/>
      <c r="N31" s="37"/>
      <c r="O31" s="37"/>
      <c r="P31" s="37"/>
      <c r="Q31" s="37"/>
      <c r="R31" s="37"/>
      <c r="S31" s="37"/>
      <c r="T31" s="37"/>
      <c r="U31" s="37"/>
    </row>
    <row r="32" spans="1:21">
      <c r="B32" s="37"/>
      <c r="C32" s="37"/>
      <c r="D32" s="37"/>
      <c r="E32" s="37"/>
      <c r="F32" s="37"/>
      <c r="G32" s="37"/>
      <c r="H32" s="37"/>
      <c r="I32" s="37"/>
      <c r="J32" s="37"/>
      <c r="K32" s="37"/>
      <c r="L32" s="37"/>
      <c r="M32" s="37"/>
      <c r="N32" s="37"/>
      <c r="O32" s="37"/>
      <c r="P32" s="37"/>
      <c r="Q32" s="37"/>
      <c r="R32" s="37"/>
      <c r="S32" s="37"/>
      <c r="T32" s="37"/>
      <c r="U32" s="37"/>
    </row>
    <row r="33" spans="2:21">
      <c r="B33" s="37"/>
      <c r="C33" s="37"/>
      <c r="D33" s="37"/>
      <c r="E33" s="37"/>
      <c r="F33" s="37"/>
      <c r="G33" s="37"/>
      <c r="H33" s="37"/>
      <c r="I33" s="37"/>
      <c r="J33" s="37"/>
      <c r="K33" s="37"/>
      <c r="L33" s="37"/>
      <c r="M33" s="37"/>
      <c r="N33" s="37"/>
      <c r="O33" s="37"/>
      <c r="P33" s="37"/>
      <c r="Q33" s="37"/>
      <c r="R33" s="37"/>
      <c r="S33" s="37"/>
      <c r="T33" s="37"/>
      <c r="U33" s="37"/>
    </row>
    <row r="34" spans="2:21">
      <c r="B34" s="37"/>
      <c r="C34" s="37"/>
      <c r="D34" s="37"/>
      <c r="E34" s="37"/>
      <c r="F34" s="37"/>
      <c r="G34" s="37"/>
      <c r="H34" s="37"/>
      <c r="I34" s="37"/>
      <c r="J34" s="37"/>
      <c r="K34" s="37"/>
      <c r="L34" s="37"/>
      <c r="M34" s="37"/>
      <c r="N34" s="37"/>
      <c r="O34" s="37"/>
      <c r="P34" s="37"/>
      <c r="Q34" s="37"/>
      <c r="R34" s="37"/>
      <c r="S34" s="37"/>
      <c r="T34" s="37"/>
      <c r="U34" s="37"/>
    </row>
    <row r="35" spans="2:21">
      <c r="B35" s="37"/>
      <c r="C35" s="37"/>
      <c r="D35" s="37"/>
      <c r="E35" s="37"/>
      <c r="F35" s="37"/>
      <c r="G35" s="37"/>
      <c r="H35" s="37"/>
      <c r="I35" s="37"/>
      <c r="J35" s="37"/>
      <c r="K35" s="37"/>
      <c r="L35" s="37"/>
      <c r="M35" s="37"/>
      <c r="N35" s="37"/>
      <c r="O35" s="37"/>
      <c r="P35" s="37"/>
      <c r="Q35" s="37"/>
      <c r="R35" s="37"/>
      <c r="S35" s="37"/>
      <c r="T35" s="37"/>
      <c r="U35" s="37"/>
    </row>
    <row r="36" spans="2:21">
      <c r="B36" s="37"/>
      <c r="C36" s="37"/>
      <c r="D36" s="37"/>
      <c r="E36" s="37"/>
      <c r="F36" s="37"/>
      <c r="G36" s="37"/>
      <c r="H36" s="37"/>
      <c r="I36" s="37"/>
      <c r="J36" s="37"/>
      <c r="K36" s="37"/>
      <c r="L36" s="37"/>
      <c r="M36" s="37"/>
      <c r="N36" s="37"/>
      <c r="O36" s="37"/>
      <c r="P36" s="37"/>
      <c r="Q36" s="37"/>
      <c r="R36" s="37"/>
      <c r="S36" s="37"/>
      <c r="T36" s="37"/>
      <c r="U36" s="37"/>
    </row>
    <row r="37" spans="2:21">
      <c r="B37" s="37"/>
      <c r="C37" s="37"/>
      <c r="D37" s="37"/>
      <c r="E37" s="37"/>
      <c r="F37" s="37"/>
      <c r="G37" s="37"/>
      <c r="H37" s="37"/>
      <c r="I37" s="37"/>
      <c r="J37" s="37"/>
      <c r="K37" s="37"/>
      <c r="L37" s="37"/>
      <c r="M37" s="37"/>
      <c r="N37" s="37"/>
      <c r="O37" s="37"/>
      <c r="P37" s="37"/>
      <c r="Q37" s="37"/>
      <c r="R37" s="37"/>
      <c r="S37" s="37"/>
      <c r="T37" s="37"/>
      <c r="U37" s="37"/>
    </row>
    <row r="38" spans="2:21">
      <c r="B38" s="37"/>
      <c r="C38" s="37"/>
      <c r="D38" s="37"/>
      <c r="E38" s="37"/>
      <c r="F38" s="37"/>
      <c r="G38" s="37"/>
      <c r="H38" s="37"/>
      <c r="I38" s="37"/>
      <c r="J38" s="37"/>
      <c r="K38" s="37"/>
      <c r="L38" s="37"/>
      <c r="M38" s="37"/>
      <c r="N38" s="37"/>
      <c r="O38" s="37"/>
      <c r="P38" s="37"/>
      <c r="Q38" s="37"/>
      <c r="R38" s="37"/>
      <c r="S38" s="37"/>
      <c r="T38" s="37"/>
      <c r="U38" s="37"/>
    </row>
    <row r="39" spans="2:21">
      <c r="B39" s="37"/>
      <c r="C39" s="37"/>
      <c r="D39" s="37"/>
      <c r="E39" s="37"/>
      <c r="F39" s="37"/>
      <c r="G39" s="37"/>
      <c r="H39" s="37"/>
      <c r="I39" s="37"/>
      <c r="J39" s="37"/>
      <c r="K39" s="37"/>
      <c r="L39" s="37"/>
      <c r="M39" s="37"/>
      <c r="N39" s="37"/>
      <c r="O39" s="37"/>
      <c r="P39" s="37"/>
      <c r="Q39" s="37"/>
      <c r="R39" s="37"/>
      <c r="S39" s="37"/>
      <c r="T39" s="37"/>
      <c r="U39" s="37"/>
    </row>
    <row r="40" spans="2:21">
      <c r="B40" s="37"/>
      <c r="C40" s="37"/>
      <c r="D40" s="37"/>
      <c r="E40" s="37"/>
      <c r="F40" s="37"/>
      <c r="G40" s="37"/>
      <c r="H40" s="37"/>
      <c r="I40" s="37"/>
      <c r="J40" s="37"/>
      <c r="K40" s="37"/>
      <c r="L40" s="37"/>
      <c r="M40" s="37"/>
      <c r="N40" s="37"/>
      <c r="O40" s="37"/>
      <c r="P40" s="37"/>
      <c r="Q40" s="37"/>
      <c r="R40" s="37"/>
      <c r="S40" s="37"/>
      <c r="T40" s="37"/>
      <c r="U40" s="37"/>
    </row>
    <row r="41" spans="2:21">
      <c r="B41" s="37"/>
      <c r="C41" s="37"/>
      <c r="D41" s="37"/>
      <c r="E41" s="37"/>
      <c r="F41" s="37"/>
      <c r="G41" s="37"/>
      <c r="H41" s="37"/>
      <c r="I41" s="37"/>
      <c r="J41" s="37"/>
      <c r="K41" s="37"/>
      <c r="L41" s="37"/>
      <c r="M41" s="37"/>
      <c r="N41" s="37"/>
      <c r="O41" s="37"/>
      <c r="P41" s="37"/>
      <c r="Q41" s="37"/>
      <c r="R41" s="37"/>
      <c r="S41" s="37"/>
      <c r="T41" s="37"/>
      <c r="U41" s="37"/>
    </row>
    <row r="42" spans="2:21">
      <c r="B42" s="37"/>
      <c r="C42" s="37"/>
      <c r="D42" s="37"/>
      <c r="E42" s="37"/>
      <c r="F42" s="37"/>
      <c r="G42" s="37"/>
      <c r="H42" s="37"/>
      <c r="I42" s="37"/>
      <c r="J42" s="37"/>
      <c r="K42" s="37"/>
      <c r="L42" s="37"/>
      <c r="M42" s="37"/>
      <c r="N42" s="37"/>
      <c r="O42" s="37"/>
      <c r="P42" s="37"/>
      <c r="Q42" s="37"/>
      <c r="R42" s="37"/>
      <c r="S42" s="37"/>
      <c r="T42" s="37"/>
      <c r="U42" s="37"/>
    </row>
    <row r="43" spans="2:21">
      <c r="B43" s="37"/>
      <c r="C43" s="37"/>
      <c r="D43" s="37"/>
      <c r="E43" s="37"/>
      <c r="F43" s="37"/>
      <c r="G43" s="37"/>
      <c r="H43" s="37"/>
      <c r="I43" s="37"/>
      <c r="J43" s="37"/>
      <c r="K43" s="37"/>
      <c r="L43" s="37"/>
      <c r="M43" s="37"/>
      <c r="N43" s="37"/>
      <c r="O43" s="37"/>
      <c r="P43" s="37"/>
      <c r="Q43" s="37"/>
      <c r="R43" s="37"/>
      <c r="S43" s="37"/>
      <c r="T43" s="37"/>
      <c r="U43" s="37"/>
    </row>
    <row r="44" spans="2:21">
      <c r="B44" s="37"/>
      <c r="C44" s="37"/>
      <c r="D44" s="37"/>
      <c r="E44" s="37"/>
      <c r="F44" s="37"/>
      <c r="G44" s="37"/>
      <c r="H44" s="37"/>
      <c r="I44" s="37"/>
      <c r="J44" s="37"/>
      <c r="K44" s="37"/>
      <c r="L44" s="37"/>
      <c r="M44" s="37"/>
      <c r="N44" s="37"/>
      <c r="O44" s="37"/>
      <c r="P44" s="37"/>
      <c r="Q44" s="37"/>
      <c r="R44" s="37"/>
      <c r="S44" s="37"/>
      <c r="T44" s="37"/>
      <c r="U44" s="37"/>
    </row>
    <row r="45" spans="2:21">
      <c r="B45" s="37"/>
      <c r="C45" s="37"/>
      <c r="D45" s="37"/>
      <c r="E45" s="37"/>
      <c r="F45" s="37"/>
      <c r="G45" s="37"/>
      <c r="H45" s="37"/>
      <c r="I45" s="37"/>
      <c r="J45" s="37"/>
      <c r="K45" s="37"/>
      <c r="L45" s="37"/>
      <c r="M45" s="37"/>
      <c r="N45" s="37"/>
      <c r="O45" s="37"/>
      <c r="P45" s="37"/>
      <c r="Q45" s="37"/>
      <c r="R45" s="37"/>
      <c r="S45" s="37"/>
      <c r="T45" s="37"/>
      <c r="U45" s="37"/>
    </row>
    <row r="46" spans="2:21">
      <c r="B46" s="37"/>
      <c r="C46" s="37"/>
      <c r="D46" s="37"/>
      <c r="E46" s="37"/>
      <c r="F46" s="37"/>
      <c r="G46" s="37"/>
      <c r="H46" s="37"/>
      <c r="I46" s="37"/>
      <c r="J46" s="37"/>
      <c r="K46" s="37"/>
      <c r="L46" s="37"/>
      <c r="M46" s="37"/>
      <c r="N46" s="37"/>
      <c r="O46" s="37"/>
      <c r="P46" s="37"/>
      <c r="Q46" s="37"/>
      <c r="R46" s="37"/>
      <c r="S46" s="37"/>
      <c r="T46" s="37"/>
      <c r="U46" s="37"/>
    </row>
    <row r="47" spans="2:21">
      <c r="B47" s="37"/>
      <c r="C47" s="37"/>
      <c r="D47" s="37"/>
      <c r="E47" s="37"/>
      <c r="F47" s="37"/>
      <c r="G47" s="37"/>
      <c r="H47" s="37"/>
      <c r="I47" s="37"/>
      <c r="J47" s="37"/>
      <c r="K47" s="37"/>
      <c r="L47" s="37"/>
      <c r="M47" s="37"/>
      <c r="N47" s="37"/>
      <c r="O47" s="37"/>
      <c r="P47" s="37"/>
      <c r="Q47" s="37"/>
      <c r="R47" s="37"/>
      <c r="S47" s="37"/>
      <c r="T47" s="37"/>
      <c r="U47" s="37"/>
    </row>
    <row r="48" spans="2:21">
      <c r="B48" s="37"/>
      <c r="C48" s="37"/>
      <c r="D48" s="37"/>
      <c r="E48" s="37"/>
      <c r="F48" s="37"/>
      <c r="G48" s="37"/>
      <c r="H48" s="37"/>
      <c r="I48" s="37"/>
      <c r="J48" s="37"/>
      <c r="K48" s="37"/>
      <c r="L48" s="37"/>
      <c r="M48" s="37"/>
      <c r="N48" s="37"/>
      <c r="O48" s="37"/>
      <c r="P48" s="37"/>
      <c r="Q48" s="37"/>
      <c r="R48" s="37"/>
      <c r="S48" s="37"/>
      <c r="T48" s="37"/>
      <c r="U48" s="37"/>
    </row>
    <row r="49" spans="2:21">
      <c r="B49" s="37"/>
      <c r="C49" s="37"/>
      <c r="D49" s="37"/>
      <c r="E49" s="37"/>
      <c r="F49" s="37"/>
      <c r="G49" s="37"/>
      <c r="H49" s="37"/>
      <c r="I49" s="37"/>
      <c r="J49" s="37"/>
      <c r="K49" s="37"/>
      <c r="L49" s="37"/>
      <c r="M49" s="37"/>
      <c r="N49" s="37"/>
      <c r="O49" s="37"/>
      <c r="P49" s="37"/>
      <c r="Q49" s="37"/>
      <c r="R49" s="37"/>
      <c r="S49" s="37"/>
      <c r="T49" s="37"/>
      <c r="U49" s="37"/>
    </row>
    <row r="50" spans="2:21">
      <c r="B50" s="37"/>
      <c r="C50" s="37"/>
      <c r="D50" s="37"/>
      <c r="E50" s="37"/>
      <c r="F50" s="37"/>
      <c r="G50" s="37"/>
      <c r="H50" s="37"/>
      <c r="I50" s="37"/>
      <c r="J50" s="37"/>
      <c r="K50" s="37"/>
      <c r="L50" s="37"/>
      <c r="M50" s="37"/>
      <c r="N50" s="37"/>
      <c r="O50" s="37"/>
      <c r="P50" s="37"/>
      <c r="Q50" s="37"/>
      <c r="R50" s="37"/>
      <c r="S50" s="37"/>
      <c r="T50" s="37"/>
      <c r="U50" s="37"/>
    </row>
    <row r="51" spans="2:21">
      <c r="B51" s="37"/>
      <c r="C51" s="37"/>
      <c r="D51" s="37"/>
      <c r="E51" s="37"/>
      <c r="F51" s="37"/>
      <c r="G51" s="37"/>
      <c r="H51" s="37"/>
      <c r="I51" s="37"/>
      <c r="J51" s="37"/>
      <c r="K51" s="37"/>
      <c r="L51" s="37"/>
      <c r="M51" s="37"/>
      <c r="N51" s="37"/>
      <c r="O51" s="37"/>
      <c r="P51" s="37"/>
      <c r="Q51" s="37"/>
      <c r="R51" s="37"/>
      <c r="S51" s="37"/>
      <c r="T51" s="37"/>
      <c r="U51" s="37"/>
    </row>
    <row r="52" spans="2:21">
      <c r="B52" s="37"/>
      <c r="C52" s="37"/>
      <c r="D52" s="37"/>
      <c r="E52" s="37"/>
      <c r="F52" s="37"/>
      <c r="G52" s="37"/>
      <c r="H52" s="37"/>
      <c r="I52" s="37"/>
      <c r="J52" s="37"/>
      <c r="K52" s="37"/>
      <c r="L52" s="37"/>
      <c r="M52" s="37"/>
      <c r="N52" s="37"/>
      <c r="O52" s="37"/>
      <c r="P52" s="37"/>
      <c r="Q52" s="37"/>
      <c r="R52" s="37"/>
      <c r="S52" s="37"/>
      <c r="T52" s="37"/>
      <c r="U52" s="37"/>
    </row>
    <row r="53" spans="2:21">
      <c r="B53" s="37"/>
      <c r="C53" s="37"/>
      <c r="D53" s="37"/>
      <c r="E53" s="37"/>
      <c r="F53" s="37"/>
      <c r="G53" s="37"/>
      <c r="H53" s="37"/>
      <c r="I53" s="37"/>
      <c r="J53" s="37"/>
      <c r="K53" s="37"/>
      <c r="L53" s="37"/>
      <c r="M53" s="37"/>
      <c r="N53" s="37"/>
      <c r="O53" s="37"/>
      <c r="P53" s="37"/>
      <c r="Q53" s="37"/>
      <c r="R53" s="37"/>
      <c r="S53" s="37"/>
      <c r="T53" s="37"/>
      <c r="U53" s="37"/>
    </row>
    <row r="54" spans="2:21">
      <c r="B54" s="37"/>
      <c r="C54" s="37"/>
      <c r="D54" s="37"/>
      <c r="E54" s="37"/>
      <c r="F54" s="37"/>
      <c r="G54" s="37"/>
      <c r="H54" s="37"/>
      <c r="I54" s="37"/>
      <c r="J54" s="37"/>
      <c r="K54" s="37"/>
      <c r="L54" s="37"/>
      <c r="M54" s="37"/>
      <c r="N54" s="37"/>
      <c r="O54" s="37"/>
      <c r="P54" s="37"/>
      <c r="Q54" s="37"/>
      <c r="R54" s="37"/>
      <c r="S54" s="37"/>
      <c r="T54" s="37"/>
      <c r="U54" s="37"/>
    </row>
    <row r="55" spans="2:21">
      <c r="B55" s="37"/>
      <c r="C55" s="37"/>
      <c r="D55" s="37"/>
      <c r="E55" s="37"/>
      <c r="F55" s="37"/>
      <c r="G55" s="37"/>
      <c r="H55" s="37"/>
      <c r="I55" s="37"/>
      <c r="J55" s="37"/>
      <c r="K55" s="37"/>
      <c r="L55" s="37"/>
      <c r="M55" s="37"/>
      <c r="N55" s="37"/>
      <c r="O55" s="37"/>
      <c r="P55" s="37"/>
      <c r="Q55" s="37"/>
      <c r="R55" s="37"/>
      <c r="S55" s="37"/>
      <c r="T55" s="37"/>
      <c r="U55" s="37"/>
    </row>
  </sheetData>
  <mergeCells count="15">
    <mergeCell ref="A13:G13"/>
    <mergeCell ref="B1:U1"/>
    <mergeCell ref="B2:U4"/>
    <mergeCell ref="B6:C8"/>
    <mergeCell ref="D6:I6"/>
    <mergeCell ref="J6:U6"/>
    <mergeCell ref="E7:H7"/>
    <mergeCell ref="J7:L7"/>
    <mergeCell ref="M7:P7"/>
    <mergeCell ref="Q7:T7"/>
    <mergeCell ref="J14:O14"/>
    <mergeCell ref="B15:B16"/>
    <mergeCell ref="C15:F15"/>
    <mergeCell ref="G15:H15"/>
    <mergeCell ref="I15:L15"/>
  </mergeCells>
  <hyperlinks>
    <hyperlink ref="B18" r:id="rId1" xr:uid="{AB55EA7F-CA6C-40DD-BB1F-AFF1906C946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74"/>
  <sheetViews>
    <sheetView topLeftCell="A40" zoomScale="139" zoomScaleNormal="90" workbookViewId="0">
      <selection activeCell="M12" sqref="M12"/>
    </sheetView>
  </sheetViews>
  <sheetFormatPr baseColWidth="10" defaultColWidth="8.6640625" defaultRowHeight="14"/>
  <cols>
    <col min="1" max="1" width="14.1640625" style="428" customWidth="1"/>
    <col min="2" max="2" width="49.33203125" style="428" customWidth="1"/>
    <col min="3" max="3" width="8.5" style="428" customWidth="1"/>
    <col min="4" max="4" width="9.33203125" style="428" customWidth="1"/>
    <col min="5" max="6" width="9.83203125" style="428" customWidth="1"/>
    <col min="7" max="7" width="9.6640625" style="428" customWidth="1"/>
    <col min="8" max="12" width="11.6640625" style="428" bestFit="1" customWidth="1"/>
    <col min="13" max="13" width="12.6640625" style="428" bestFit="1" customWidth="1"/>
    <col min="14" max="14" width="18.33203125" style="428" bestFit="1" customWidth="1"/>
    <col min="15" max="25" width="13.33203125" style="428" bestFit="1" customWidth="1"/>
    <col min="26" max="26" width="52.6640625" style="428" customWidth="1"/>
    <col min="27" max="16384" width="8.6640625" style="428"/>
  </cols>
  <sheetData>
    <row r="1" spans="2:26" ht="18" customHeight="1">
      <c r="B1" s="1314" t="s">
        <v>448</v>
      </c>
      <c r="C1" s="1314"/>
      <c r="D1" s="1314"/>
      <c r="E1" s="1314"/>
      <c r="F1" s="1314"/>
      <c r="G1" s="1314"/>
      <c r="H1" s="1314"/>
      <c r="I1" s="1314"/>
      <c r="J1" s="1314"/>
      <c r="K1" s="1314"/>
      <c r="L1" s="1314"/>
      <c r="M1" s="1314"/>
      <c r="N1" s="1314"/>
      <c r="O1" s="1314"/>
      <c r="P1" s="1314"/>
      <c r="Q1" s="1314"/>
      <c r="R1" s="1314"/>
      <c r="S1" s="1314"/>
      <c r="T1" s="1314"/>
      <c r="U1" s="1314"/>
      <c r="V1" s="1314"/>
      <c r="W1" s="1314"/>
      <c r="X1" s="1314"/>
      <c r="Y1" s="1314"/>
    </row>
    <row r="2" spans="2:26" ht="82" customHeight="1">
      <c r="B2" s="1370" t="s">
        <v>754</v>
      </c>
      <c r="C2" s="1370"/>
      <c r="D2" s="1370"/>
      <c r="E2" s="1370"/>
      <c r="F2" s="1370"/>
      <c r="G2" s="1370"/>
      <c r="H2" s="1370"/>
      <c r="I2" s="1370"/>
      <c r="J2" s="1370"/>
      <c r="K2" s="1370"/>
      <c r="L2" s="1370"/>
      <c r="M2" s="1370"/>
      <c r="N2" s="1370"/>
      <c r="O2" s="1370"/>
      <c r="P2" s="1370"/>
      <c r="Q2" s="1370"/>
      <c r="R2" s="1370"/>
      <c r="S2" s="1370"/>
      <c r="T2" s="1370"/>
      <c r="U2" s="1370"/>
      <c r="V2" s="1370"/>
      <c r="W2" s="1370"/>
      <c r="X2" s="1370"/>
      <c r="Y2" s="1370"/>
    </row>
    <row r="3" spans="2:26" ht="3" customHeight="1">
      <c r="B3" s="1370"/>
      <c r="C3" s="1370"/>
      <c r="D3" s="1370"/>
      <c r="E3" s="1370"/>
      <c r="F3" s="1370"/>
      <c r="G3" s="1370"/>
      <c r="H3" s="1370"/>
      <c r="I3" s="1370"/>
      <c r="J3" s="1370"/>
      <c r="K3" s="1370"/>
      <c r="L3" s="1370"/>
      <c r="M3" s="1370"/>
      <c r="N3" s="1370"/>
      <c r="O3" s="1370"/>
      <c r="P3" s="1370"/>
      <c r="Q3" s="1370"/>
      <c r="R3" s="1370"/>
      <c r="S3" s="1370"/>
      <c r="T3" s="1370"/>
      <c r="U3" s="1370"/>
      <c r="V3" s="1370"/>
      <c r="W3" s="1370"/>
      <c r="X3" s="1370"/>
      <c r="Y3" s="1370"/>
      <c r="Z3" s="306"/>
    </row>
    <row r="4" spans="2:26" ht="10" hidden="1" customHeight="1">
      <c r="B4" s="1370"/>
      <c r="C4" s="1370"/>
      <c r="D4" s="1370"/>
      <c r="E4" s="1370"/>
      <c r="F4" s="1370"/>
      <c r="G4" s="1370"/>
      <c r="H4" s="1370"/>
      <c r="I4" s="1370"/>
      <c r="J4" s="1370"/>
      <c r="K4" s="1370"/>
      <c r="L4" s="1370"/>
      <c r="M4" s="1370"/>
      <c r="N4" s="1370"/>
      <c r="O4" s="1370"/>
      <c r="P4" s="1370"/>
      <c r="Q4" s="1370"/>
      <c r="R4" s="1370"/>
      <c r="S4" s="1370"/>
      <c r="T4" s="1370"/>
      <c r="U4" s="1370"/>
      <c r="V4" s="1370"/>
      <c r="W4" s="1370"/>
      <c r="X4" s="1370"/>
      <c r="Y4" s="1370"/>
      <c r="Z4" s="306"/>
    </row>
    <row r="5" spans="2:26" ht="14" hidden="1" customHeight="1">
      <c r="B5" s="1370"/>
      <c r="C5" s="1370"/>
      <c r="D5" s="1370"/>
      <c r="E5" s="1370"/>
      <c r="F5" s="1370"/>
      <c r="G5" s="1370"/>
      <c r="H5" s="1370"/>
      <c r="I5" s="1370"/>
      <c r="J5" s="1370"/>
      <c r="K5" s="1370"/>
      <c r="L5" s="1370"/>
      <c r="M5" s="1370"/>
      <c r="N5" s="1370"/>
      <c r="O5" s="1370"/>
      <c r="P5" s="1370"/>
      <c r="Q5" s="1370"/>
      <c r="R5" s="1370"/>
      <c r="S5" s="1370"/>
      <c r="T5" s="1370"/>
      <c r="U5" s="1370"/>
      <c r="V5" s="1370"/>
      <c r="W5" s="1370"/>
      <c r="X5" s="1370"/>
      <c r="Y5" s="1370"/>
    </row>
    <row r="6" spans="2:26" ht="14" hidden="1" customHeight="1">
      <c r="B6" s="1370"/>
      <c r="C6" s="1370"/>
      <c r="D6" s="1370"/>
      <c r="E6" s="1370"/>
      <c r="F6" s="1370"/>
      <c r="G6" s="1370"/>
      <c r="H6" s="1370"/>
      <c r="I6" s="1370"/>
      <c r="J6" s="1370"/>
      <c r="K6" s="1370"/>
      <c r="L6" s="1370"/>
      <c r="M6" s="1370"/>
      <c r="N6" s="1370"/>
      <c r="O6" s="1370"/>
      <c r="P6" s="1370"/>
      <c r="Q6" s="1370"/>
      <c r="R6" s="1370"/>
      <c r="S6" s="1370"/>
      <c r="T6" s="1370"/>
      <c r="U6" s="1370"/>
      <c r="V6" s="1370"/>
      <c r="W6" s="1370"/>
      <c r="X6" s="1370"/>
      <c r="Y6" s="1370"/>
    </row>
    <row r="7" spans="2:26">
      <c r="B7" s="870" t="s">
        <v>421</v>
      </c>
      <c r="C7" s="377"/>
      <c r="D7" s="377"/>
      <c r="E7" s="377"/>
      <c r="F7" s="377"/>
      <c r="G7" s="377"/>
      <c r="H7" s="376"/>
      <c r="I7" s="376"/>
      <c r="J7" s="376"/>
      <c r="K7" s="376"/>
      <c r="L7" s="376"/>
      <c r="M7" s="376"/>
      <c r="N7" s="376"/>
      <c r="O7" s="376"/>
      <c r="P7" s="376"/>
      <c r="Q7" s="376"/>
      <c r="R7" s="376"/>
      <c r="S7" s="376"/>
      <c r="T7" s="376"/>
      <c r="U7" s="376"/>
    </row>
    <row r="8" spans="2:26" ht="14.5" customHeight="1">
      <c r="B8" s="1245" t="s">
        <v>451</v>
      </c>
      <c r="C8" s="1246"/>
      <c r="D8" s="1251" t="s">
        <v>278</v>
      </c>
      <c r="E8" s="1252"/>
      <c r="F8" s="1252"/>
      <c r="G8" s="1252"/>
      <c r="H8" s="1252"/>
      <c r="I8" s="1252"/>
      <c r="J8" s="1252"/>
      <c r="K8" s="1252"/>
      <c r="L8" s="1252"/>
      <c r="M8" s="1252"/>
      <c r="N8" s="1372" t="s">
        <v>145</v>
      </c>
      <c r="O8" s="1373"/>
      <c r="P8" s="1373"/>
      <c r="Q8" s="1373"/>
      <c r="R8" s="1373"/>
      <c r="S8" s="1373"/>
      <c r="T8" s="1373"/>
      <c r="U8" s="1373"/>
      <c r="V8" s="1373"/>
      <c r="W8" s="1373"/>
      <c r="X8" s="1373"/>
      <c r="Y8" s="1374"/>
    </row>
    <row r="9" spans="2:26" ht="14.5" customHeight="1">
      <c r="B9" s="1247"/>
      <c r="C9" s="1292"/>
      <c r="D9" s="317">
        <v>2018</v>
      </c>
      <c r="E9" s="1256">
        <v>2019</v>
      </c>
      <c r="F9" s="1257"/>
      <c r="G9" s="1257"/>
      <c r="H9" s="1258"/>
      <c r="I9" s="1256">
        <v>2020</v>
      </c>
      <c r="J9" s="1257"/>
      <c r="K9" s="1257"/>
      <c r="L9" s="1258"/>
      <c r="M9" s="576">
        <v>2021</v>
      </c>
      <c r="N9" s="1259">
        <v>2021</v>
      </c>
      <c r="O9" s="1260"/>
      <c r="P9" s="1261"/>
      <c r="Q9" s="1259">
        <v>2022</v>
      </c>
      <c r="R9" s="1260"/>
      <c r="S9" s="1260"/>
      <c r="T9" s="1261"/>
      <c r="U9" s="1259">
        <v>2023</v>
      </c>
      <c r="V9" s="1260"/>
      <c r="W9" s="1260"/>
      <c r="X9" s="1261"/>
      <c r="Y9" s="419">
        <v>2024</v>
      </c>
    </row>
    <row r="10" spans="2:26">
      <c r="B10" s="1247"/>
      <c r="C10" s="1292"/>
      <c r="D10" s="296" t="s">
        <v>140</v>
      </c>
      <c r="E10" s="268" t="s">
        <v>137</v>
      </c>
      <c r="F10" s="269" t="s">
        <v>138</v>
      </c>
      <c r="G10" s="277" t="s">
        <v>458</v>
      </c>
      <c r="H10" s="43" t="s">
        <v>140</v>
      </c>
      <c r="I10" s="301" t="s">
        <v>137</v>
      </c>
      <c r="J10" s="278" t="s">
        <v>138</v>
      </c>
      <c r="K10" s="278" t="s">
        <v>139</v>
      </c>
      <c r="L10" s="287" t="s">
        <v>140</v>
      </c>
      <c r="M10" s="301" t="s">
        <v>137</v>
      </c>
      <c r="N10" s="408" t="s">
        <v>138</v>
      </c>
      <c r="O10" s="418" t="s">
        <v>139</v>
      </c>
      <c r="P10" s="407" t="s">
        <v>140</v>
      </c>
      <c r="Q10" s="408" t="s">
        <v>137</v>
      </c>
      <c r="R10" s="418" t="s">
        <v>138</v>
      </c>
      <c r="S10" s="418" t="s">
        <v>139</v>
      </c>
      <c r="T10" s="407" t="s">
        <v>140</v>
      </c>
      <c r="U10" s="408" t="s">
        <v>137</v>
      </c>
      <c r="V10" s="418" t="s">
        <v>138</v>
      </c>
      <c r="W10" s="418" t="s">
        <v>139</v>
      </c>
      <c r="X10" s="407" t="s">
        <v>140</v>
      </c>
      <c r="Y10" s="417" t="s">
        <v>137</v>
      </c>
    </row>
    <row r="11" spans="2:26">
      <c r="B11" s="1375" t="s">
        <v>147</v>
      </c>
      <c r="C11" s="1376"/>
      <c r="D11" s="354"/>
      <c r="E11" s="354"/>
      <c r="F11" s="354"/>
      <c r="G11" s="354"/>
      <c r="H11" s="234"/>
      <c r="I11" s="234"/>
      <c r="J11" s="234"/>
      <c r="K11" s="234"/>
      <c r="L11" s="234"/>
      <c r="M11" s="819"/>
      <c r="N11" s="584"/>
      <c r="O11" s="585"/>
      <c r="P11" s="585"/>
      <c r="Q11" s="585"/>
      <c r="R11" s="585"/>
      <c r="S11" s="585"/>
      <c r="T11" s="585"/>
      <c r="U11" s="585"/>
      <c r="V11" s="585"/>
      <c r="W11" s="585"/>
      <c r="X11" s="585"/>
      <c r="Y11" s="586"/>
    </row>
    <row r="12" spans="2:26">
      <c r="B12" s="291" t="s">
        <v>582</v>
      </c>
      <c r="C12" s="46" t="s">
        <v>243</v>
      </c>
      <c r="D12" s="290">
        <f>'Haver Pivoted'!GO31</f>
        <v>2220.5</v>
      </c>
      <c r="E12" s="290">
        <f>'Haver Pivoted'!GP31</f>
        <v>2298.8000000000002</v>
      </c>
      <c r="F12" s="290">
        <f>'Haver Pivoted'!GQ31</f>
        <v>2315.8000000000002</v>
      </c>
      <c r="G12" s="290">
        <f>'Haver Pivoted'!GR31</f>
        <v>2331.4</v>
      </c>
      <c r="H12" s="290">
        <f>'Haver Pivoted'!GS31</f>
        <v>2347.6999999999998</v>
      </c>
      <c r="I12" s="290">
        <f>'Haver Pivoted'!GT31</f>
        <v>2422.5</v>
      </c>
      <c r="J12" s="290">
        <f>'Haver Pivoted'!GU31</f>
        <v>4815.3</v>
      </c>
      <c r="K12" s="290">
        <f>'Haver Pivoted'!GV31</f>
        <v>3494.9</v>
      </c>
      <c r="L12" s="290">
        <f>'Haver Pivoted'!GW31</f>
        <v>2918.2</v>
      </c>
      <c r="M12" s="290">
        <f>'Haver Pivoted'!GX31</f>
        <v>5164</v>
      </c>
      <c r="N12" s="308">
        <f>SUM(N13:N21)</f>
        <v>3557.4455711117976</v>
      </c>
      <c r="O12" s="293">
        <f t="shared" ref="O12:Y12" si="0">SUM(O13:O21)</f>
        <v>3189.3081833920123</v>
      </c>
      <c r="P12" s="293">
        <f t="shared" si="0"/>
        <v>2817.6192020441636</v>
      </c>
      <c r="Q12" s="293">
        <f t="shared" si="0"/>
        <v>2900.8532622419507</v>
      </c>
      <c r="R12" s="293">
        <f t="shared" si="0"/>
        <v>2899.7070995867766</v>
      </c>
      <c r="S12" s="293">
        <f t="shared" si="0"/>
        <v>2875.4266976662402</v>
      </c>
      <c r="T12" s="293">
        <f t="shared" si="0"/>
        <v>2752.3010893722421</v>
      </c>
      <c r="U12" s="293">
        <f t="shared" si="0"/>
        <v>2840.8844573458964</v>
      </c>
      <c r="V12" s="293">
        <f t="shared" si="0"/>
        <v>2860.0898068221368</v>
      </c>
      <c r="W12" s="293">
        <f t="shared" si="0"/>
        <v>2880.6299898110565</v>
      </c>
      <c r="X12" s="293">
        <f t="shared" si="0"/>
        <v>2897.5547788419208</v>
      </c>
      <c r="Y12" s="349">
        <f t="shared" si="0"/>
        <v>2996.4261766900963</v>
      </c>
    </row>
    <row r="13" spans="2:26" ht="30">
      <c r="B13" s="364" t="s">
        <v>455</v>
      </c>
      <c r="C13" s="46"/>
      <c r="D13" s="290">
        <f>'Unemployment Insurance'!D20+'Unemployment Insurance'!D19</f>
        <v>27</v>
      </c>
      <c r="E13" s="290">
        <f>'Unemployment Insurance'!E20+'Unemployment Insurance'!E19</f>
        <v>28</v>
      </c>
      <c r="F13" s="290">
        <f>'Unemployment Insurance'!F20+'Unemployment Insurance'!F19</f>
        <v>27.5</v>
      </c>
      <c r="G13" s="290">
        <f>'Unemployment Insurance'!G20+'Unemployment Insurance'!G19</f>
        <v>27.6</v>
      </c>
      <c r="H13" s="290">
        <f>'Unemployment Insurance'!H20+'Unemployment Insurance'!H19</f>
        <v>27.9</v>
      </c>
      <c r="I13" s="290">
        <f>'Unemployment Insurance'!I20+'Unemployment Insurance'!I19</f>
        <v>43.4</v>
      </c>
      <c r="J13" s="290">
        <f>'Unemployment Insurance'!J20+'Unemployment Insurance'!J19</f>
        <v>1084.5999999999999</v>
      </c>
      <c r="K13" s="290">
        <f>'Unemployment Insurance'!K20+'Unemployment Insurance'!K19</f>
        <v>775.2</v>
      </c>
      <c r="L13" s="290">
        <f>'Unemployment Insurance'!L20+'Unemployment Insurance'!L19</f>
        <v>296.39999999999998</v>
      </c>
      <c r="M13" s="290">
        <f>'Unemployment Insurance'!M20+'Unemployment Insurance'!M19</f>
        <v>544.29999999999995</v>
      </c>
      <c r="N13" s="308">
        <f>'Unemployment Insurance'!N20+'Unemployment Insurance'!N19</f>
        <v>458.8</v>
      </c>
      <c r="O13" s="293">
        <f>'Unemployment Insurance'!O20+'Unemployment Insurance'!O19</f>
        <v>391.38728323699428</v>
      </c>
      <c r="P13" s="293">
        <f>'Unemployment Insurance'!P20+'Unemployment Insurance'!P19</f>
        <v>44.089595375722546</v>
      </c>
      <c r="Q13" s="293">
        <f>'Unemployment Insurance'!Q20+'Unemployment Insurance'!Q19</f>
        <v>40.170520231213871</v>
      </c>
      <c r="R13" s="293">
        <f>'Unemployment Insurance'!R20+'Unemployment Insurance'!R19</f>
        <v>39.190751445086704</v>
      </c>
      <c r="S13" s="293">
        <f>'Unemployment Insurance'!S20+'Unemployment Insurance'!S19</f>
        <v>38.210982658959537</v>
      </c>
      <c r="T13" s="293">
        <f>'Unemployment Insurance'!T20+'Unemployment Insurance'!T19</f>
        <v>38.210982658959537</v>
      </c>
      <c r="U13" s="293">
        <f>'Unemployment Insurance'!U20+'Unemployment Insurance'!U19</f>
        <v>36.251445086705203</v>
      </c>
      <c r="V13" s="293">
        <f>'Unemployment Insurance'!V20+'Unemployment Insurance'!V19</f>
        <v>35.271676300578036</v>
      </c>
      <c r="W13" s="293">
        <f>'Unemployment Insurance'!W20+'Unemployment Insurance'!W19</f>
        <v>35.271676300578036</v>
      </c>
      <c r="X13" s="293">
        <f>'Unemployment Insurance'!X20+'Unemployment Insurance'!X19</f>
        <v>34.29190751445087</v>
      </c>
      <c r="Y13" s="349">
        <f>'Unemployment Insurance'!Y20+'Unemployment Insurance'!Y19</f>
        <v>36.251445086705203</v>
      </c>
    </row>
    <row r="14" spans="2:26" ht="15">
      <c r="B14" s="364" t="s">
        <v>406</v>
      </c>
      <c r="C14" s="46"/>
      <c r="D14" s="290">
        <f>Medicare!D10</f>
        <v>753.3</v>
      </c>
      <c r="E14" s="290">
        <f>Medicare!E10</f>
        <v>767.4</v>
      </c>
      <c r="F14" s="290">
        <f>Medicare!F10</f>
        <v>779.7</v>
      </c>
      <c r="G14" s="290">
        <f>Medicare!G10</f>
        <v>789.9</v>
      </c>
      <c r="H14" s="290">
        <f>Medicare!H10</f>
        <v>797.9</v>
      </c>
      <c r="I14" s="290">
        <f>Medicare!I10</f>
        <v>804.7</v>
      </c>
      <c r="J14" s="290">
        <f>Medicare!J10</f>
        <v>824.1</v>
      </c>
      <c r="K14" s="290">
        <f>Medicare!K10</f>
        <v>842.7</v>
      </c>
      <c r="L14" s="290">
        <f>Medicare!L10</f>
        <v>860.6</v>
      </c>
      <c r="M14" s="290">
        <f>Medicare!M10</f>
        <v>880.1</v>
      </c>
      <c r="N14" s="308">
        <f>Medicare!N10</f>
        <v>895.70157498646347</v>
      </c>
      <c r="O14" s="293">
        <f>Medicare!O10</f>
        <v>911.5797198423262</v>
      </c>
      <c r="P14" s="293">
        <f>Medicare!P10</f>
        <v>928.62428642880502</v>
      </c>
      <c r="Q14" s="293">
        <f>Medicare!Q10</f>
        <v>929.9875494976618</v>
      </c>
      <c r="R14" s="293">
        <f>Medicare!R10</f>
        <v>947.6754679829279</v>
      </c>
      <c r="S14" s="293">
        <f>Medicare!S10</f>
        <v>965.69411223779593</v>
      </c>
      <c r="T14" s="293">
        <f>Medicare!T10</f>
        <v>984.02183727713145</v>
      </c>
      <c r="U14" s="293">
        <f>Medicare!U10</f>
        <v>1002.6917315328554</v>
      </c>
      <c r="V14" s="293">
        <f>Medicare!V10</f>
        <v>1021.7101831285561</v>
      </c>
      <c r="W14" s="293">
        <f>Medicare!W10</f>
        <v>1041.0836994508093</v>
      </c>
      <c r="X14" s="293">
        <f>Medicare!X10</f>
        <v>1060.5365906011345</v>
      </c>
      <c r="Y14" s="349">
        <f>Medicare!Y10</f>
        <v>1080.3474618946623</v>
      </c>
    </row>
    <row r="15" spans="2:26" ht="30">
      <c r="B15" s="342" t="s">
        <v>454</v>
      </c>
      <c r="C15" s="46"/>
      <c r="D15" s="36"/>
      <c r="E15" s="36"/>
      <c r="F15" s="36"/>
      <c r="G15" s="36"/>
      <c r="H15" s="290">
        <f>'Rebate Checks'!D10 +'Rebate Checks'!D11</f>
        <v>0</v>
      </c>
      <c r="I15" s="290">
        <f>'Rebate Checks'!E10 +'Rebate Checks'!E11</f>
        <v>0</v>
      </c>
      <c r="J15" s="290">
        <f>'Rebate Checks'!F10 +'Rebate Checks'!F11</f>
        <v>1078.0999999999999</v>
      </c>
      <c r="K15" s="290">
        <f>'Rebate Checks'!G10 +'Rebate Checks'!G11</f>
        <v>15.6</v>
      </c>
      <c r="L15" s="290">
        <f>'Rebate Checks'!H10 +'Rebate Checks'!H11</f>
        <v>5</v>
      </c>
      <c r="M15" s="290">
        <f>'Rebate Checks'!I10 +'Rebate Checks'!I11</f>
        <v>1933.6999999999998</v>
      </c>
      <c r="N15" s="308">
        <f>'Rebate Checks'!J10 +'Rebate Checks'!J11</f>
        <v>272</v>
      </c>
      <c r="O15" s="293">
        <f>'Rebate Checks'!K10 +'Rebate Checks'!K11</f>
        <v>0</v>
      </c>
      <c r="P15" s="293">
        <f>'Rebate Checks'!L10 +'Rebate Checks'!L11</f>
        <v>0</v>
      </c>
      <c r="Q15" s="293">
        <f>'Rebate Checks'!M10 +'Rebate Checks'!M11</f>
        <v>34.93</v>
      </c>
      <c r="R15" s="293">
        <f>'Rebate Checks'!N10 +'Rebate Checks'!N11</f>
        <v>34.93</v>
      </c>
      <c r="S15" s="293">
        <f>'Rebate Checks'!O10 +'Rebate Checks'!O11</f>
        <v>0</v>
      </c>
      <c r="T15" s="293">
        <f>'Rebate Checks'!P10 +'Rebate Checks'!P11</f>
        <v>0</v>
      </c>
      <c r="U15" s="293">
        <f>'Rebate Checks'!Q10 +'Rebate Checks'!Q11</f>
        <v>0</v>
      </c>
      <c r="V15" s="293">
        <f>'Rebate Checks'!R10 +'Rebate Checks'!R11</f>
        <v>0</v>
      </c>
      <c r="W15" s="293">
        <f>'Rebate Checks'!S10 +'Rebate Checks'!S11</f>
        <v>0</v>
      </c>
      <c r="X15" s="293">
        <f>'Rebate Checks'!T10 +'Rebate Checks'!T11</f>
        <v>0</v>
      </c>
      <c r="Y15" s="349">
        <f>'Rebate Checks'!U10 +'Rebate Checks'!U11</f>
        <v>0</v>
      </c>
    </row>
    <row r="16" spans="2:26" ht="15">
      <c r="B16" s="342" t="s">
        <v>752</v>
      </c>
      <c r="C16" s="46"/>
      <c r="D16" s="36"/>
      <c r="E16" s="36"/>
      <c r="F16" s="36"/>
      <c r="G16" s="36"/>
      <c r="H16" s="290"/>
      <c r="I16" s="290">
        <f>I61</f>
        <v>2.1247499999999988</v>
      </c>
      <c r="J16" s="290">
        <f t="shared" ref="J16:Y16" si="1">J61</f>
        <v>69.301749999999998</v>
      </c>
      <c r="K16" s="290">
        <f t="shared" si="1"/>
        <v>83.883749999999992</v>
      </c>
      <c r="L16" s="290">
        <f t="shared" si="1"/>
        <v>78.452750000000009</v>
      </c>
      <c r="M16" s="290">
        <f t="shared" si="1"/>
        <v>94.126749999999987</v>
      </c>
      <c r="N16" s="308">
        <f t="shared" si="1"/>
        <v>90</v>
      </c>
      <c r="O16" s="293">
        <f t="shared" si="1"/>
        <v>60</v>
      </c>
      <c r="P16" s="293">
        <f t="shared" si="1"/>
        <v>30</v>
      </c>
      <c r="Q16" s="293">
        <f t="shared" si="1"/>
        <v>20</v>
      </c>
      <c r="R16" s="293">
        <f t="shared" si="1"/>
        <v>10</v>
      </c>
      <c r="S16" s="293">
        <f t="shared" si="1"/>
        <v>5</v>
      </c>
      <c r="T16" s="293">
        <f t="shared" si="1"/>
        <v>0</v>
      </c>
      <c r="U16" s="293">
        <f t="shared" si="1"/>
        <v>0</v>
      </c>
      <c r="V16" s="293">
        <f t="shared" si="1"/>
        <v>0</v>
      </c>
      <c r="W16" s="293">
        <f t="shared" si="1"/>
        <v>0</v>
      </c>
      <c r="X16" s="293">
        <f t="shared" si="1"/>
        <v>0</v>
      </c>
      <c r="Y16" s="349">
        <f t="shared" si="1"/>
        <v>0</v>
      </c>
    </row>
    <row r="17" spans="1:26" ht="15">
      <c r="B17" s="342" t="s">
        <v>513</v>
      </c>
      <c r="C17" s="46"/>
      <c r="D17" s="36"/>
      <c r="E17" s="36"/>
      <c r="F17" s="36"/>
      <c r="G17" s="36"/>
      <c r="H17" s="290"/>
      <c r="I17" s="290"/>
      <c r="J17" s="102">
        <v>19.100000000000001</v>
      </c>
      <c r="K17" s="102">
        <v>27</v>
      </c>
      <c r="L17" s="102">
        <v>10.8</v>
      </c>
      <c r="M17" s="102">
        <v>10.8</v>
      </c>
      <c r="N17" s="308">
        <f>PPP!H53</f>
        <v>28.528462325801119</v>
      </c>
      <c r="O17" s="293">
        <f>PPP!I53</f>
        <v>18.834737422250218</v>
      </c>
      <c r="P17" s="293">
        <f>PPP!J53</f>
        <v>1.8707188410361386</v>
      </c>
      <c r="Q17" s="293"/>
      <c r="R17" s="293"/>
      <c r="S17" s="293"/>
      <c r="T17" s="293"/>
      <c r="U17" s="293"/>
      <c r="V17" s="293"/>
      <c r="W17" s="293"/>
      <c r="X17" s="293"/>
      <c r="Y17" s="349"/>
    </row>
    <row r="18" spans="1:26" ht="15">
      <c r="B18" s="342" t="s">
        <v>514</v>
      </c>
      <c r="C18" s="46"/>
      <c r="D18" s="36"/>
      <c r="E18" s="36"/>
      <c r="F18" s="36"/>
      <c r="G18" s="36"/>
      <c r="H18" s="290"/>
      <c r="I18" s="290"/>
      <c r="J18" s="92">
        <v>160.9</v>
      </c>
      <c r="K18" s="92">
        <v>58.4</v>
      </c>
      <c r="L18" s="92">
        <v>34.5</v>
      </c>
      <c r="M18" s="92">
        <v>43</v>
      </c>
      <c r="N18" s="308">
        <f>'Provider Relief'!H11</f>
        <v>28.466200466200466</v>
      </c>
      <c r="O18" s="293">
        <f>'Provider Relief'!I11</f>
        <v>17.390442890442891</v>
      </c>
      <c r="P18" s="293">
        <f>'Provider Relief'!J11</f>
        <v>13.731934731934732</v>
      </c>
      <c r="Q18" s="293">
        <f>'Provider Relief'!K11</f>
        <v>11.576923076923078</v>
      </c>
      <c r="R18" s="293">
        <f>'Provider Relief'!L11</f>
        <v>2.5559440559440558</v>
      </c>
      <c r="S18" s="293"/>
      <c r="T18" s="293"/>
      <c r="U18" s="293"/>
      <c r="V18" s="293"/>
      <c r="W18" s="293"/>
      <c r="X18" s="293"/>
      <c r="Y18" s="349"/>
    </row>
    <row r="19" spans="1:26" ht="15">
      <c r="A19" s="175"/>
      <c r="B19" s="342" t="s">
        <v>522</v>
      </c>
      <c r="C19" s="46"/>
      <c r="D19" s="36"/>
      <c r="E19" s="36"/>
      <c r="F19" s="36"/>
      <c r="G19" s="36"/>
      <c r="H19" s="290"/>
      <c r="I19" s="290"/>
      <c r="J19" s="92"/>
      <c r="K19" s="92"/>
      <c r="L19" s="92"/>
      <c r="M19" s="92"/>
      <c r="N19" s="308">
        <f t="shared" ref="N19:Y19" si="2">N23</f>
        <v>148.71600000000007</v>
      </c>
      <c r="O19" s="293">
        <f t="shared" si="2"/>
        <v>148.71600000000007</v>
      </c>
      <c r="P19" s="293">
        <f t="shared" si="2"/>
        <v>151.73599999999999</v>
      </c>
      <c r="Q19" s="293">
        <f t="shared" si="2"/>
        <v>151.73599999999999</v>
      </c>
      <c r="R19" s="293">
        <f t="shared" si="2"/>
        <v>151.73599999999999</v>
      </c>
      <c r="S19" s="293">
        <f t="shared" si="2"/>
        <v>151.73599999999999</v>
      </c>
      <c r="T19" s="293">
        <f t="shared" si="2"/>
        <v>14.116</v>
      </c>
      <c r="U19" s="293">
        <f t="shared" si="2"/>
        <v>14.116</v>
      </c>
      <c r="V19" s="293">
        <f t="shared" si="2"/>
        <v>14.116</v>
      </c>
      <c r="W19" s="293">
        <f t="shared" si="2"/>
        <v>14.116</v>
      </c>
      <c r="X19" s="293">
        <f t="shared" si="2"/>
        <v>6.4009999999999998</v>
      </c>
      <c r="Y19" s="349">
        <f t="shared" si="2"/>
        <v>6.4009999999999998</v>
      </c>
    </row>
    <row r="20" spans="1:26">
      <c r="B20" s="475" t="s">
        <v>753</v>
      </c>
      <c r="C20" s="46"/>
      <c r="D20" s="426">
        <f>D54</f>
        <v>0</v>
      </c>
      <c r="E20" s="426">
        <f t="shared" ref="E20:Y20" si="3">E54</f>
        <v>0</v>
      </c>
      <c r="F20" s="426">
        <f t="shared" si="3"/>
        <v>0</v>
      </c>
      <c r="G20" s="426">
        <f t="shared" si="3"/>
        <v>0</v>
      </c>
      <c r="H20" s="426">
        <f t="shared" si="3"/>
        <v>0</v>
      </c>
      <c r="I20" s="426">
        <f t="shared" si="3"/>
        <v>-2.1247499999997217</v>
      </c>
      <c r="J20" s="426">
        <f t="shared" si="3"/>
        <v>-1.3684166666660076</v>
      </c>
      <c r="K20" s="426">
        <f t="shared" si="3"/>
        <v>105.38291666666714</v>
      </c>
      <c r="L20" s="426">
        <f t="shared" si="3"/>
        <v>39.547250000000531</v>
      </c>
      <c r="M20" s="426">
        <f t="shared" si="3"/>
        <v>58.906583333334083</v>
      </c>
      <c r="N20" s="847">
        <f t="shared" si="3"/>
        <v>30</v>
      </c>
      <c r="O20" s="848">
        <f t="shared" si="3"/>
        <v>30</v>
      </c>
      <c r="P20" s="848">
        <f t="shared" si="3"/>
        <v>30</v>
      </c>
      <c r="Q20" s="848">
        <f t="shared" si="3"/>
        <v>30</v>
      </c>
      <c r="R20" s="848">
        <f t="shared" si="3"/>
        <v>25</v>
      </c>
      <c r="S20" s="848">
        <f t="shared" si="3"/>
        <v>20</v>
      </c>
      <c r="T20" s="848">
        <f t="shared" si="3"/>
        <v>15</v>
      </c>
      <c r="U20" s="848">
        <f t="shared" si="3"/>
        <v>10</v>
      </c>
      <c r="V20" s="848">
        <f t="shared" si="3"/>
        <v>5</v>
      </c>
      <c r="W20" s="848">
        <f t="shared" si="3"/>
        <v>0</v>
      </c>
      <c r="X20" s="848">
        <f t="shared" si="3"/>
        <v>0</v>
      </c>
      <c r="Y20" s="849">
        <f t="shared" si="3"/>
        <v>0</v>
      </c>
    </row>
    <row r="21" spans="1:26" ht="30">
      <c r="B21" s="1067" t="s">
        <v>516</v>
      </c>
      <c r="C21" s="264"/>
      <c r="D21" s="335">
        <f t="shared" ref="D21:M21" si="4">D12-SUM(D13:D20)</f>
        <v>1440.2</v>
      </c>
      <c r="E21" s="335">
        <f t="shared" si="4"/>
        <v>1503.4</v>
      </c>
      <c r="F21" s="335">
        <f t="shared" si="4"/>
        <v>1508.6000000000001</v>
      </c>
      <c r="G21" s="335">
        <f t="shared" si="4"/>
        <v>1513.9</v>
      </c>
      <c r="H21" s="335">
        <f t="shared" si="4"/>
        <v>1521.8999999999999</v>
      </c>
      <c r="I21" s="335">
        <f t="shared" si="4"/>
        <v>1574.3999999999996</v>
      </c>
      <c r="J21" s="335">
        <f t="shared" si="4"/>
        <v>1580.5666666666666</v>
      </c>
      <c r="K21" s="335">
        <f t="shared" si="4"/>
        <v>1586.7333333333329</v>
      </c>
      <c r="L21" s="335">
        <f t="shared" si="4"/>
        <v>1592.8999999999994</v>
      </c>
      <c r="M21" s="335">
        <f t="shared" si="4"/>
        <v>1599.0666666666657</v>
      </c>
      <c r="N21" s="850">
        <f>M21+($L21-$I21)/3</f>
        <v>1605.2333333333322</v>
      </c>
      <c r="O21" s="851">
        <f>N21+($L21-$I21)/3</f>
        <v>1611.3999999999987</v>
      </c>
      <c r="P21" s="851">
        <f>O21+($L21-$I21)/3</f>
        <v>1617.5666666666652</v>
      </c>
      <c r="Q21" s="851">
        <f>M21*E41</f>
        <v>1682.4522694361517</v>
      </c>
      <c r="R21" s="851">
        <f>Q21+($L21-$I21)/3</f>
        <v>1688.6189361028182</v>
      </c>
      <c r="S21" s="851">
        <f>R21+($L21-$I21)/3</f>
        <v>1694.7856027694847</v>
      </c>
      <c r="T21" s="851">
        <f>S21+($L21-$I21)/3</f>
        <v>1700.9522694361513</v>
      </c>
      <c r="U21" s="851">
        <f>Q21*F41</f>
        <v>1777.8252807263359</v>
      </c>
      <c r="V21" s="851">
        <f>U21+($L21-$I21)/3</f>
        <v>1783.9919473930024</v>
      </c>
      <c r="W21" s="851">
        <f>V21+($L21-$I21)/3</f>
        <v>1790.1586140596689</v>
      </c>
      <c r="X21" s="851">
        <f>W21+($L21-$I21)/3</f>
        <v>1796.3252807263354</v>
      </c>
      <c r="Y21" s="852">
        <f>U21*G41</f>
        <v>1873.4262697087288</v>
      </c>
    </row>
    <row r="22" spans="1:26" ht="15">
      <c r="B22" s="1068" t="s">
        <v>534</v>
      </c>
      <c r="C22" s="264"/>
      <c r="D22" s="290">
        <f>D21 + D20</f>
        <v>1440.2</v>
      </c>
      <c r="E22" s="290">
        <f t="shared" ref="E22:Y22" si="5">E21 + E20</f>
        <v>1503.4</v>
      </c>
      <c r="F22" s="290">
        <f t="shared" si="5"/>
        <v>1508.6000000000001</v>
      </c>
      <c r="G22" s="290">
        <f t="shared" si="5"/>
        <v>1513.9</v>
      </c>
      <c r="H22" s="290">
        <f t="shared" si="5"/>
        <v>1521.8999999999999</v>
      </c>
      <c r="I22" s="290">
        <f t="shared" si="5"/>
        <v>1572.2752499999999</v>
      </c>
      <c r="J22" s="290">
        <f t="shared" si="5"/>
        <v>1579.1982500000006</v>
      </c>
      <c r="K22" s="290">
        <f t="shared" si="5"/>
        <v>1692.11625</v>
      </c>
      <c r="L22" s="290">
        <f t="shared" si="5"/>
        <v>1632.4472499999999</v>
      </c>
      <c r="M22" s="290">
        <f t="shared" si="5"/>
        <v>1657.9732499999998</v>
      </c>
      <c r="N22" s="308">
        <f t="shared" si="5"/>
        <v>1635.2333333333322</v>
      </c>
      <c r="O22" s="293">
        <f t="shared" si="5"/>
        <v>1641.3999999999987</v>
      </c>
      <c r="P22" s="293">
        <f t="shared" si="5"/>
        <v>1647.5666666666652</v>
      </c>
      <c r="Q22" s="293">
        <f t="shared" si="5"/>
        <v>1712.4522694361517</v>
      </c>
      <c r="R22" s="293">
        <f t="shared" si="5"/>
        <v>1713.6189361028182</v>
      </c>
      <c r="S22" s="293">
        <f t="shared" si="5"/>
        <v>1714.7856027694847</v>
      </c>
      <c r="T22" s="293">
        <f t="shared" si="5"/>
        <v>1715.9522694361513</v>
      </c>
      <c r="U22" s="293">
        <f t="shared" si="5"/>
        <v>1787.8252807263359</v>
      </c>
      <c r="V22" s="293">
        <f t="shared" si="5"/>
        <v>1788.9919473930024</v>
      </c>
      <c r="W22" s="293">
        <f t="shared" si="5"/>
        <v>1790.1586140596689</v>
      </c>
      <c r="X22" s="293">
        <f t="shared" si="5"/>
        <v>1796.3252807263354</v>
      </c>
      <c r="Y22" s="293">
        <f t="shared" si="5"/>
        <v>1873.4262697087288</v>
      </c>
    </row>
    <row r="23" spans="1:26" ht="30">
      <c r="B23" s="373" t="s">
        <v>533</v>
      </c>
      <c r="C23" s="46"/>
      <c r="D23" s="36"/>
      <c r="E23" s="36"/>
      <c r="F23" s="36"/>
      <c r="G23" s="36"/>
      <c r="H23" s="290"/>
      <c r="I23" s="290"/>
      <c r="J23" s="290"/>
      <c r="K23" s="290"/>
      <c r="L23" s="290"/>
      <c r="M23" s="290">
        <f t="shared" ref="M23:Y23" si="6">SUM(M24:M25)</f>
        <v>0</v>
      </c>
      <c r="N23" s="308">
        <f t="shared" si="6"/>
        <v>148.71600000000007</v>
      </c>
      <c r="O23" s="293">
        <f t="shared" si="6"/>
        <v>148.71600000000007</v>
      </c>
      <c r="P23" s="293">
        <f t="shared" si="6"/>
        <v>151.73599999999999</v>
      </c>
      <c r="Q23" s="293">
        <f t="shared" si="6"/>
        <v>151.73599999999999</v>
      </c>
      <c r="R23" s="293">
        <f t="shared" si="6"/>
        <v>151.73599999999999</v>
      </c>
      <c r="S23" s="293">
        <f t="shared" si="6"/>
        <v>151.73599999999999</v>
      </c>
      <c r="T23" s="293">
        <f t="shared" si="6"/>
        <v>14.116</v>
      </c>
      <c r="U23" s="293">
        <f t="shared" si="6"/>
        <v>14.116</v>
      </c>
      <c r="V23" s="293">
        <f t="shared" si="6"/>
        <v>14.116</v>
      </c>
      <c r="W23" s="293">
        <f t="shared" si="6"/>
        <v>14.116</v>
      </c>
      <c r="X23" s="293">
        <f t="shared" si="6"/>
        <v>6.4009999999999998</v>
      </c>
      <c r="Y23" s="349">
        <f t="shared" si="6"/>
        <v>6.4009999999999998</v>
      </c>
    </row>
    <row r="24" spans="1:26" s="759" customFormat="1" ht="15">
      <c r="B24" s="456" t="s">
        <v>583</v>
      </c>
      <c r="C24" s="264"/>
      <c r="D24" s="263"/>
      <c r="E24" s="263"/>
      <c r="F24" s="263"/>
      <c r="G24" s="263"/>
      <c r="H24" s="335"/>
      <c r="I24" s="335"/>
      <c r="J24" s="335"/>
      <c r="K24" s="335"/>
      <c r="L24" s="335"/>
      <c r="M24" s="335">
        <f>'ARP Quarterly'!C5</f>
        <v>0</v>
      </c>
      <c r="N24" s="813">
        <f>'ARP Quarterly'!D5</f>
        <v>95.444000000000031</v>
      </c>
      <c r="O24" s="814">
        <f>'ARP Quarterly'!E5</f>
        <v>95.444000000000031</v>
      </c>
      <c r="P24" s="814">
        <f>'ARP Quarterly'!F5</f>
        <v>52.756999999999998</v>
      </c>
      <c r="Q24" s="814">
        <f>'ARP Quarterly'!G5</f>
        <v>52.756999999999998</v>
      </c>
      <c r="R24" s="814">
        <f>'ARP Quarterly'!H5</f>
        <v>52.756999999999998</v>
      </c>
      <c r="S24" s="814">
        <f>'ARP Quarterly'!I5</f>
        <v>52.756999999999998</v>
      </c>
      <c r="T24" s="814">
        <f>'ARP Quarterly'!J5</f>
        <v>12</v>
      </c>
      <c r="U24" s="814">
        <f>'ARP Quarterly'!K5</f>
        <v>12</v>
      </c>
      <c r="V24" s="814">
        <f>'ARP Quarterly'!L5</f>
        <v>12</v>
      </c>
      <c r="W24" s="814">
        <f>'ARP Quarterly'!M5</f>
        <v>12</v>
      </c>
      <c r="X24" s="814">
        <f>'ARP Quarterly'!N5</f>
        <v>4.2219999999999995</v>
      </c>
      <c r="Y24" s="815">
        <f>'ARP Quarterly'!O5</f>
        <v>4.2219999999999995</v>
      </c>
    </row>
    <row r="25" spans="1:26" ht="15">
      <c r="B25" s="456" t="s">
        <v>457</v>
      </c>
      <c r="C25" s="264"/>
      <c r="D25" s="263"/>
      <c r="E25" s="263"/>
      <c r="F25" s="263"/>
      <c r="G25" s="263"/>
      <c r="H25" s="335"/>
      <c r="I25" s="335"/>
      <c r="J25" s="335"/>
      <c r="K25" s="335"/>
      <c r="L25" s="335"/>
      <c r="M25" s="335">
        <f>'ARP Quarterly'!C4</f>
        <v>0</v>
      </c>
      <c r="N25" s="813">
        <f>'ARP Quarterly'!D4</f>
        <v>53.272000000000048</v>
      </c>
      <c r="O25" s="814">
        <f>'ARP Quarterly'!E4</f>
        <v>53.272000000000048</v>
      </c>
      <c r="P25" s="814">
        <f>'ARP Quarterly'!F4</f>
        <v>98.978999999999999</v>
      </c>
      <c r="Q25" s="814">
        <f>'ARP Quarterly'!G4</f>
        <v>98.978999999999999</v>
      </c>
      <c r="R25" s="814">
        <f>'ARP Quarterly'!H4</f>
        <v>98.978999999999999</v>
      </c>
      <c r="S25" s="814">
        <f>'ARP Quarterly'!I4</f>
        <v>98.978999999999999</v>
      </c>
      <c r="T25" s="814">
        <f>'ARP Quarterly'!J4</f>
        <v>2.1159999999999997</v>
      </c>
      <c r="U25" s="814">
        <f>'ARP Quarterly'!K4</f>
        <v>2.1159999999999997</v>
      </c>
      <c r="V25" s="814">
        <f>'ARP Quarterly'!L4</f>
        <v>2.1159999999999997</v>
      </c>
      <c r="W25" s="814">
        <f>'ARP Quarterly'!M4</f>
        <v>2.1159999999999997</v>
      </c>
      <c r="X25" s="814">
        <f>'ARP Quarterly'!N4</f>
        <v>2.1789999999999998</v>
      </c>
      <c r="Y25" s="815">
        <f>'ARP Quarterly'!O4</f>
        <v>2.1789999999999998</v>
      </c>
    </row>
    <row r="26" spans="1:26">
      <c r="B26" s="371"/>
      <c r="C26" s="264"/>
      <c r="D26" s="263"/>
      <c r="E26" s="263"/>
      <c r="F26" s="263"/>
      <c r="G26" s="263"/>
      <c r="H26" s="335"/>
      <c r="I26" s="335"/>
      <c r="J26" s="335"/>
      <c r="K26" s="335"/>
      <c r="L26" s="335"/>
      <c r="M26" s="335"/>
      <c r="N26" s="853"/>
      <c r="O26" s="854"/>
      <c r="P26" s="854"/>
      <c r="Q26" s="854"/>
      <c r="R26" s="854"/>
      <c r="S26" s="854"/>
      <c r="T26" s="854"/>
      <c r="U26" s="854"/>
      <c r="V26" s="854"/>
      <c r="W26" s="854"/>
      <c r="X26" s="854"/>
      <c r="Y26" s="855"/>
    </row>
    <row r="27" spans="1:26">
      <c r="B27" s="1377" t="s">
        <v>450</v>
      </c>
      <c r="C27" s="1378"/>
      <c r="D27" s="502"/>
      <c r="E27" s="502"/>
      <c r="F27" s="502"/>
      <c r="G27" s="502"/>
      <c r="H27" s="503"/>
      <c r="I27" s="503"/>
      <c r="J27" s="503"/>
      <c r="K27" s="503"/>
      <c r="L27" s="503"/>
      <c r="M27" s="503"/>
      <c r="N27" s="810"/>
      <c r="O27" s="811"/>
      <c r="P27" s="811"/>
      <c r="Q27" s="811"/>
      <c r="R27" s="811"/>
      <c r="S27" s="811"/>
      <c r="T27" s="811"/>
      <c r="U27" s="811"/>
      <c r="V27" s="811"/>
      <c r="W27" s="811"/>
      <c r="X27" s="811"/>
      <c r="Y27" s="812"/>
    </row>
    <row r="28" spans="1:26">
      <c r="B28" s="291" t="s">
        <v>7</v>
      </c>
      <c r="C28" s="46" t="s">
        <v>249</v>
      </c>
      <c r="D28" s="290">
        <f>'Haver Pivoted'!GO37</f>
        <v>728.8</v>
      </c>
      <c r="E28" s="290">
        <f>'Haver Pivoted'!GP37</f>
        <v>738.7</v>
      </c>
      <c r="F28" s="290">
        <f>'Haver Pivoted'!GQ37</f>
        <v>755.2</v>
      </c>
      <c r="G28" s="290">
        <f>'Haver Pivoted'!GR37</f>
        <v>763.4</v>
      </c>
      <c r="H28" s="290">
        <f>'Haver Pivoted'!GS37</f>
        <v>761</v>
      </c>
      <c r="I28" s="290">
        <f>'Haver Pivoted'!GT37</f>
        <v>767.1</v>
      </c>
      <c r="J28" s="290">
        <f>'Haver Pivoted'!GU37</f>
        <v>812.2</v>
      </c>
      <c r="K28" s="290">
        <f>'Haver Pivoted'!GV37</f>
        <v>828.5</v>
      </c>
      <c r="L28" s="290">
        <f>'Haver Pivoted'!GW37</f>
        <v>827.6</v>
      </c>
      <c r="M28" s="290">
        <f>'Haver Pivoted'!GX37</f>
        <v>846</v>
      </c>
      <c r="N28" s="308">
        <f>N29+N30</f>
        <v>840.73079560717895</v>
      </c>
      <c r="O28" s="293">
        <f t="shared" ref="O28:Y28" si="7">O29+O30</f>
        <v>837.05991766314344</v>
      </c>
      <c r="P28" s="293">
        <f t="shared" si="7"/>
        <v>834.41907390238146</v>
      </c>
      <c r="Q28" s="293">
        <f t="shared" si="7"/>
        <v>833.02294648293503</v>
      </c>
      <c r="R28" s="293">
        <f t="shared" si="7"/>
        <v>832.72925862990598</v>
      </c>
      <c r="S28" s="293">
        <f t="shared" si="7"/>
        <v>833.41306563484784</v>
      </c>
      <c r="T28" s="293">
        <f t="shared" si="7"/>
        <v>832.22293029885259</v>
      </c>
      <c r="U28" s="293">
        <f t="shared" si="7"/>
        <v>831.76253356743928</v>
      </c>
      <c r="V28" s="293">
        <f t="shared" si="7"/>
        <v>32.435276233944904</v>
      </c>
      <c r="W28" s="293">
        <f t="shared" si="7"/>
        <v>28.502466161912935</v>
      </c>
      <c r="X28" s="293">
        <f t="shared" si="7"/>
        <v>25.046513291623839</v>
      </c>
      <c r="Y28" s="349">
        <f t="shared" si="7"/>
        <v>22.009598204725549</v>
      </c>
    </row>
    <row r="29" spans="1:26">
      <c r="B29" s="302" t="s">
        <v>456</v>
      </c>
      <c r="C29" s="46"/>
      <c r="D29" s="290">
        <f>Medicaid!D25</f>
        <v>619.4</v>
      </c>
      <c r="E29" s="290">
        <f>Medicaid!E25</f>
        <v>624.1</v>
      </c>
      <c r="F29" s="290">
        <f>Medicaid!F25</f>
        <v>668.8</v>
      </c>
      <c r="G29" s="290">
        <f>Medicaid!G25</f>
        <v>683.7</v>
      </c>
      <c r="H29" s="290">
        <f>Medicaid!H25</f>
        <v>682.4</v>
      </c>
      <c r="I29" s="290">
        <f>Medicaid!I25</f>
        <v>700.1</v>
      </c>
      <c r="J29" s="290">
        <f>Medicaid!J25</f>
        <v>720.39512083830527</v>
      </c>
      <c r="K29" s="290">
        <f>Medicaid!K25</f>
        <v>727.76943593473425</v>
      </c>
      <c r="L29" s="290">
        <f>Medicaid!L25</f>
        <v>734.94495721873636</v>
      </c>
      <c r="M29" s="290">
        <f>Medicaid!M25</f>
        <v>742.19122632911706</v>
      </c>
      <c r="N29" s="308">
        <f>Medicaid!N25</f>
        <v>749.50894081170463</v>
      </c>
      <c r="O29" s="293">
        <f>Medicaid!O25</f>
        <v>756.89880508985573</v>
      </c>
      <c r="P29" s="293">
        <f>Medicaid!P25</f>
        <v>763.97757736194819</v>
      </c>
      <c r="Q29" s="293">
        <f>Medicaid!Q25</f>
        <v>771.12255269387265</v>
      </c>
      <c r="R29" s="293">
        <f>Medicaid!R25</f>
        <v>778.33435023891764</v>
      </c>
      <c r="S29" s="293">
        <f>Medicaid!S25</f>
        <v>785.61359494090163</v>
      </c>
      <c r="T29" s="293">
        <f>Medicaid!T25</f>
        <v>790.21919380575196</v>
      </c>
      <c r="U29" s="293">
        <f>Medicaid!U25</f>
        <v>794.85179263730413</v>
      </c>
      <c r="V29" s="293">
        <f>Medicaid!V25</f>
        <v>0</v>
      </c>
      <c r="W29" s="293">
        <f>Medicaid!W25</f>
        <v>0</v>
      </c>
      <c r="X29" s="293">
        <f>Medicaid!X25</f>
        <v>0</v>
      </c>
      <c r="Y29" s="349">
        <f>Medicaid!Y25</f>
        <v>0</v>
      </c>
    </row>
    <row r="30" spans="1:26" ht="31.5" customHeight="1">
      <c r="B30" s="368" t="s">
        <v>472</v>
      </c>
      <c r="C30" s="264"/>
      <c r="D30" s="335">
        <f t="shared" ref="D30:M30" si="8">D28-D29</f>
        <v>109.39999999999998</v>
      </c>
      <c r="E30" s="335">
        <f t="shared" si="8"/>
        <v>114.60000000000002</v>
      </c>
      <c r="F30" s="335">
        <f t="shared" si="8"/>
        <v>86.400000000000091</v>
      </c>
      <c r="G30" s="335">
        <f t="shared" si="8"/>
        <v>79.699999999999932</v>
      </c>
      <c r="H30" s="335">
        <f t="shared" si="8"/>
        <v>78.600000000000023</v>
      </c>
      <c r="I30" s="335">
        <f t="shared" si="8"/>
        <v>67</v>
      </c>
      <c r="J30" s="335">
        <f t="shared" si="8"/>
        <v>91.804879161694771</v>
      </c>
      <c r="K30" s="335">
        <f t="shared" si="8"/>
        <v>100.73056406526575</v>
      </c>
      <c r="L30" s="335">
        <f t="shared" si="8"/>
        <v>92.65504278126366</v>
      </c>
      <c r="M30" s="335">
        <f t="shared" si="8"/>
        <v>103.80877367088294</v>
      </c>
      <c r="N30" s="813">
        <f t="shared" ref="N30:Y30" si="9">M30*(1+AVERAGE($F$31:$I$31))</f>
        <v>91.221854795474272</v>
      </c>
      <c r="O30" s="814">
        <f t="shared" si="9"/>
        <v>80.16111257328771</v>
      </c>
      <c r="P30" s="814">
        <f t="shared" si="9"/>
        <v>70.441496540433249</v>
      </c>
      <c r="Q30" s="814">
        <f t="shared" si="9"/>
        <v>61.900393789062385</v>
      </c>
      <c r="R30" s="814">
        <f t="shared" si="9"/>
        <v>54.394908390988398</v>
      </c>
      <c r="S30" s="814">
        <f t="shared" si="9"/>
        <v>47.799470693946255</v>
      </c>
      <c r="T30" s="814">
        <f t="shared" si="9"/>
        <v>42.003736493100661</v>
      </c>
      <c r="U30" s="814">
        <f t="shared" si="9"/>
        <v>36.91074093013512</v>
      </c>
      <c r="V30" s="814">
        <f t="shared" si="9"/>
        <v>32.435276233944904</v>
      </c>
      <c r="W30" s="814">
        <f t="shared" si="9"/>
        <v>28.502466161912935</v>
      </c>
      <c r="X30" s="814">
        <f t="shared" si="9"/>
        <v>25.046513291623839</v>
      </c>
      <c r="Y30" s="815">
        <f t="shared" si="9"/>
        <v>22.009598204725549</v>
      </c>
      <c r="Z30" s="374"/>
    </row>
    <row r="31" spans="1:26" ht="19" customHeight="1">
      <c r="B31" s="370" t="s">
        <v>471</v>
      </c>
      <c r="C31" s="46"/>
      <c r="D31" s="316"/>
      <c r="E31" s="367">
        <f t="shared" ref="E31:M31" si="10">E30/D30-1</f>
        <v>4.753199268738606E-2</v>
      </c>
      <c r="F31" s="367">
        <f t="shared" si="10"/>
        <v>-0.24607329842931869</v>
      </c>
      <c r="G31" s="367">
        <f t="shared" si="10"/>
        <v>-7.7546296296298056E-2</v>
      </c>
      <c r="H31" s="367">
        <f t="shared" si="10"/>
        <v>-1.3801756587200842E-2</v>
      </c>
      <c r="I31" s="367">
        <f t="shared" si="10"/>
        <v>-0.14758269720101802</v>
      </c>
      <c r="J31" s="367">
        <f t="shared" si="10"/>
        <v>0.37022207704022048</v>
      </c>
      <c r="K31" s="367">
        <f t="shared" si="10"/>
        <v>9.722451557122902E-2</v>
      </c>
      <c r="L31" s="367">
        <f t="shared" si="10"/>
        <v>-8.0169523112863406E-2</v>
      </c>
      <c r="M31" s="367">
        <f t="shared" si="10"/>
        <v>0.12037910247314398</v>
      </c>
      <c r="N31" s="816">
        <f t="shared" ref="N31" si="11">N30/M30-1</f>
        <v>-0.1212510121284589</v>
      </c>
      <c r="O31" s="817">
        <f t="shared" ref="O31" si="12">O30/N30-1</f>
        <v>-0.12125101212845879</v>
      </c>
      <c r="P31" s="817">
        <f t="shared" ref="P31" si="13">P30/O30-1</f>
        <v>-0.12125101212845879</v>
      </c>
      <c r="Q31" s="817">
        <f t="shared" ref="Q31" si="14">Q30/P30-1</f>
        <v>-0.1212510121284589</v>
      </c>
      <c r="R31" s="817">
        <f t="shared" ref="R31" si="15">R30/Q30-1</f>
        <v>-0.1212510121284589</v>
      </c>
      <c r="S31" s="817">
        <f t="shared" ref="S31" si="16">S30/R30-1</f>
        <v>-0.1212510121284589</v>
      </c>
      <c r="T31" s="817">
        <f t="shared" ref="T31" si="17">T30/S30-1</f>
        <v>-0.1212510121284589</v>
      </c>
      <c r="U31" s="817">
        <f t="shared" ref="U31" si="18">U30/T30-1</f>
        <v>-0.1212510121284589</v>
      </c>
      <c r="V31" s="817">
        <f t="shared" ref="V31" si="19">V30/U30-1</f>
        <v>-0.12125101212845879</v>
      </c>
      <c r="W31" s="817">
        <f t="shared" ref="W31" si="20">W30/V30-1</f>
        <v>-0.1212510121284589</v>
      </c>
      <c r="X31" s="817">
        <f t="shared" ref="X31" si="21">X30/W30-1</f>
        <v>-0.1212510121284589</v>
      </c>
      <c r="Y31" s="818">
        <f t="shared" ref="Y31" si="22">Y30/X30-1</f>
        <v>-0.1212510121284589</v>
      </c>
      <c r="Z31" s="374"/>
    </row>
    <row r="32" spans="1:26">
      <c r="B32" s="1371"/>
      <c r="C32" s="1371"/>
      <c r="D32" s="343"/>
      <c r="E32" s="343"/>
      <c r="F32" s="343"/>
      <c r="G32" s="343"/>
      <c r="H32" s="50"/>
      <c r="I32" s="50"/>
      <c r="J32" s="50"/>
      <c r="K32" s="50"/>
      <c r="L32" s="50"/>
      <c r="M32" s="50"/>
      <c r="N32" s="582"/>
      <c r="O32" s="582"/>
      <c r="P32" s="582"/>
      <c r="Q32" s="582"/>
      <c r="R32" s="582"/>
      <c r="S32" s="582"/>
      <c r="T32" s="582"/>
      <c r="U32" s="582"/>
      <c r="V32" s="582"/>
      <c r="W32" s="582"/>
      <c r="X32" s="582"/>
      <c r="Y32" s="582"/>
      <c r="Z32" s="38"/>
    </row>
    <row r="33" spans="2:25">
      <c r="B33" s="67" t="s">
        <v>422</v>
      </c>
    </row>
    <row r="34" spans="2:25" ht="23" customHeight="1">
      <c r="B34" s="824" t="s">
        <v>722</v>
      </c>
      <c r="C34" s="820">
        <v>2020</v>
      </c>
      <c r="D34" s="820">
        <v>2021</v>
      </c>
      <c r="E34" s="820">
        <v>2022</v>
      </c>
      <c r="F34" s="820">
        <v>2023</v>
      </c>
      <c r="G34" s="821">
        <v>2024</v>
      </c>
    </row>
    <row r="35" spans="2:25" ht="23" customHeight="1">
      <c r="B35" s="825" t="s">
        <v>559</v>
      </c>
      <c r="C35" s="822">
        <v>1093.854</v>
      </c>
      <c r="D35" s="822">
        <v>1158.1199999999999</v>
      </c>
      <c r="E35" s="822">
        <v>1230.039</v>
      </c>
      <c r="F35" s="822">
        <v>1306.5239999999999</v>
      </c>
      <c r="G35" s="823">
        <v>1386.079</v>
      </c>
    </row>
    <row r="36" spans="2:25">
      <c r="B36" s="825" t="s">
        <v>560</v>
      </c>
      <c r="C36" s="822">
        <v>300.51900000000001</v>
      </c>
      <c r="D36" s="822">
        <v>300.82</v>
      </c>
      <c r="E36" s="822">
        <v>307.28300000000002</v>
      </c>
      <c r="F36" s="822">
        <v>320.10899999999998</v>
      </c>
      <c r="G36" s="823">
        <v>329.596</v>
      </c>
    </row>
    <row r="37" spans="2:25">
      <c r="B37" s="825" t="s">
        <v>561</v>
      </c>
      <c r="C37" s="822">
        <v>124.39699999999999</v>
      </c>
      <c r="D37" s="822">
        <v>129.75700000000001</v>
      </c>
      <c r="E37" s="822">
        <v>133.31899999999999</v>
      </c>
      <c r="F37" s="822">
        <v>138.328</v>
      </c>
      <c r="G37" s="823">
        <v>144.351</v>
      </c>
    </row>
    <row r="38" spans="2:25">
      <c r="B38" s="825" t="s">
        <v>562</v>
      </c>
      <c r="C38" s="822">
        <v>1.976</v>
      </c>
      <c r="D38" s="822">
        <v>3.512</v>
      </c>
      <c r="E38" s="822">
        <v>4.5960000000000001</v>
      </c>
      <c r="F38" s="822">
        <v>5.24</v>
      </c>
      <c r="G38" s="823">
        <v>5.3659999999999997</v>
      </c>
    </row>
    <row r="39" spans="2:25">
      <c r="B39" s="52"/>
      <c r="C39" s="36"/>
      <c r="D39" s="36"/>
      <c r="E39" s="36"/>
      <c r="F39" s="36"/>
      <c r="G39" s="46"/>
    </row>
    <row r="40" spans="2:25">
      <c r="B40" s="52" t="s">
        <v>723</v>
      </c>
      <c r="C40" s="158">
        <f>SUM(C35:C38)</f>
        <v>1520.7460000000001</v>
      </c>
      <c r="D40" s="158">
        <f t="shared" ref="D40:G40" si="23">SUM(D35:D38)</f>
        <v>1592.2089999999998</v>
      </c>
      <c r="E40" s="158">
        <f t="shared" si="23"/>
        <v>1675.2370000000001</v>
      </c>
      <c r="F40" s="158">
        <f t="shared" si="23"/>
        <v>1770.2009999999998</v>
      </c>
      <c r="G40" s="159">
        <f t="shared" si="23"/>
        <v>1865.3919999999998</v>
      </c>
    </row>
    <row r="41" spans="2:25">
      <c r="B41" s="827" t="s">
        <v>724</v>
      </c>
      <c r="C41" s="48"/>
      <c r="D41" s="611">
        <f>D40/C40</f>
        <v>1.0469920683664462</v>
      </c>
      <c r="E41" s="611">
        <f>E40/D40</f>
        <v>1.0521464204762065</v>
      </c>
      <c r="F41" s="611">
        <f>F40/E40</f>
        <v>1.05668690459917</v>
      </c>
      <c r="G41" s="806">
        <f>G40/F40</f>
        <v>1.0537741194361545</v>
      </c>
    </row>
    <row r="45" spans="2:25">
      <c r="B45" s="67" t="s">
        <v>423</v>
      </c>
    </row>
    <row r="46" spans="2:25">
      <c r="B46" s="1245" t="s">
        <v>749</v>
      </c>
      <c r="C46" s="1246"/>
      <c r="D46" s="580"/>
      <c r="E46" s="580"/>
      <c r="F46" s="580"/>
      <c r="G46" s="580"/>
      <c r="H46" s="580"/>
      <c r="I46" s="423" t="s">
        <v>278</v>
      </c>
      <c r="J46" s="422"/>
      <c r="K46" s="422"/>
      <c r="L46" s="422"/>
      <c r="M46" s="422"/>
      <c r="N46" s="1272" t="s">
        <v>145</v>
      </c>
      <c r="O46" s="1273"/>
      <c r="P46" s="1273"/>
      <c r="Q46" s="1273"/>
      <c r="R46" s="1273"/>
      <c r="S46" s="1273"/>
      <c r="T46" s="1273"/>
      <c r="U46" s="1273"/>
      <c r="V46" s="1273"/>
      <c r="W46" s="1273"/>
      <c r="X46" s="1273"/>
      <c r="Y46" s="1275"/>
    </row>
    <row r="47" spans="2:25">
      <c r="B47" s="1247"/>
      <c r="C47" s="1292"/>
      <c r="D47" s="317">
        <v>2018</v>
      </c>
      <c r="E47" s="1345">
        <v>2019</v>
      </c>
      <c r="F47" s="1305"/>
      <c r="G47" s="1305"/>
      <c r="H47" s="1323"/>
      <c r="I47" s="1345">
        <v>2020</v>
      </c>
      <c r="J47" s="1305"/>
      <c r="K47" s="1305"/>
      <c r="L47" s="1323"/>
      <c r="M47" s="808">
        <v>2021</v>
      </c>
      <c r="N47" s="584">
        <v>2021</v>
      </c>
      <c r="O47" s="585"/>
      <c r="P47" s="586"/>
      <c r="Q47" s="577">
        <v>2022</v>
      </c>
      <c r="R47" s="578"/>
      <c r="S47" s="578"/>
      <c r="T47" s="579"/>
      <c r="U47" s="577">
        <v>2023</v>
      </c>
      <c r="V47" s="578"/>
      <c r="W47" s="578"/>
      <c r="X47" s="579"/>
      <c r="Y47" s="77">
        <v>2024</v>
      </c>
    </row>
    <row r="48" spans="2:25">
      <c r="B48" s="1247"/>
      <c r="C48" s="1292"/>
      <c r="D48" s="296" t="s">
        <v>140</v>
      </c>
      <c r="E48" s="268" t="s">
        <v>137</v>
      </c>
      <c r="F48" s="269" t="s">
        <v>138</v>
      </c>
      <c r="G48" s="269" t="s">
        <v>458</v>
      </c>
      <c r="H48" s="43" t="s">
        <v>140</v>
      </c>
      <c r="I48" s="41" t="s">
        <v>137</v>
      </c>
      <c r="J48" s="42" t="s">
        <v>138</v>
      </c>
      <c r="K48" s="42" t="s">
        <v>139</v>
      </c>
      <c r="L48" s="43" t="s">
        <v>140</v>
      </c>
      <c r="M48" s="41" t="s">
        <v>137</v>
      </c>
      <c r="N48" s="590" t="s">
        <v>138</v>
      </c>
      <c r="O48" s="591" t="s">
        <v>139</v>
      </c>
      <c r="P48" s="592" t="s">
        <v>140</v>
      </c>
      <c r="Q48" s="590" t="s">
        <v>137</v>
      </c>
      <c r="R48" s="591" t="s">
        <v>138</v>
      </c>
      <c r="S48" s="591" t="s">
        <v>139</v>
      </c>
      <c r="T48" s="592" t="s">
        <v>140</v>
      </c>
      <c r="U48" s="590" t="s">
        <v>137</v>
      </c>
      <c r="V48" s="591" t="s">
        <v>138</v>
      </c>
      <c r="W48" s="591" t="s">
        <v>139</v>
      </c>
      <c r="X48" s="592" t="s">
        <v>140</v>
      </c>
      <c r="Y48" s="117" t="s">
        <v>137</v>
      </c>
    </row>
    <row r="49" spans="2:25">
      <c r="B49" s="47" t="s">
        <v>529</v>
      </c>
      <c r="C49" s="46"/>
      <c r="D49" s="289">
        <f t="shared" ref="D49:Y49" si="24">SUM(D13:D18)</f>
        <v>780.3</v>
      </c>
      <c r="E49" s="290">
        <f t="shared" si="24"/>
        <v>795.4</v>
      </c>
      <c r="F49" s="290">
        <f t="shared" si="24"/>
        <v>807.2</v>
      </c>
      <c r="G49" s="290">
        <f t="shared" si="24"/>
        <v>817.5</v>
      </c>
      <c r="H49" s="290">
        <f t="shared" si="24"/>
        <v>825.8</v>
      </c>
      <c r="I49" s="290">
        <f t="shared" si="24"/>
        <v>850.22474999999997</v>
      </c>
      <c r="J49" s="290">
        <f t="shared" si="24"/>
        <v>3236.1017499999998</v>
      </c>
      <c r="K49" s="290">
        <f t="shared" si="24"/>
        <v>1802.7837500000001</v>
      </c>
      <c r="L49" s="290">
        <f t="shared" si="24"/>
        <v>1285.7527499999999</v>
      </c>
      <c r="M49" s="319">
        <f t="shared" si="24"/>
        <v>3506.02675</v>
      </c>
      <c r="N49" s="289">
        <f t="shared" si="24"/>
        <v>1773.4962377784652</v>
      </c>
      <c r="O49" s="290">
        <f t="shared" si="24"/>
        <v>1399.1921833920137</v>
      </c>
      <c r="P49" s="290">
        <f t="shared" si="24"/>
        <v>1018.3165353774984</v>
      </c>
      <c r="Q49" s="290">
        <f t="shared" si="24"/>
        <v>1036.6649928057989</v>
      </c>
      <c r="R49" s="290">
        <f t="shared" si="24"/>
        <v>1034.3521634839585</v>
      </c>
      <c r="S49" s="290">
        <f t="shared" si="24"/>
        <v>1008.9050948967555</v>
      </c>
      <c r="T49" s="290">
        <f t="shared" si="24"/>
        <v>1022.232819936091</v>
      </c>
      <c r="U49" s="290">
        <f t="shared" si="24"/>
        <v>1038.9431766195607</v>
      </c>
      <c r="V49" s="290">
        <f t="shared" si="24"/>
        <v>1056.9818594291341</v>
      </c>
      <c r="W49" s="290">
        <f t="shared" si="24"/>
        <v>1076.3553757513873</v>
      </c>
      <c r="X49" s="290">
        <f t="shared" si="24"/>
        <v>1094.8284981155855</v>
      </c>
      <c r="Y49" s="319">
        <f t="shared" si="24"/>
        <v>1116.5989069813675</v>
      </c>
    </row>
    <row r="50" spans="2:25">
      <c r="B50" s="47" t="s">
        <v>530</v>
      </c>
      <c r="C50" s="46"/>
      <c r="D50" s="289">
        <f t="shared" ref="D50:Y50" si="25">D12</f>
        <v>2220.5</v>
      </c>
      <c r="E50" s="290">
        <f t="shared" si="25"/>
        <v>2298.8000000000002</v>
      </c>
      <c r="F50" s="290">
        <f t="shared" si="25"/>
        <v>2315.8000000000002</v>
      </c>
      <c r="G50" s="290">
        <f t="shared" si="25"/>
        <v>2331.4</v>
      </c>
      <c r="H50" s="290">
        <f t="shared" si="25"/>
        <v>2347.6999999999998</v>
      </c>
      <c r="I50" s="290">
        <f t="shared" si="25"/>
        <v>2422.5</v>
      </c>
      <c r="J50" s="290">
        <f t="shared" si="25"/>
        <v>4815.3</v>
      </c>
      <c r="K50" s="290">
        <f t="shared" si="25"/>
        <v>3494.9</v>
      </c>
      <c r="L50" s="290">
        <f t="shared" si="25"/>
        <v>2918.2</v>
      </c>
      <c r="M50" s="319">
        <f t="shared" si="25"/>
        <v>5164</v>
      </c>
      <c r="N50" s="289">
        <f t="shared" si="25"/>
        <v>3557.4455711117976</v>
      </c>
      <c r="O50" s="290">
        <f t="shared" si="25"/>
        <v>3189.3081833920123</v>
      </c>
      <c r="P50" s="290">
        <f t="shared" si="25"/>
        <v>2817.6192020441636</v>
      </c>
      <c r="Q50" s="290">
        <f t="shared" si="25"/>
        <v>2900.8532622419507</v>
      </c>
      <c r="R50" s="290">
        <f t="shared" si="25"/>
        <v>2899.7070995867766</v>
      </c>
      <c r="S50" s="290">
        <f t="shared" si="25"/>
        <v>2875.4266976662402</v>
      </c>
      <c r="T50" s="290">
        <f t="shared" si="25"/>
        <v>2752.3010893722421</v>
      </c>
      <c r="U50" s="290">
        <f t="shared" si="25"/>
        <v>2840.8844573458964</v>
      </c>
      <c r="V50" s="290">
        <f t="shared" si="25"/>
        <v>2860.0898068221368</v>
      </c>
      <c r="W50" s="290">
        <f t="shared" si="25"/>
        <v>2880.6299898110565</v>
      </c>
      <c r="X50" s="290">
        <f t="shared" si="25"/>
        <v>2897.5547788419208</v>
      </c>
      <c r="Y50" s="319">
        <f t="shared" si="25"/>
        <v>2996.4261766900963</v>
      </c>
    </row>
    <row r="51" spans="2:25">
      <c r="B51" s="47" t="s">
        <v>531</v>
      </c>
      <c r="C51" s="46"/>
      <c r="D51" s="289">
        <f>D50-D49</f>
        <v>1440.2</v>
      </c>
      <c r="E51" s="290">
        <f t="shared" ref="E51:M51" si="26">E50-E49</f>
        <v>1503.4</v>
      </c>
      <c r="F51" s="290">
        <f t="shared" si="26"/>
        <v>1508.6000000000001</v>
      </c>
      <c r="G51" s="290">
        <f t="shared" si="26"/>
        <v>1513.9</v>
      </c>
      <c r="H51" s="290">
        <f t="shared" si="26"/>
        <v>1521.8999999999999</v>
      </c>
      <c r="I51" s="290">
        <f t="shared" si="26"/>
        <v>1572.2752500000001</v>
      </c>
      <c r="J51" s="290">
        <f t="shared" si="26"/>
        <v>1579.1982500000004</v>
      </c>
      <c r="K51" s="290">
        <f t="shared" si="26"/>
        <v>1692.11625</v>
      </c>
      <c r="L51" s="290">
        <f t="shared" si="26"/>
        <v>1632.4472499999999</v>
      </c>
      <c r="M51" s="319">
        <f t="shared" si="26"/>
        <v>1657.97325</v>
      </c>
      <c r="N51" s="275"/>
      <c r="O51" s="50"/>
      <c r="P51" s="50"/>
      <c r="Q51" s="50"/>
      <c r="R51" s="50"/>
      <c r="S51" s="50"/>
      <c r="T51" s="50"/>
      <c r="U51" s="50"/>
      <c r="V51" s="50"/>
      <c r="W51" s="50"/>
      <c r="X51" s="50"/>
      <c r="Y51" s="575"/>
    </row>
    <row r="52" spans="2:25">
      <c r="B52" s="47" t="s">
        <v>532</v>
      </c>
      <c r="C52" s="46"/>
      <c r="D52" s="1039">
        <f t="shared" ref="D52:I52" si="27">D50-D13 -D14</f>
        <v>1440.2</v>
      </c>
      <c r="E52" s="1040">
        <f t="shared" si="27"/>
        <v>1503.4</v>
      </c>
      <c r="F52" s="1040">
        <f t="shared" si="27"/>
        <v>1508.6000000000001</v>
      </c>
      <c r="G52" s="1040">
        <f t="shared" si="27"/>
        <v>1513.9</v>
      </c>
      <c r="H52" s="1040">
        <f t="shared" si="27"/>
        <v>1521.8999999999996</v>
      </c>
      <c r="I52" s="1040">
        <f t="shared" si="27"/>
        <v>1574.3999999999999</v>
      </c>
      <c r="J52" s="1041">
        <f>I52+($H$52-$E$52)/3</f>
        <v>1580.5666666666664</v>
      </c>
      <c r="K52" s="1041">
        <f t="shared" ref="K52" si="28">J52+($H$52-$E$52)/3</f>
        <v>1586.7333333333329</v>
      </c>
      <c r="L52" s="1041">
        <f>K52+($H$52-$E$52)/3</f>
        <v>1592.8999999999994</v>
      </c>
      <c r="M52" s="1042">
        <f>L52+($H$52-$E$52)/3 +(M53-L53)</f>
        <v>1599.0666666666659</v>
      </c>
      <c r="N52" s="275"/>
      <c r="O52" s="50"/>
      <c r="P52" s="50"/>
      <c r="Q52" s="50"/>
      <c r="R52" s="50"/>
      <c r="S52" s="50"/>
      <c r="T52" s="50"/>
      <c r="U52" s="50"/>
      <c r="V52" s="50"/>
      <c r="W52" s="50"/>
      <c r="X52" s="50"/>
      <c r="Y52" s="575"/>
    </row>
    <row r="53" spans="2:25">
      <c r="B53" s="302" t="s">
        <v>559</v>
      </c>
      <c r="C53" s="46" t="s">
        <v>793</v>
      </c>
      <c r="D53" s="717">
        <f>'Haver Pivoted'!GO81</f>
        <v>0</v>
      </c>
      <c r="E53" s="717">
        <f>'Haver Pivoted'!GP81</f>
        <v>0</v>
      </c>
      <c r="F53" s="717">
        <f>'Haver Pivoted'!GQ81</f>
        <v>0</v>
      </c>
      <c r="G53" s="717">
        <f>'Haver Pivoted'!GR81</f>
        <v>0</v>
      </c>
      <c r="H53" s="717">
        <f>'Haver Pivoted'!GS81</f>
        <v>0</v>
      </c>
      <c r="I53" s="717">
        <f>'Haver Pivoted'!GT81</f>
        <v>0</v>
      </c>
      <c r="J53" s="717">
        <f>'Haver Pivoted'!GU81</f>
        <v>0</v>
      </c>
      <c r="K53" s="717">
        <f>'Haver Pivoted'!GV81</f>
        <v>0</v>
      </c>
      <c r="L53" s="717">
        <f>'Haver Pivoted'!GW81</f>
        <v>0</v>
      </c>
      <c r="M53" s="717">
        <f>'Haver Pivoted'!GX81</f>
        <v>0</v>
      </c>
      <c r="N53" s="275"/>
      <c r="O53" s="50"/>
      <c r="P53" s="50"/>
      <c r="Q53" s="50"/>
      <c r="R53" s="50"/>
      <c r="S53" s="50"/>
      <c r="T53" s="50"/>
      <c r="U53" s="50"/>
      <c r="V53" s="50"/>
      <c r="W53" s="50"/>
      <c r="X53" s="50"/>
      <c r="Y53" s="1026"/>
    </row>
    <row r="54" spans="2:25">
      <c r="B54" s="316" t="s">
        <v>750</v>
      </c>
      <c r="C54" s="69"/>
      <c r="D54" s="567">
        <f>D51-D52</f>
        <v>0</v>
      </c>
      <c r="E54" s="565">
        <f t="shared" ref="E54:M54" si="29">E51-E52</f>
        <v>0</v>
      </c>
      <c r="F54" s="565">
        <f t="shared" si="29"/>
        <v>0</v>
      </c>
      <c r="G54" s="565">
        <f t="shared" si="29"/>
        <v>0</v>
      </c>
      <c r="H54" s="565">
        <f t="shared" si="29"/>
        <v>0</v>
      </c>
      <c r="I54" s="565">
        <f t="shared" si="29"/>
        <v>-2.1247499999997217</v>
      </c>
      <c r="J54" s="565">
        <f t="shared" si="29"/>
        <v>-1.3684166666660076</v>
      </c>
      <c r="K54" s="565">
        <f t="shared" si="29"/>
        <v>105.38291666666714</v>
      </c>
      <c r="L54" s="565">
        <f t="shared" si="29"/>
        <v>39.547250000000531</v>
      </c>
      <c r="M54" s="566">
        <f t="shared" si="29"/>
        <v>58.906583333334083</v>
      </c>
      <c r="N54" s="567">
        <v>30</v>
      </c>
      <c r="O54" s="567">
        <v>30</v>
      </c>
      <c r="P54" s="567">
        <v>30</v>
      </c>
      <c r="Q54" s="567">
        <v>30</v>
      </c>
      <c r="R54" s="565">
        <v>25</v>
      </c>
      <c r="S54" s="565">
        <v>20</v>
      </c>
      <c r="T54" s="565">
        <v>15</v>
      </c>
      <c r="U54" s="272">
        <v>10</v>
      </c>
      <c r="V54" s="272">
        <v>5</v>
      </c>
      <c r="W54" s="272"/>
      <c r="X54" s="272"/>
      <c r="Y54" s="328"/>
    </row>
    <row r="55" spans="2:25" ht="39.5" customHeight="1">
      <c r="B55" s="1366" t="s">
        <v>755</v>
      </c>
      <c r="C55" s="1366"/>
      <c r="D55" s="1366"/>
      <c r="E55" s="1366"/>
      <c r="F55" s="1366"/>
      <c r="G55" s="1366"/>
      <c r="H55" s="1366"/>
      <c r="I55" s="1366"/>
      <c r="J55" s="1366"/>
      <c r="K55" s="1366"/>
      <c r="L55" s="1366"/>
      <c r="M55" s="1366"/>
      <c r="N55" s="1366"/>
      <c r="O55" s="1366"/>
      <c r="P55" s="1366"/>
      <c r="Q55" s="1366"/>
      <c r="R55" s="1366"/>
      <c r="S55" s="1366"/>
      <c r="T55" s="1366"/>
      <c r="U55" s="1366"/>
      <c r="V55" s="1366"/>
      <c r="W55" s="1366"/>
      <c r="X55" s="1366"/>
      <c r="Y55" s="1366"/>
    </row>
    <row r="56" spans="2:25">
      <c r="D56" s="50"/>
      <c r="E56" s="50"/>
      <c r="F56" s="50"/>
      <c r="G56" s="50"/>
      <c r="H56" s="50"/>
      <c r="I56" s="50"/>
      <c r="J56" s="50"/>
      <c r="K56" s="50"/>
      <c r="L56" s="50"/>
      <c r="M56" s="50"/>
      <c r="N56" s="614"/>
      <c r="O56" s="614"/>
      <c r="P56" s="614"/>
      <c r="Q56" s="614"/>
      <c r="R56" s="614"/>
      <c r="S56" s="614"/>
      <c r="T56" s="614"/>
      <c r="U56" s="614"/>
      <c r="V56" s="614"/>
      <c r="W56" s="614"/>
      <c r="X56" s="614"/>
      <c r="Y56" s="614"/>
    </row>
    <row r="57" spans="2:25">
      <c r="B57" s="67" t="s">
        <v>424</v>
      </c>
      <c r="D57" s="272"/>
      <c r="E57" s="272"/>
      <c r="F57" s="272"/>
      <c r="G57" s="272"/>
      <c r="H57" s="272"/>
      <c r="I57" s="272"/>
      <c r="J57" s="272"/>
      <c r="K57" s="272"/>
      <c r="L57" s="272"/>
      <c r="M57" s="272"/>
      <c r="N57" s="614"/>
      <c r="O57" s="614"/>
      <c r="P57" s="614"/>
      <c r="Q57" s="614"/>
      <c r="R57" s="614"/>
      <c r="S57" s="614"/>
      <c r="T57" s="614"/>
      <c r="U57" s="614"/>
      <c r="V57" s="614"/>
      <c r="W57" s="614"/>
      <c r="X57" s="614"/>
      <c r="Y57" s="614"/>
    </row>
    <row r="58" spans="2:25" ht="14.5" customHeight="1">
      <c r="B58" s="1346" t="s">
        <v>751</v>
      </c>
      <c r="C58" s="1347"/>
      <c r="D58" s="1367" t="s">
        <v>278</v>
      </c>
      <c r="E58" s="1368"/>
      <c r="F58" s="1368"/>
      <c r="G58" s="1368"/>
      <c r="H58" s="1368"/>
      <c r="I58" s="1368"/>
      <c r="J58" s="1368"/>
      <c r="K58" s="1368"/>
      <c r="L58" s="1368"/>
      <c r="M58" s="1369"/>
      <c r="N58" s="1272" t="s">
        <v>145</v>
      </c>
      <c r="O58" s="1273"/>
      <c r="P58" s="1273"/>
      <c r="Q58" s="1273"/>
      <c r="R58" s="1273"/>
      <c r="S58" s="1273"/>
      <c r="T58" s="1273"/>
      <c r="U58" s="1273"/>
      <c r="V58" s="1273"/>
      <c r="W58" s="1273"/>
      <c r="X58" s="1273"/>
      <c r="Y58" s="1275"/>
    </row>
    <row r="59" spans="2:25">
      <c r="B59" s="1247"/>
      <c r="C59" s="1248"/>
      <c r="D59" s="317">
        <v>2018</v>
      </c>
      <c r="E59" s="1363">
        <v>2019</v>
      </c>
      <c r="F59" s="1364"/>
      <c r="G59" s="1364"/>
      <c r="H59" s="1365"/>
      <c r="I59" s="1256">
        <v>2020</v>
      </c>
      <c r="J59" s="1305"/>
      <c r="K59" s="1305"/>
      <c r="L59" s="1323"/>
      <c r="M59" s="576">
        <v>2021</v>
      </c>
      <c r="N59" s="577">
        <v>2021</v>
      </c>
      <c r="O59" s="585"/>
      <c r="P59" s="586"/>
      <c r="Q59" s="577">
        <v>2022</v>
      </c>
      <c r="R59" s="585"/>
      <c r="S59" s="585"/>
      <c r="T59" s="586"/>
      <c r="U59" s="577">
        <v>2023</v>
      </c>
      <c r="V59" s="585"/>
      <c r="W59" s="585"/>
      <c r="X59" s="586"/>
      <c r="Y59" s="568">
        <v>2024</v>
      </c>
    </row>
    <row r="60" spans="2:25">
      <c r="B60" s="1249"/>
      <c r="C60" s="1250"/>
      <c r="D60" s="321" t="s">
        <v>140</v>
      </c>
      <c r="E60" s="301" t="s">
        <v>137</v>
      </c>
      <c r="F60" s="278" t="s">
        <v>138</v>
      </c>
      <c r="G60" s="278" t="s">
        <v>139</v>
      </c>
      <c r="H60" s="287" t="s">
        <v>140</v>
      </c>
      <c r="I60" s="301" t="s">
        <v>137</v>
      </c>
      <c r="J60" s="278" t="s">
        <v>138</v>
      </c>
      <c r="K60" s="278" t="s">
        <v>139</v>
      </c>
      <c r="L60" s="287" t="s">
        <v>140</v>
      </c>
      <c r="M60" s="301" t="s">
        <v>137</v>
      </c>
      <c r="N60" s="78" t="s">
        <v>138</v>
      </c>
      <c r="O60" s="79" t="s">
        <v>139</v>
      </c>
      <c r="P60" s="80" t="s">
        <v>140</v>
      </c>
      <c r="Q60" s="78" t="s">
        <v>137</v>
      </c>
      <c r="R60" s="79" t="s">
        <v>138</v>
      </c>
      <c r="S60" s="79" t="s">
        <v>139</v>
      </c>
      <c r="T60" s="80" t="s">
        <v>140</v>
      </c>
      <c r="U60" s="78" t="s">
        <v>137</v>
      </c>
      <c r="V60" s="79" t="s">
        <v>138</v>
      </c>
      <c r="W60" s="79" t="s">
        <v>139</v>
      </c>
      <c r="X60" s="80" t="s">
        <v>140</v>
      </c>
      <c r="Y60" s="81" t="s">
        <v>137</v>
      </c>
    </row>
    <row r="61" spans="2:25">
      <c r="B61" s="47" t="s">
        <v>523</v>
      </c>
      <c r="C61" s="36"/>
      <c r="D61" s="830"/>
      <c r="E61" s="734"/>
      <c r="F61" s="734"/>
      <c r="G61" s="734"/>
      <c r="H61" s="734"/>
      <c r="I61" s="503">
        <f>(I62-AVERAGE($E62:$H62))</f>
        <v>2.1247499999999988</v>
      </c>
      <c r="J61" s="503">
        <f t="shared" ref="J61:M61" si="30">(J62-AVERAGE($E62:$H62))</f>
        <v>69.301749999999998</v>
      </c>
      <c r="K61" s="503">
        <f t="shared" si="30"/>
        <v>83.883749999999992</v>
      </c>
      <c r="L61" s="503">
        <f t="shared" si="30"/>
        <v>78.452750000000009</v>
      </c>
      <c r="M61" s="868">
        <f t="shared" si="30"/>
        <v>94.126749999999987</v>
      </c>
      <c r="N61" s="293">
        <f>90</f>
        <v>90</v>
      </c>
      <c r="O61" s="293">
        <v>60</v>
      </c>
      <c r="P61" s="591">
        <v>30</v>
      </c>
      <c r="Q61" s="591">
        <v>20</v>
      </c>
      <c r="R61" s="293">
        <v>10</v>
      </c>
      <c r="S61" s="293">
        <v>5</v>
      </c>
      <c r="T61" s="293">
        <v>0</v>
      </c>
      <c r="U61" s="591"/>
      <c r="V61" s="591"/>
      <c r="W61" s="591"/>
      <c r="X61" s="591"/>
      <c r="Y61" s="592"/>
    </row>
    <row r="62" spans="2:25">
      <c r="B62" s="47" t="s">
        <v>643</v>
      </c>
      <c r="C62" s="36" t="s">
        <v>644</v>
      </c>
      <c r="D62" s="275">
        <f>'Haver Pivoted'!GO66</f>
        <v>56.915999999999997</v>
      </c>
      <c r="E62" s="50">
        <f>'Haver Pivoted'!GP66</f>
        <v>56.061</v>
      </c>
      <c r="F62" s="50">
        <f>'Haver Pivoted'!GQ66</f>
        <v>54.670999999999999</v>
      </c>
      <c r="G62" s="50">
        <f>'Haver Pivoted'!GR66</f>
        <v>54.125</v>
      </c>
      <c r="H62" s="50">
        <f>'Haver Pivoted'!GS66</f>
        <v>53.887999999999998</v>
      </c>
      <c r="I62" s="50">
        <f>'Haver Pivoted'!GT66</f>
        <v>56.811</v>
      </c>
      <c r="J62" s="50">
        <f>'Haver Pivoted'!GU66</f>
        <v>123.988</v>
      </c>
      <c r="K62" s="50">
        <f>'Haver Pivoted'!GV66</f>
        <v>138.57</v>
      </c>
      <c r="L62" s="50">
        <f>'Haver Pivoted'!GW66</f>
        <v>133.13900000000001</v>
      </c>
      <c r="M62" s="575">
        <f>'Haver Pivoted'!GX66</f>
        <v>148.81299999999999</v>
      </c>
      <c r="N62" s="591"/>
      <c r="O62" s="591"/>
      <c r="P62" s="591"/>
      <c r="Q62" s="591"/>
      <c r="R62" s="591"/>
      <c r="S62" s="591"/>
      <c r="T62" s="591"/>
      <c r="U62" s="591"/>
      <c r="V62" s="591"/>
      <c r="W62" s="591"/>
      <c r="X62" s="591"/>
      <c r="Y62" s="592"/>
    </row>
    <row r="63" spans="2:25">
      <c r="B63" s="316" t="s">
        <v>528</v>
      </c>
      <c r="C63" s="48"/>
      <c r="D63" s="276"/>
      <c r="E63" s="272"/>
      <c r="F63" s="272"/>
      <c r="G63" s="272"/>
      <c r="H63" s="272"/>
      <c r="I63" s="272"/>
      <c r="J63" s="846">
        <f>J62-$H62</f>
        <v>70.099999999999994</v>
      </c>
      <c r="K63" s="846">
        <f>K62-$H62</f>
        <v>84.681999999999988</v>
      </c>
      <c r="L63" s="846">
        <f>L62-$H62</f>
        <v>79.251000000000005</v>
      </c>
      <c r="M63" s="869">
        <f>M62-$H62</f>
        <v>94.924999999999983</v>
      </c>
      <c r="N63" s="79"/>
      <c r="O63" s="79"/>
      <c r="P63" s="79"/>
      <c r="Q63" s="79"/>
      <c r="R63" s="79"/>
      <c r="S63" s="79"/>
      <c r="T63" s="79"/>
      <c r="U63" s="79"/>
      <c r="V63" s="79"/>
      <c r="W63" s="79"/>
      <c r="X63" s="79"/>
      <c r="Y63" s="80"/>
    </row>
    <row r="64" spans="2:25" ht="14" customHeight="1">
      <c r="B64" s="1361" t="s">
        <v>645</v>
      </c>
      <c r="C64" s="1361"/>
      <c r="D64" s="1361"/>
      <c r="E64" s="1361"/>
      <c r="F64" s="1361"/>
      <c r="G64" s="1361"/>
      <c r="H64" s="1361"/>
      <c r="I64" s="1361"/>
      <c r="J64" s="1361"/>
      <c r="K64" s="1361"/>
      <c r="L64" s="1361"/>
      <c r="M64" s="1361"/>
      <c r="N64" s="1361"/>
      <c r="O64" s="1361"/>
      <c r="P64" s="1361"/>
      <c r="Q64" s="1361"/>
      <c r="R64" s="1361"/>
      <c r="S64" s="1361"/>
      <c r="T64" s="1361"/>
      <c r="U64" s="1361"/>
      <c r="V64" s="1361"/>
      <c r="W64" s="1361"/>
      <c r="X64" s="1361"/>
      <c r="Y64" s="1361"/>
    </row>
    <row r="65" spans="2:25" ht="14" customHeight="1">
      <c r="B65" s="1362"/>
      <c r="C65" s="1362"/>
      <c r="D65" s="1362"/>
      <c r="E65" s="1362"/>
      <c r="F65" s="1362"/>
      <c r="G65" s="1362"/>
      <c r="H65" s="1362"/>
      <c r="I65" s="1362"/>
      <c r="J65" s="1362"/>
      <c r="K65" s="1362"/>
      <c r="L65" s="1362"/>
      <c r="M65" s="1362"/>
      <c r="N65" s="1362"/>
      <c r="O65" s="1362"/>
      <c r="P65" s="1362"/>
      <c r="Q65" s="1362"/>
      <c r="R65" s="1362"/>
      <c r="S65" s="1362"/>
      <c r="T65" s="1362"/>
      <c r="U65" s="1362"/>
      <c r="V65" s="1362"/>
      <c r="W65" s="1362"/>
      <c r="X65" s="1362"/>
      <c r="Y65" s="1362"/>
    </row>
    <row r="66" spans="2:25" ht="14" customHeight="1">
      <c r="B66" s="1362"/>
      <c r="C66" s="1362"/>
      <c r="D66" s="1362"/>
      <c r="E66" s="1362"/>
      <c r="F66" s="1362"/>
      <c r="G66" s="1362"/>
      <c r="H66" s="1362"/>
      <c r="I66" s="1362"/>
      <c r="J66" s="1362"/>
      <c r="K66" s="1362"/>
      <c r="L66" s="1362"/>
      <c r="M66" s="1362"/>
      <c r="N66" s="1362"/>
      <c r="O66" s="1362"/>
      <c r="P66" s="1362"/>
      <c r="Q66" s="1362"/>
      <c r="R66" s="1362"/>
      <c r="S66" s="1362"/>
      <c r="T66" s="1362"/>
      <c r="U66" s="1362"/>
      <c r="V66" s="1362"/>
      <c r="W66" s="1362"/>
      <c r="X66" s="1362"/>
      <c r="Y66" s="1362"/>
    </row>
    <row r="67" spans="2:25">
      <c r="C67" s="38"/>
      <c r="D67" s="1045"/>
      <c r="E67" s="1045"/>
      <c r="F67" s="1045"/>
      <c r="G67" s="1045"/>
      <c r="H67" s="1045"/>
      <c r="I67" s="1045"/>
      <c r="J67" s="1045"/>
      <c r="K67" s="1045"/>
      <c r="L67" s="1045"/>
      <c r="M67" s="1045"/>
      <c r="N67" s="1045"/>
      <c r="O67" s="1045"/>
      <c r="P67" s="1043"/>
      <c r="Q67" s="38"/>
    </row>
    <row r="68" spans="2:25">
      <c r="C68" s="38"/>
      <c r="D68" s="1043"/>
      <c r="E68" s="1043"/>
      <c r="F68" s="1043"/>
      <c r="G68" s="1043"/>
      <c r="H68" s="1043"/>
      <c r="I68" s="1043"/>
      <c r="J68" s="1043"/>
      <c r="K68" s="1043"/>
      <c r="L68" s="1043"/>
      <c r="M68" s="1043"/>
      <c r="N68" s="1043"/>
      <c r="O68" s="1043"/>
      <c r="P68" s="1043"/>
      <c r="Q68" s="38"/>
    </row>
    <row r="69" spans="2:25">
      <c r="C69" s="38"/>
      <c r="D69" s="38"/>
      <c r="E69" s="38"/>
      <c r="F69" s="38"/>
      <c r="G69" s="38"/>
      <c r="H69" s="38"/>
      <c r="I69" s="38"/>
      <c r="J69" s="38"/>
      <c r="K69" s="38"/>
      <c r="L69" s="38"/>
      <c r="M69" s="38"/>
      <c r="N69" s="38"/>
      <c r="O69" s="38"/>
      <c r="P69" s="38"/>
      <c r="Q69" s="38"/>
    </row>
    <row r="70" spans="2:25">
      <c r="C70" s="38"/>
      <c r="D70" s="38"/>
      <c r="E70" s="38"/>
      <c r="F70" s="38"/>
      <c r="G70" s="38"/>
      <c r="H70" s="38"/>
      <c r="I70" s="38"/>
      <c r="J70" s="38"/>
      <c r="K70" s="38"/>
      <c r="L70" s="38"/>
      <c r="M70" s="38"/>
      <c r="N70" s="38"/>
      <c r="O70" s="38"/>
      <c r="P70" s="38"/>
      <c r="Q70" s="38"/>
    </row>
    <row r="71" spans="2:25" ht="14" customHeight="1">
      <c r="B71" s="871"/>
      <c r="C71" s="1044"/>
      <c r="D71" s="1044"/>
      <c r="E71" s="1044"/>
      <c r="F71" s="1044"/>
      <c r="G71" s="1044"/>
      <c r="H71" s="1044"/>
      <c r="I71" s="1044"/>
      <c r="J71" s="1044"/>
      <c r="K71" s="1044"/>
      <c r="L71" s="1044"/>
      <c r="M71" s="1044"/>
      <c r="N71" s="1044"/>
      <c r="O71" s="1044"/>
      <c r="P71" s="1044"/>
      <c r="Q71" s="1044"/>
      <c r="R71" s="27"/>
      <c r="S71" s="27"/>
      <c r="T71" s="27"/>
      <c r="U71" s="27"/>
      <c r="V71" s="27"/>
      <c r="W71" s="27"/>
      <c r="X71" s="27"/>
    </row>
    <row r="72" spans="2:25" ht="14" customHeight="1">
      <c r="B72" s="27"/>
      <c r="C72" s="1044"/>
      <c r="D72" s="1044"/>
      <c r="E72" s="1044"/>
      <c r="F72" s="1044"/>
      <c r="G72" s="1044"/>
      <c r="H72" s="1044"/>
      <c r="I72" s="1044"/>
      <c r="J72" s="1044"/>
      <c r="K72" s="1044"/>
      <c r="L72" s="1044"/>
      <c r="M72" s="1044"/>
      <c r="N72" s="1044"/>
      <c r="O72" s="1044"/>
      <c r="P72" s="1044"/>
      <c r="Q72" s="1044"/>
      <c r="R72" s="27"/>
      <c r="S72" s="27"/>
      <c r="T72" s="27"/>
      <c r="U72" s="27"/>
      <c r="V72" s="27"/>
      <c r="W72" s="27"/>
      <c r="X72" s="27"/>
    </row>
    <row r="73" spans="2:25" ht="14" customHeight="1">
      <c r="B73" s="27"/>
      <c r="C73" s="1044"/>
      <c r="D73" s="1044"/>
      <c r="E73" s="1044"/>
      <c r="F73" s="1044"/>
      <c r="G73" s="1044"/>
      <c r="H73" s="1044"/>
      <c r="I73" s="1044"/>
      <c r="J73" s="1044"/>
      <c r="K73" s="1044"/>
      <c r="L73" s="1044"/>
      <c r="M73" s="1044"/>
      <c r="N73" s="1044"/>
      <c r="O73" s="1044"/>
      <c r="P73" s="1044"/>
      <c r="Q73" s="1044"/>
      <c r="R73" s="27"/>
      <c r="S73" s="27"/>
      <c r="T73" s="27"/>
      <c r="U73" s="27"/>
      <c r="V73" s="27"/>
      <c r="W73" s="27"/>
      <c r="X73" s="27"/>
    </row>
    <row r="74" spans="2:25">
      <c r="C74" s="38"/>
      <c r="D74" s="38"/>
      <c r="E74" s="38"/>
      <c r="F74" s="38"/>
      <c r="G74" s="38"/>
      <c r="H74" s="38"/>
      <c r="I74" s="38"/>
      <c r="J74" s="38"/>
      <c r="K74" s="38"/>
      <c r="L74" s="38"/>
      <c r="M74" s="38"/>
      <c r="N74" s="38"/>
      <c r="O74" s="38"/>
      <c r="P74" s="38"/>
      <c r="Q74" s="38"/>
    </row>
  </sheetData>
  <mergeCells count="24">
    <mergeCell ref="B32:C32"/>
    <mergeCell ref="N8:Y8"/>
    <mergeCell ref="U9:X9"/>
    <mergeCell ref="B11:C11"/>
    <mergeCell ref="B27:C27"/>
    <mergeCell ref="B1:Y1"/>
    <mergeCell ref="B2:Y6"/>
    <mergeCell ref="E9:H9"/>
    <mergeCell ref="D8:M8"/>
    <mergeCell ref="B8:C10"/>
    <mergeCell ref="I9:L9"/>
    <mergeCell ref="N9:P9"/>
    <mergeCell ref="Q9:T9"/>
    <mergeCell ref="B64:Y66"/>
    <mergeCell ref="E59:H59"/>
    <mergeCell ref="I59:L59"/>
    <mergeCell ref="B46:C48"/>
    <mergeCell ref="N46:Y46"/>
    <mergeCell ref="E47:H47"/>
    <mergeCell ref="I47:L47"/>
    <mergeCell ref="N58:Y58"/>
    <mergeCell ref="B55:Y55"/>
    <mergeCell ref="D58:M58"/>
    <mergeCell ref="B58:C60"/>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B1:BB88"/>
  <sheetViews>
    <sheetView zoomScale="167" zoomScaleNormal="70" workbookViewId="0">
      <selection activeCell="L19" sqref="L19"/>
    </sheetView>
  </sheetViews>
  <sheetFormatPr baseColWidth="10" defaultColWidth="10.83203125" defaultRowHeight="14"/>
  <cols>
    <col min="1" max="1" width="10.83203125" style="428"/>
    <col min="2" max="2" width="39.33203125" style="428" bestFit="1" customWidth="1"/>
    <col min="3" max="3" width="11.1640625" style="428" bestFit="1" customWidth="1"/>
    <col min="4" max="10" width="10.83203125" style="428"/>
    <col min="11" max="11" width="18.5" style="428" customWidth="1"/>
    <col min="12" max="12" width="10.83203125" style="428" customWidth="1"/>
    <col min="13" max="16384" width="10.83203125" style="428"/>
  </cols>
  <sheetData>
    <row r="1" spans="2:54">
      <c r="B1" s="1262" t="s">
        <v>626</v>
      </c>
      <c r="C1" s="1262"/>
      <c r="D1" s="1262"/>
      <c r="E1" s="1262"/>
      <c r="F1" s="1262"/>
      <c r="G1" s="1262"/>
      <c r="H1" s="1262"/>
      <c r="I1" s="1262"/>
      <c r="J1" s="1262"/>
      <c r="K1" s="1262"/>
      <c r="L1" s="1262"/>
      <c r="M1" s="1262"/>
      <c r="N1" s="1262"/>
      <c r="O1" s="1262"/>
      <c r="P1" s="1262"/>
      <c r="Q1" s="1262"/>
      <c r="R1" s="1262"/>
      <c r="S1" s="1262"/>
      <c r="T1" s="1262"/>
      <c r="U1" s="1262"/>
      <c r="V1" s="1262"/>
      <c r="W1" s="1262"/>
    </row>
    <row r="2" spans="2:54">
      <c r="B2" s="1294" t="s">
        <v>719</v>
      </c>
      <c r="C2" s="1294"/>
      <c r="D2" s="1294"/>
      <c r="E2" s="1294"/>
      <c r="F2" s="1294"/>
      <c r="G2" s="1294"/>
      <c r="H2" s="1294"/>
      <c r="I2" s="1294"/>
      <c r="J2" s="1294"/>
      <c r="K2" s="1294"/>
      <c r="L2" s="1294"/>
      <c r="M2" s="1294"/>
      <c r="N2" s="1294"/>
      <c r="O2" s="1294"/>
      <c r="P2" s="1294"/>
      <c r="Q2" s="1294"/>
      <c r="R2" s="1294"/>
      <c r="S2" s="1294"/>
      <c r="T2" s="1294"/>
      <c r="U2" s="1294"/>
      <c r="V2" s="1294"/>
      <c r="W2" s="1294"/>
    </row>
    <row r="3" spans="2:54" ht="28.5" customHeight="1">
      <c r="B3" s="1294"/>
      <c r="C3" s="1294"/>
      <c r="D3" s="1294"/>
      <c r="E3" s="1294"/>
      <c r="F3" s="1294"/>
      <c r="G3" s="1294"/>
      <c r="H3" s="1294"/>
      <c r="I3" s="1294"/>
      <c r="J3" s="1294"/>
      <c r="K3" s="1294"/>
      <c r="L3" s="1294"/>
      <c r="M3" s="1294"/>
      <c r="N3" s="1294"/>
      <c r="O3" s="1294"/>
      <c r="P3" s="1294"/>
      <c r="Q3" s="1294"/>
      <c r="R3" s="1294"/>
      <c r="S3" s="1294"/>
      <c r="T3" s="1294"/>
      <c r="U3" s="1294"/>
      <c r="V3" s="1294"/>
      <c r="W3" s="1294"/>
    </row>
    <row r="4" spans="2:54">
      <c r="B4" s="428" t="s">
        <v>780</v>
      </c>
    </row>
    <row r="5" spans="2:54">
      <c r="B5" s="1245" t="s">
        <v>311</v>
      </c>
      <c r="C5" s="1347"/>
      <c r="D5" s="1383" t="s">
        <v>278</v>
      </c>
      <c r="E5" s="1384"/>
      <c r="F5" s="1384"/>
      <c r="G5" s="1384"/>
      <c r="H5" s="1384"/>
      <c r="I5" s="1384"/>
      <c r="J5" s="1384"/>
      <c r="K5" s="1385"/>
      <c r="L5" s="1349" t="s">
        <v>145</v>
      </c>
      <c r="M5" s="1350"/>
      <c r="N5" s="1350"/>
      <c r="O5" s="1350"/>
      <c r="P5" s="1350"/>
      <c r="Q5" s="1350"/>
      <c r="R5" s="1350"/>
      <c r="S5" s="1350"/>
      <c r="T5" s="1350"/>
      <c r="U5" s="1350"/>
      <c r="V5" s="1350"/>
      <c r="W5" s="1351"/>
      <c r="X5" s="304"/>
      <c r="Y5" s="304"/>
      <c r="Z5" s="304"/>
      <c r="AA5" s="304"/>
      <c r="AB5" s="304"/>
      <c r="AC5" s="304"/>
      <c r="AD5" s="304"/>
      <c r="AE5" s="304"/>
      <c r="AF5" s="304"/>
      <c r="AG5" s="304"/>
      <c r="AH5" s="304"/>
      <c r="AI5" s="304"/>
      <c r="AJ5" s="304"/>
      <c r="AK5" s="304"/>
      <c r="AL5" s="304"/>
      <c r="AM5" s="304"/>
      <c r="AN5" s="304"/>
      <c r="AO5" s="304"/>
      <c r="AP5" s="304"/>
      <c r="AQ5" s="304"/>
      <c r="AR5" s="304"/>
      <c r="AS5" s="304"/>
      <c r="AT5" s="304"/>
      <c r="AU5" s="304"/>
      <c r="AV5" s="304"/>
      <c r="AW5" s="304"/>
      <c r="AX5" s="304"/>
      <c r="AY5" s="304"/>
      <c r="AZ5" s="304"/>
      <c r="BA5" s="304"/>
      <c r="BB5" s="304"/>
    </row>
    <row r="6" spans="2:54">
      <c r="B6" s="1247"/>
      <c r="C6" s="1348"/>
      <c r="D6" s="1256">
        <v>2019</v>
      </c>
      <c r="E6" s="1305"/>
      <c r="F6" s="1323"/>
      <c r="G6" s="1305">
        <v>2020</v>
      </c>
      <c r="H6" s="1305"/>
      <c r="I6" s="1305"/>
      <c r="J6" s="1323"/>
      <c r="K6" s="576">
        <v>2021</v>
      </c>
      <c r="L6" s="1269">
        <v>2021</v>
      </c>
      <c r="M6" s="1297"/>
      <c r="N6" s="1298"/>
      <c r="O6" s="1269">
        <v>2022</v>
      </c>
      <c r="P6" s="1297"/>
      <c r="Q6" s="1297"/>
      <c r="R6" s="1298"/>
      <c r="S6" s="1269">
        <v>2023</v>
      </c>
      <c r="T6" s="1297"/>
      <c r="U6" s="1297"/>
      <c r="V6" s="1298"/>
      <c r="W6" s="568">
        <v>2024</v>
      </c>
      <c r="X6" s="282"/>
      <c r="Y6" s="282"/>
      <c r="Z6" s="282"/>
      <c r="AA6" s="282"/>
      <c r="AB6" s="282"/>
      <c r="AC6" s="282"/>
      <c r="AD6" s="282"/>
      <c r="AE6" s="402"/>
      <c r="AF6" s="402"/>
      <c r="AG6" s="402"/>
      <c r="AH6" s="402"/>
      <c r="AI6" s="402"/>
      <c r="AJ6" s="402"/>
      <c r="AK6" s="402"/>
      <c r="AL6" s="402"/>
      <c r="AM6" s="402"/>
      <c r="AN6" s="402"/>
      <c r="AO6" s="402"/>
      <c r="AP6" s="402"/>
      <c r="AQ6" s="402"/>
      <c r="AR6" s="402"/>
      <c r="AS6" s="402"/>
      <c r="AT6" s="402"/>
      <c r="AU6" s="402"/>
      <c r="AV6" s="402"/>
      <c r="AW6" s="402"/>
      <c r="AX6" s="402"/>
      <c r="AY6" s="402"/>
      <c r="AZ6" s="402"/>
      <c r="BA6" s="402"/>
    </row>
    <row r="7" spans="2:54">
      <c r="B7" s="1247"/>
      <c r="C7" s="1292"/>
      <c r="D7" s="268" t="s">
        <v>138</v>
      </c>
      <c r="E7" s="269" t="s">
        <v>139</v>
      </c>
      <c r="F7" s="43" t="s">
        <v>140</v>
      </c>
      <c r="G7" s="42" t="s">
        <v>137</v>
      </c>
      <c r="H7" s="42" t="s">
        <v>138</v>
      </c>
      <c r="I7" s="42" t="s">
        <v>139</v>
      </c>
      <c r="J7" s="43" t="s">
        <v>140</v>
      </c>
      <c r="K7" s="41" t="s">
        <v>137</v>
      </c>
      <c r="L7" s="590" t="s">
        <v>138</v>
      </c>
      <c r="M7" s="593" t="s">
        <v>139</v>
      </c>
      <c r="N7" s="592" t="s">
        <v>140</v>
      </c>
      <c r="O7" s="590" t="s">
        <v>137</v>
      </c>
      <c r="P7" s="593" t="s">
        <v>138</v>
      </c>
      <c r="Q7" s="593" t="s">
        <v>139</v>
      </c>
      <c r="R7" s="592" t="s">
        <v>140</v>
      </c>
      <c r="S7" s="590" t="s">
        <v>137</v>
      </c>
      <c r="T7" s="593" t="s">
        <v>138</v>
      </c>
      <c r="U7" s="593" t="s">
        <v>139</v>
      </c>
      <c r="V7" s="592" t="s">
        <v>140</v>
      </c>
      <c r="W7" s="117" t="s">
        <v>137</v>
      </c>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row>
    <row r="8" spans="2:54">
      <c r="B8" s="573"/>
      <c r="C8" s="749"/>
      <c r="D8" s="595"/>
      <c r="E8" s="595"/>
      <c r="F8" s="596"/>
      <c r="G8" s="596"/>
      <c r="H8" s="596"/>
      <c r="I8" s="596"/>
      <c r="J8" s="596"/>
      <c r="K8" s="596"/>
      <c r="L8" s="747"/>
      <c r="M8" s="597"/>
      <c r="N8" s="597"/>
      <c r="O8" s="597"/>
      <c r="P8" s="597"/>
      <c r="Q8" s="597"/>
      <c r="R8" s="597"/>
      <c r="S8" s="597"/>
      <c r="T8" s="597"/>
      <c r="U8" s="597"/>
      <c r="V8" s="597"/>
      <c r="W8" s="598"/>
      <c r="X8" s="68"/>
      <c r="Y8" s="68"/>
      <c r="Z8" s="68"/>
      <c r="AA8" s="68"/>
      <c r="AB8" s="68"/>
      <c r="AC8" s="68"/>
      <c r="AD8" s="68"/>
    </row>
    <row r="9" spans="2:54" ht="15">
      <c r="B9" s="599" t="s">
        <v>147</v>
      </c>
      <c r="C9" s="750"/>
      <c r="D9" s="600"/>
      <c r="E9" s="600"/>
      <c r="F9" s="601"/>
      <c r="G9" s="601"/>
      <c r="H9" s="601"/>
      <c r="I9" s="601"/>
      <c r="J9" s="601"/>
      <c r="K9" s="601"/>
      <c r="L9" s="602"/>
      <c r="M9" s="752"/>
      <c r="N9" s="753"/>
      <c r="O9" s="753"/>
      <c r="P9" s="753"/>
      <c r="Q9" s="752"/>
      <c r="R9" s="753"/>
      <c r="S9" s="753"/>
      <c r="T9" s="753"/>
      <c r="U9" s="752"/>
      <c r="V9" s="753"/>
      <c r="W9" s="715"/>
      <c r="X9" s="284"/>
      <c r="Y9" s="284"/>
      <c r="Z9" s="284"/>
      <c r="AA9" s="284"/>
      <c r="AB9" s="284"/>
      <c r="AC9" s="284"/>
      <c r="AD9" s="284"/>
      <c r="AE9" s="284"/>
      <c r="AF9" s="284"/>
      <c r="AG9" s="284"/>
      <c r="AH9" s="284"/>
      <c r="AI9" s="284"/>
      <c r="AJ9" s="284"/>
      <c r="AK9" s="284"/>
      <c r="AL9" s="284"/>
      <c r="AM9" s="284"/>
      <c r="AN9" s="284"/>
      <c r="AO9" s="284"/>
      <c r="AP9" s="284"/>
      <c r="AQ9" s="284"/>
      <c r="AR9" s="284"/>
      <c r="AS9" s="284"/>
      <c r="AT9" s="284"/>
      <c r="AU9" s="284"/>
      <c r="AV9" s="284"/>
      <c r="AW9" s="284"/>
      <c r="AX9" s="284"/>
      <c r="AY9" s="284"/>
      <c r="AZ9" s="284"/>
      <c r="BA9" s="284"/>
    </row>
    <row r="10" spans="2:54" s="759" customFormat="1" ht="15">
      <c r="B10" s="149" t="s">
        <v>690</v>
      </c>
      <c r="C10" s="766"/>
      <c r="D10" s="767"/>
      <c r="E10" s="767"/>
      <c r="F10" s="768">
        <f>SUM(F11:F13)</f>
        <v>3336.3</v>
      </c>
      <c r="G10" s="768">
        <f t="shared" ref="G10:W10" si="0">SUM(G11:G13)</f>
        <v>3376.8</v>
      </c>
      <c r="H10" s="768">
        <f t="shared" si="0"/>
        <v>3105.7000000000003</v>
      </c>
      <c r="I10" s="768">
        <f t="shared" si="0"/>
        <v>3256.2999999999997</v>
      </c>
      <c r="J10" s="768">
        <f t="shared" si="0"/>
        <v>3363</v>
      </c>
      <c r="K10" s="768">
        <f t="shared" si="0"/>
        <v>3422.5000000000005</v>
      </c>
      <c r="L10" s="769">
        <f t="shared" si="0"/>
        <v>3506.7931262338225</v>
      </c>
      <c r="M10" s="770">
        <f t="shared" si="0"/>
        <v>3585.4365249681118</v>
      </c>
      <c r="N10" s="770">
        <f t="shared" si="0"/>
        <v>3621.6822821321389</v>
      </c>
      <c r="O10" s="770">
        <f t="shared" si="0"/>
        <v>3707.3333471800074</v>
      </c>
      <c r="P10" s="770">
        <f t="shared" si="0"/>
        <v>3741.1267760294527</v>
      </c>
      <c r="Q10" s="770">
        <f t="shared" si="0"/>
        <v>3779.117520103795</v>
      </c>
      <c r="R10" s="770">
        <f t="shared" si="0"/>
        <v>3816.0844485624484</v>
      </c>
      <c r="S10" s="770">
        <f t="shared" si="0"/>
        <v>3898.9574032715132</v>
      </c>
      <c r="T10" s="770">
        <f t="shared" si="0"/>
        <v>3938.4201691283315</v>
      </c>
      <c r="U10" s="770">
        <f t="shared" si="0"/>
        <v>3979.9729921167627</v>
      </c>
      <c r="V10" s="770">
        <f t="shared" si="0"/>
        <v>4023.1913962187373</v>
      </c>
      <c r="W10" s="771">
        <f t="shared" si="0"/>
        <v>4023.4915379328727</v>
      </c>
      <c r="X10" s="772"/>
      <c r="Y10" s="772"/>
      <c r="Z10" s="772"/>
      <c r="AA10" s="772"/>
      <c r="AB10" s="772"/>
      <c r="AC10" s="772"/>
      <c r="AD10" s="772"/>
      <c r="AE10" s="772"/>
      <c r="AF10" s="772"/>
      <c r="AG10" s="772"/>
      <c r="AH10" s="772"/>
      <c r="AI10" s="772"/>
      <c r="AJ10" s="772"/>
      <c r="AK10" s="772"/>
      <c r="AL10" s="772"/>
      <c r="AM10" s="772"/>
      <c r="AN10" s="772"/>
      <c r="AO10" s="772"/>
      <c r="AP10" s="772"/>
      <c r="AQ10" s="772"/>
      <c r="AR10" s="772"/>
      <c r="AS10" s="772"/>
      <c r="AT10" s="772"/>
      <c r="AU10" s="772"/>
      <c r="AV10" s="772"/>
      <c r="AW10" s="772"/>
      <c r="AX10" s="772"/>
      <c r="AY10" s="772"/>
      <c r="AZ10" s="772"/>
      <c r="BA10" s="772"/>
    </row>
    <row r="11" spans="2:54" ht="15">
      <c r="B11" s="271" t="s">
        <v>618</v>
      </c>
      <c r="C11" s="135" t="s">
        <v>239</v>
      </c>
      <c r="D11" s="600"/>
      <c r="E11" s="600"/>
      <c r="F11" s="717">
        <f>'Haver Pivoted'!GS27</f>
        <v>1740.2</v>
      </c>
      <c r="G11" s="717">
        <f>'Haver Pivoted'!GT27</f>
        <v>1756.6</v>
      </c>
      <c r="H11" s="717">
        <f>'Haver Pivoted'!GU27</f>
        <v>1600.1</v>
      </c>
      <c r="I11" s="717">
        <f>'Haver Pivoted'!GV27</f>
        <v>1685</v>
      </c>
      <c r="J11" s="717">
        <f>'Haver Pivoted'!GW27</f>
        <v>1745.6</v>
      </c>
      <c r="K11" s="717">
        <f>'Haver Pivoted'!GX27</f>
        <v>1758.2</v>
      </c>
      <c r="L11" s="718">
        <f>'Monthly Personal Income'!L48*L24</f>
        <v>1812.6759999999999</v>
      </c>
      <c r="M11" s="754">
        <f t="shared" ref="M11:W11" si="1">L11*M84/L84</f>
        <v>1868.7489850112884</v>
      </c>
      <c r="N11" s="754">
        <f t="shared" si="1"/>
        <v>1884.5127030479134</v>
      </c>
      <c r="O11" s="754">
        <f t="shared" si="1"/>
        <v>1942.3498143529089</v>
      </c>
      <c r="P11" s="754">
        <f t="shared" si="1"/>
        <v>1958.3883899652958</v>
      </c>
      <c r="Q11" s="754">
        <f t="shared" si="1"/>
        <v>1976.9212106096272</v>
      </c>
      <c r="R11" s="754">
        <f t="shared" si="1"/>
        <v>1994.5452753120871</v>
      </c>
      <c r="S11" s="754">
        <f t="shared" si="1"/>
        <v>2061.401205584858</v>
      </c>
      <c r="T11" s="754">
        <f t="shared" si="1"/>
        <v>2081.1611637379669</v>
      </c>
      <c r="U11" s="754">
        <f t="shared" si="1"/>
        <v>2102.069496212599</v>
      </c>
      <c r="V11" s="754">
        <f t="shared" si="1"/>
        <v>2123.4728176189224</v>
      </c>
      <c r="W11" s="719">
        <f t="shared" si="1"/>
        <v>2116.7824567514831</v>
      </c>
      <c r="X11" s="284"/>
      <c r="Y11" s="284"/>
      <c r="Z11" s="284"/>
      <c r="AA11" s="284"/>
      <c r="AB11" s="284"/>
      <c r="AC11" s="284"/>
      <c r="AD11" s="284"/>
      <c r="AE11" s="284"/>
      <c r="AF11" s="284"/>
      <c r="AG11" s="284"/>
      <c r="AH11" s="284"/>
      <c r="AI11" s="284"/>
      <c r="AJ11" s="284"/>
      <c r="AK11" s="284"/>
      <c r="AL11" s="284"/>
      <c r="AM11" s="284"/>
      <c r="AN11" s="284"/>
      <c r="AO11" s="284"/>
      <c r="AP11" s="284"/>
      <c r="AQ11" s="284"/>
      <c r="AR11" s="284"/>
      <c r="AS11" s="284"/>
      <c r="AT11" s="284"/>
      <c r="AU11" s="284"/>
      <c r="AV11" s="284"/>
      <c r="AW11" s="284"/>
      <c r="AX11" s="284"/>
      <c r="AY11" s="284"/>
      <c r="AZ11" s="284"/>
      <c r="BA11" s="284"/>
    </row>
    <row r="12" spans="2:54" ht="15">
      <c r="B12" s="271" t="s">
        <v>616</v>
      </c>
      <c r="C12" s="136" t="s">
        <v>242</v>
      </c>
      <c r="D12" s="600"/>
      <c r="E12" s="600"/>
      <c r="F12" s="717">
        <f>'Haver Pivoted'!GS30</f>
        <v>1416.9</v>
      </c>
      <c r="G12" s="717">
        <f>'Haver Pivoted'!GT30</f>
        <v>1436.4</v>
      </c>
      <c r="H12" s="717">
        <f>'Haver Pivoted'!GU30</f>
        <v>1374.2</v>
      </c>
      <c r="I12" s="717">
        <f>'Haver Pivoted'!GV30</f>
        <v>1426.6</v>
      </c>
      <c r="J12" s="717">
        <f>'Haver Pivoted'!GW30</f>
        <v>1466.6</v>
      </c>
      <c r="K12" s="717">
        <f>'Haver Pivoted'!GX30</f>
        <v>1504.4</v>
      </c>
      <c r="L12" s="718">
        <f>'Monthly Personal Income'!L47*N24</f>
        <v>1532.5836169989936</v>
      </c>
      <c r="M12" s="754">
        <f t="shared" ref="M12:W12" si="2">L12*M85/L85</f>
        <v>1553.0380412760844</v>
      </c>
      <c r="N12" s="754">
        <f t="shared" si="2"/>
        <v>1571.3792096910856</v>
      </c>
      <c r="O12" s="754">
        <f t="shared" si="2"/>
        <v>1591.3169538820086</v>
      </c>
      <c r="P12" s="754">
        <f t="shared" si="2"/>
        <v>1607.0175733264402</v>
      </c>
      <c r="Q12" s="754">
        <f t="shared" si="2"/>
        <v>1624.4223806100663</v>
      </c>
      <c r="R12" s="754">
        <f t="shared" si="2"/>
        <v>1641.7009517574561</v>
      </c>
      <c r="S12" s="754">
        <f t="shared" si="2"/>
        <v>1662.9898261704191</v>
      </c>
      <c r="T12" s="754">
        <f t="shared" si="2"/>
        <v>1680.7388130995171</v>
      </c>
      <c r="U12" s="754">
        <f t="shared" si="2"/>
        <v>1699.2952918514379</v>
      </c>
      <c r="V12" s="754">
        <f t="shared" si="2"/>
        <v>1718.8967600211286</v>
      </c>
      <c r="W12" s="719">
        <f t="shared" si="2"/>
        <v>1726.2452985183986</v>
      </c>
      <c r="X12" s="284"/>
      <c r="Y12" s="284"/>
      <c r="Z12" s="284"/>
      <c r="AA12" s="284"/>
      <c r="AB12" s="284"/>
      <c r="AC12" s="284"/>
      <c r="AD12" s="284"/>
      <c r="AE12" s="284"/>
      <c r="AF12" s="284"/>
      <c r="AG12" s="284"/>
      <c r="AH12" s="284"/>
      <c r="AI12" s="284"/>
      <c r="AJ12" s="284"/>
      <c r="AK12" s="284"/>
      <c r="AL12" s="284"/>
      <c r="AM12" s="284"/>
      <c r="AN12" s="284"/>
      <c r="AO12" s="284"/>
      <c r="AP12" s="284"/>
      <c r="AQ12" s="284"/>
      <c r="AR12" s="284"/>
      <c r="AS12" s="284"/>
      <c r="AT12" s="284"/>
      <c r="AU12" s="284"/>
      <c r="AV12" s="284"/>
      <c r="AW12" s="284"/>
      <c r="AX12" s="284"/>
      <c r="AY12" s="284"/>
      <c r="AZ12" s="284"/>
      <c r="BA12" s="284"/>
    </row>
    <row r="13" spans="2:54" ht="15">
      <c r="B13" s="271" t="s">
        <v>614</v>
      </c>
      <c r="C13" s="135" t="s">
        <v>240</v>
      </c>
      <c r="D13" s="600"/>
      <c r="E13" s="600"/>
      <c r="F13" s="717">
        <f>'Haver Pivoted'!GS28</f>
        <v>179.2</v>
      </c>
      <c r="G13" s="717">
        <f>'Haver Pivoted'!GT28</f>
        <v>183.8</v>
      </c>
      <c r="H13" s="717">
        <f>'Haver Pivoted'!GU28</f>
        <v>131.4</v>
      </c>
      <c r="I13" s="717">
        <f>'Haver Pivoted'!GV28</f>
        <v>144.69999999999999</v>
      </c>
      <c r="J13" s="717">
        <f>'Haver Pivoted'!GW28</f>
        <v>150.80000000000001</v>
      </c>
      <c r="K13" s="717">
        <f>'Haver Pivoted'!GX28</f>
        <v>159.9</v>
      </c>
      <c r="L13" s="718">
        <f t="shared" ref="L13:W13" si="3">K13*L86/K86</f>
        <v>161.5335092348285</v>
      </c>
      <c r="M13" s="754">
        <f t="shared" si="3"/>
        <v>163.64949868073882</v>
      </c>
      <c r="N13" s="754">
        <f t="shared" si="3"/>
        <v>165.79036939313988</v>
      </c>
      <c r="O13" s="754">
        <f t="shared" si="3"/>
        <v>173.66657894509004</v>
      </c>
      <c r="P13" s="754">
        <f t="shared" si="3"/>
        <v>175.72081273771664</v>
      </c>
      <c r="Q13" s="754">
        <f t="shared" si="3"/>
        <v>177.77392888410134</v>
      </c>
      <c r="R13" s="754">
        <f t="shared" si="3"/>
        <v>179.83822149290506</v>
      </c>
      <c r="S13" s="754">
        <f t="shared" si="3"/>
        <v>174.56637151623579</v>
      </c>
      <c r="T13" s="754">
        <f t="shared" si="3"/>
        <v>176.52019229084712</v>
      </c>
      <c r="U13" s="754">
        <f t="shared" si="3"/>
        <v>178.60820405272574</v>
      </c>
      <c r="V13" s="754">
        <f t="shared" si="3"/>
        <v>180.8218185786865</v>
      </c>
      <c r="W13" s="719">
        <f t="shared" si="3"/>
        <v>180.46378266299115</v>
      </c>
      <c r="X13" s="284"/>
      <c r="Y13" s="284"/>
      <c r="Z13" s="284"/>
      <c r="AA13" s="284"/>
      <c r="AB13" s="284"/>
      <c r="AC13" s="284"/>
      <c r="AD13" s="284"/>
      <c r="AE13" s="284"/>
      <c r="AF13" s="284"/>
      <c r="AG13" s="284"/>
      <c r="AH13" s="284"/>
      <c r="AI13" s="284"/>
      <c r="AJ13" s="284"/>
      <c r="AK13" s="284"/>
      <c r="AL13" s="284"/>
      <c r="AM13" s="284"/>
      <c r="AN13" s="284"/>
      <c r="AO13" s="284"/>
      <c r="AP13" s="284"/>
      <c r="AQ13" s="284"/>
      <c r="AR13" s="284"/>
      <c r="AS13" s="284"/>
      <c r="AT13" s="284"/>
      <c r="AU13" s="284"/>
      <c r="AV13" s="284"/>
      <c r="AW13" s="284"/>
      <c r="AX13" s="284"/>
      <c r="AY13" s="284"/>
      <c r="AZ13" s="284"/>
      <c r="BA13" s="284"/>
    </row>
    <row r="14" spans="2:54" s="759" customFormat="1" ht="15">
      <c r="B14" s="149" t="s">
        <v>691</v>
      </c>
      <c r="C14" s="780" t="s">
        <v>241</v>
      </c>
      <c r="D14" s="767"/>
      <c r="E14" s="767"/>
      <c r="F14" s="762">
        <f>'Haver Pivoted'!GS29</f>
        <v>229.7</v>
      </c>
      <c r="G14" s="762">
        <f>'Haver Pivoted'!GT29</f>
        <v>180.5</v>
      </c>
      <c r="H14" s="762">
        <f>'Haver Pivoted'!GU29</f>
        <v>171.5</v>
      </c>
      <c r="I14" s="762">
        <f>'Haver Pivoted'!GV29</f>
        <v>207</v>
      </c>
      <c r="J14" s="762">
        <f>'Haver Pivoted'!GW29</f>
        <v>236.9</v>
      </c>
      <c r="K14" s="762">
        <f>'Haver Pivoted'!GX29</f>
        <v>254.1</v>
      </c>
      <c r="L14" s="781">
        <f t="shared" ref="L14:W14" si="4">K14*L87/K87</f>
        <v>226.10456279809225</v>
      </c>
      <c r="M14" s="782">
        <f t="shared" si="4"/>
        <v>223.63021860095395</v>
      </c>
      <c r="N14" s="782">
        <f t="shared" si="4"/>
        <v>226.20555643879177</v>
      </c>
      <c r="O14" s="782">
        <f t="shared" si="4"/>
        <v>250.26687850661628</v>
      </c>
      <c r="P14" s="782">
        <f t="shared" si="4"/>
        <v>255.50212610826523</v>
      </c>
      <c r="Q14" s="782">
        <f t="shared" si="4"/>
        <v>260.30753232788413</v>
      </c>
      <c r="R14" s="782">
        <f t="shared" si="4"/>
        <v>265.34439159936528</v>
      </c>
      <c r="S14" s="782">
        <f t="shared" si="4"/>
        <v>288.93373183497721</v>
      </c>
      <c r="T14" s="782">
        <f t="shared" si="4"/>
        <v>293.21843999622678</v>
      </c>
      <c r="U14" s="782">
        <f t="shared" si="4"/>
        <v>298.3316828847897</v>
      </c>
      <c r="V14" s="782">
        <f t="shared" si="4"/>
        <v>303.9538828201309</v>
      </c>
      <c r="W14" s="783">
        <f t="shared" si="4"/>
        <v>310.98024028630624</v>
      </c>
      <c r="X14" s="772"/>
      <c r="Y14" s="772"/>
      <c r="Z14" s="772"/>
      <c r="AA14" s="772"/>
      <c r="AB14" s="772"/>
      <c r="AC14" s="772"/>
      <c r="AD14" s="772"/>
      <c r="AE14" s="772"/>
      <c r="AF14" s="772"/>
      <c r="AG14" s="772"/>
      <c r="AH14" s="772"/>
      <c r="AI14" s="772"/>
      <c r="AJ14" s="772"/>
      <c r="AK14" s="772"/>
      <c r="AL14" s="772"/>
      <c r="AM14" s="772"/>
      <c r="AN14" s="772"/>
      <c r="AO14" s="772"/>
      <c r="AP14" s="772"/>
      <c r="AQ14" s="772"/>
      <c r="AR14" s="772"/>
      <c r="AS14" s="772"/>
      <c r="AT14" s="772"/>
      <c r="AU14" s="772"/>
      <c r="AV14" s="772"/>
      <c r="AW14" s="772"/>
      <c r="AX14" s="772"/>
      <c r="AY14" s="772"/>
      <c r="AZ14" s="772"/>
      <c r="BA14" s="772"/>
    </row>
    <row r="15" spans="2:54">
      <c r="B15" s="599"/>
      <c r="C15" s="750"/>
      <c r="D15" s="600"/>
      <c r="E15" s="600"/>
      <c r="F15" s="601"/>
      <c r="G15" s="601"/>
      <c r="H15" s="601"/>
      <c r="I15" s="601"/>
      <c r="J15" s="601"/>
      <c r="K15" s="601"/>
      <c r="L15" s="602"/>
      <c r="M15" s="755"/>
      <c r="N15" s="755"/>
      <c r="O15" s="756"/>
      <c r="P15" s="755"/>
      <c r="Q15" s="755"/>
      <c r="R15" s="756"/>
      <c r="S15" s="757"/>
      <c r="T15" s="755"/>
      <c r="U15" s="755"/>
      <c r="V15" s="755"/>
      <c r="W15" s="720"/>
      <c r="X15" s="284"/>
      <c r="Y15" s="284"/>
      <c r="Z15" s="284"/>
      <c r="AA15" s="284"/>
      <c r="AB15" s="284"/>
      <c r="AC15" s="284"/>
      <c r="AD15" s="284"/>
      <c r="AE15" s="284"/>
      <c r="AF15" s="284"/>
      <c r="AG15" s="284"/>
      <c r="AH15" s="284"/>
      <c r="AI15" s="284"/>
      <c r="AJ15" s="284"/>
      <c r="AK15" s="284"/>
      <c r="AL15" s="284"/>
      <c r="AM15" s="284"/>
      <c r="AN15" s="284"/>
      <c r="AO15" s="284"/>
      <c r="AP15" s="284"/>
      <c r="AQ15" s="284"/>
      <c r="AR15" s="284"/>
      <c r="AS15" s="284"/>
      <c r="AT15" s="284"/>
      <c r="AU15" s="284"/>
      <c r="AV15" s="284"/>
      <c r="AW15" s="284"/>
      <c r="AX15" s="284"/>
      <c r="AY15" s="284"/>
      <c r="AZ15" s="284"/>
      <c r="BA15" s="284"/>
    </row>
    <row r="16" spans="2:54">
      <c r="B16" s="606" t="s">
        <v>450</v>
      </c>
      <c r="C16" s="136"/>
      <c r="D16" s="601"/>
      <c r="E16" s="601"/>
      <c r="F16" s="600"/>
      <c r="G16" s="600"/>
      <c r="H16" s="600"/>
      <c r="I16" s="600"/>
      <c r="J16" s="600"/>
      <c r="K16" s="600"/>
      <c r="L16" s="721"/>
      <c r="M16" s="753"/>
      <c r="N16" s="753"/>
      <c r="O16" s="753"/>
      <c r="P16" s="753"/>
      <c r="Q16" s="753"/>
      <c r="R16" s="753"/>
      <c r="S16" s="753"/>
      <c r="T16" s="753"/>
      <c r="U16" s="753"/>
      <c r="V16" s="753"/>
      <c r="W16" s="715"/>
    </row>
    <row r="17" spans="2:38" s="759" customFormat="1">
      <c r="B17" s="722" t="s">
        <v>690</v>
      </c>
      <c r="C17" s="760"/>
      <c r="D17" s="761"/>
      <c r="E17" s="761"/>
      <c r="F17" s="762">
        <f>SUM(F18:F20)</f>
        <v>1832.4</v>
      </c>
      <c r="G17" s="762">
        <f t="shared" ref="G17:W17" si="5">SUM(G18:G20)</f>
        <v>1862.4</v>
      </c>
      <c r="H17" s="762">
        <f t="shared" si="5"/>
        <v>1779.8</v>
      </c>
      <c r="I17" s="762">
        <f t="shared" si="5"/>
        <v>1871.3000000000002</v>
      </c>
      <c r="J17" s="762">
        <f t="shared" si="5"/>
        <v>1907.1</v>
      </c>
      <c r="K17" s="762">
        <f t="shared" si="5"/>
        <v>1951.8999999999999</v>
      </c>
      <c r="L17" s="763">
        <f t="shared" si="5"/>
        <v>1982.2575063350162</v>
      </c>
      <c r="M17" s="764">
        <f t="shared" si="5"/>
        <v>2018.4385726167525</v>
      </c>
      <c r="N17" s="764">
        <f t="shared" si="5"/>
        <v>2042.071200394108</v>
      </c>
      <c r="O17" s="764">
        <f t="shared" si="5"/>
        <v>2068.0888553932191</v>
      </c>
      <c r="P17" s="764">
        <f t="shared" si="5"/>
        <v>2090.3566417716715</v>
      </c>
      <c r="Q17" s="764">
        <f t="shared" si="5"/>
        <v>2113.4133340890266</v>
      </c>
      <c r="R17" s="764">
        <f t="shared" si="5"/>
        <v>2136.2796926193246</v>
      </c>
      <c r="S17" s="764">
        <f t="shared" si="5"/>
        <v>2158.0501261231802</v>
      </c>
      <c r="T17" s="764">
        <f t="shared" si="5"/>
        <v>2181.1897387005884</v>
      </c>
      <c r="U17" s="764">
        <f t="shared" si="5"/>
        <v>2205.8491806813931</v>
      </c>
      <c r="V17" s="764">
        <f t="shared" si="5"/>
        <v>2231.7604044944273</v>
      </c>
      <c r="W17" s="765">
        <f t="shared" si="5"/>
        <v>2256.6943414541456</v>
      </c>
    </row>
    <row r="18" spans="2:38" ht="15">
      <c r="B18" s="271" t="s">
        <v>615</v>
      </c>
      <c r="C18" s="136" t="s">
        <v>245</v>
      </c>
      <c r="D18" s="601"/>
      <c r="E18" s="601"/>
      <c r="F18" s="717">
        <f>'Haver Pivoted'!GS33</f>
        <v>480.9</v>
      </c>
      <c r="G18" s="717">
        <f>'Haver Pivoted'!GT33</f>
        <v>495.8</v>
      </c>
      <c r="H18" s="717">
        <f>'Haver Pivoted'!GU33</f>
        <v>496.4</v>
      </c>
      <c r="I18" s="717">
        <f>'Haver Pivoted'!GV33</f>
        <v>506.6</v>
      </c>
      <c r="J18" s="717">
        <f>'Haver Pivoted'!GW33</f>
        <v>524.5</v>
      </c>
      <c r="K18" s="717">
        <f>'Haver Pivoted'!GX33</f>
        <v>555.9</v>
      </c>
      <c r="L18" s="723">
        <f>'Monthly Personal Income'!L48*(1-L24)</f>
        <v>572.42399999999998</v>
      </c>
      <c r="M18" s="758">
        <f t="shared" ref="M18:W18" si="6">L18*M74/L74</f>
        <v>590.13125842461739</v>
      </c>
      <c r="N18" s="758">
        <f t="shared" si="6"/>
        <v>595.10927464670954</v>
      </c>
      <c r="O18" s="758">
        <f t="shared" si="6"/>
        <v>601.05058487331712</v>
      </c>
      <c r="P18" s="758">
        <f t="shared" si="6"/>
        <v>606.01364311397276</v>
      </c>
      <c r="Q18" s="758">
        <f t="shared" si="6"/>
        <v>611.7485331967556</v>
      </c>
      <c r="R18" s="758">
        <f t="shared" si="6"/>
        <v>617.20221322853081</v>
      </c>
      <c r="S18" s="758">
        <f t="shared" si="6"/>
        <v>622.93112011873893</v>
      </c>
      <c r="T18" s="758">
        <f t="shared" si="6"/>
        <v>628.90234630821965</v>
      </c>
      <c r="U18" s="758">
        <f t="shared" si="6"/>
        <v>635.22059766702898</v>
      </c>
      <c r="V18" s="758">
        <f t="shared" si="6"/>
        <v>641.6884288402041</v>
      </c>
      <c r="W18" s="724">
        <f t="shared" si="6"/>
        <v>648.92510025921899</v>
      </c>
    </row>
    <row r="19" spans="2:38" ht="15">
      <c r="B19" s="271" t="s">
        <v>616</v>
      </c>
      <c r="C19" s="136" t="s">
        <v>248</v>
      </c>
      <c r="D19" s="601"/>
      <c r="E19" s="601"/>
      <c r="F19" s="717">
        <f>'Haver Pivoted'!GS36</f>
        <v>21.1</v>
      </c>
      <c r="G19" s="717">
        <f>'Haver Pivoted'!GT36</f>
        <v>20.399999999999999</v>
      </c>
      <c r="H19" s="717">
        <f>'Haver Pivoted'!GU36</f>
        <v>19.100000000000001</v>
      </c>
      <c r="I19" s="717">
        <f>'Haver Pivoted'!GV36</f>
        <v>20.2</v>
      </c>
      <c r="J19" s="717">
        <f>'Haver Pivoted'!GW36</f>
        <v>21.8</v>
      </c>
      <c r="K19" s="717">
        <f>'Haver Pivoted'!GX36</f>
        <v>23.9</v>
      </c>
      <c r="L19" s="723">
        <f>'Monthly Personal Income'!L47*(1 - N24)</f>
        <v>23.716383001006268</v>
      </c>
      <c r="M19" s="758">
        <f t="shared" ref="M19:W19" si="7">L19*M75/L75</f>
        <v>24.032910565858145</v>
      </c>
      <c r="N19" s="758">
        <f t="shared" si="7"/>
        <v>24.316735976746912</v>
      </c>
      <c r="O19" s="758">
        <f t="shared" si="7"/>
        <v>24.611299408339985</v>
      </c>
      <c r="P19" s="758">
        <f t="shared" si="7"/>
        <v>24.854125103812319</v>
      </c>
      <c r="Q19" s="758">
        <f t="shared" si="7"/>
        <v>25.123307759195214</v>
      </c>
      <c r="R19" s="758">
        <f t="shared" si="7"/>
        <v>25.390538047177326</v>
      </c>
      <c r="S19" s="758">
        <f t="shared" si="7"/>
        <v>25.632631604874369</v>
      </c>
      <c r="T19" s="758">
        <f t="shared" si="7"/>
        <v>25.906207086909024</v>
      </c>
      <c r="U19" s="758">
        <f t="shared" si="7"/>
        <v>26.192228911123671</v>
      </c>
      <c r="V19" s="758">
        <f t="shared" si="7"/>
        <v>26.494357766394771</v>
      </c>
      <c r="W19" s="724">
        <f t="shared" si="7"/>
        <v>26.767689202504329</v>
      </c>
    </row>
    <row r="20" spans="2:38" ht="15">
      <c r="B20" s="271" t="s">
        <v>614</v>
      </c>
      <c r="C20" s="136" t="s">
        <v>246</v>
      </c>
      <c r="D20" s="601"/>
      <c r="E20" s="601"/>
      <c r="F20" s="717">
        <f>'Haver Pivoted'!GS34</f>
        <v>1330.4</v>
      </c>
      <c r="G20" s="717">
        <f>'Haver Pivoted'!GT34</f>
        <v>1346.2</v>
      </c>
      <c r="H20" s="717">
        <f>'Haver Pivoted'!GU34</f>
        <v>1264.3</v>
      </c>
      <c r="I20" s="717">
        <f>'Haver Pivoted'!GV34</f>
        <v>1344.5</v>
      </c>
      <c r="J20" s="717">
        <f>'Haver Pivoted'!GW34</f>
        <v>1360.8</v>
      </c>
      <c r="K20" s="717">
        <f>'Haver Pivoted'!GX34</f>
        <v>1372.1</v>
      </c>
      <c r="L20" s="723">
        <f t="shared" ref="L20:W20" si="8">K20*L76/K76</f>
        <v>1386.1171233340099</v>
      </c>
      <c r="M20" s="758">
        <f t="shared" si="8"/>
        <v>1404.274403626277</v>
      </c>
      <c r="N20" s="758">
        <f t="shared" si="8"/>
        <v>1422.6451897706515</v>
      </c>
      <c r="O20" s="758">
        <f t="shared" si="8"/>
        <v>1442.4269711115621</v>
      </c>
      <c r="P20" s="758">
        <f t="shared" si="8"/>
        <v>1459.4888735538866</v>
      </c>
      <c r="Q20" s="758">
        <f t="shared" si="8"/>
        <v>1476.5414931330761</v>
      </c>
      <c r="R20" s="758">
        <f t="shared" si="8"/>
        <v>1493.6869413436166</v>
      </c>
      <c r="S20" s="758">
        <f t="shared" si="8"/>
        <v>1509.4863743995668</v>
      </c>
      <c r="T20" s="758">
        <f t="shared" si="8"/>
        <v>1526.3811853054594</v>
      </c>
      <c r="U20" s="758">
        <f t="shared" si="8"/>
        <v>1544.4363541032403</v>
      </c>
      <c r="V20" s="758">
        <f t="shared" si="8"/>
        <v>1563.5776178878286</v>
      </c>
      <c r="W20" s="724">
        <f t="shared" si="8"/>
        <v>1581.0015519924223</v>
      </c>
    </row>
    <row r="21" spans="2:38" s="759" customFormat="1" ht="15">
      <c r="B21" s="773" t="s">
        <v>691</v>
      </c>
      <c r="C21" s="774" t="s">
        <v>247</v>
      </c>
      <c r="D21" s="775"/>
      <c r="E21" s="775"/>
      <c r="F21" s="776">
        <f>'Haver Pivoted'!GS35</f>
        <v>71</v>
      </c>
      <c r="G21" s="776">
        <f>'Haver Pivoted'!GT35</f>
        <v>62.7</v>
      </c>
      <c r="H21" s="776">
        <f>'Haver Pivoted'!GU35</f>
        <v>54.2</v>
      </c>
      <c r="I21" s="776">
        <f>'Haver Pivoted'!GV35</f>
        <v>90.2</v>
      </c>
      <c r="J21" s="776">
        <f>'Haver Pivoted'!GW35</f>
        <v>95.9</v>
      </c>
      <c r="K21" s="776">
        <f>'Haver Pivoted'!GX35</f>
        <v>101.2</v>
      </c>
      <c r="L21" s="777">
        <f t="shared" ref="L21:W21" si="9">K21*L77/K77</f>
        <v>90.050302066772659</v>
      </c>
      <c r="M21" s="778">
        <f t="shared" si="9"/>
        <v>89.064848966613667</v>
      </c>
      <c r="N21" s="778">
        <f t="shared" si="9"/>
        <v>90.090524642289338</v>
      </c>
      <c r="O21" s="778">
        <f t="shared" si="9"/>
        <v>91.333402225755151</v>
      </c>
      <c r="P21" s="778">
        <f t="shared" si="9"/>
        <v>93.243974562798073</v>
      </c>
      <c r="Q21" s="778">
        <f t="shared" si="9"/>
        <v>94.997678855325915</v>
      </c>
      <c r="R21" s="778">
        <f t="shared" si="9"/>
        <v>96.835850556438785</v>
      </c>
      <c r="S21" s="778">
        <f t="shared" si="9"/>
        <v>98.187329093799676</v>
      </c>
      <c r="T21" s="778">
        <f t="shared" si="9"/>
        <v>99.643386327503976</v>
      </c>
      <c r="U21" s="778">
        <f t="shared" si="9"/>
        <v>101.3810015898251</v>
      </c>
      <c r="V21" s="778">
        <f t="shared" si="9"/>
        <v>103.29157392686803</v>
      </c>
      <c r="W21" s="779">
        <f t="shared" si="9"/>
        <v>105.0372337042925</v>
      </c>
    </row>
    <row r="22" spans="2:38">
      <c r="L22" s="428" t="s">
        <v>1124</v>
      </c>
      <c r="N22" s="428" t="s">
        <v>1125</v>
      </c>
      <c r="X22" s="1381"/>
      <c r="Y22" s="1381"/>
      <c r="Z22" s="1381"/>
      <c r="AA22" s="1381"/>
    </row>
    <row r="23" spans="2:38" ht="16">
      <c r="B23" s="725"/>
      <c r="C23" s="725"/>
      <c r="D23" s="725"/>
      <c r="E23" s="725"/>
      <c r="F23" s="725"/>
      <c r="G23" s="725"/>
      <c r="H23" s="725"/>
      <c r="I23" s="725"/>
      <c r="J23" s="725"/>
      <c r="L23" s="428">
        <f>L11/(L11+L18)</f>
        <v>0.76</v>
      </c>
      <c r="N23" s="428">
        <f>L12/(L12+L19)</f>
        <v>0.98476104671271203</v>
      </c>
    </row>
    <row r="24" spans="2:38" ht="15">
      <c r="B24" s="587"/>
      <c r="C24" s="587"/>
      <c r="D24" s="1382"/>
      <c r="E24" s="1382"/>
      <c r="F24" s="726"/>
      <c r="G24" s="726"/>
      <c r="H24" s="726"/>
      <c r="I24" s="726"/>
      <c r="J24" s="726"/>
      <c r="K24" s="726"/>
      <c r="L24" s="1216">
        <v>0.76</v>
      </c>
      <c r="M24" s="726"/>
      <c r="N24" s="1216">
        <v>0.98476104671271203</v>
      </c>
      <c r="O24" s="726"/>
      <c r="P24" s="726"/>
      <c r="Q24" s="726"/>
      <c r="R24" s="726"/>
      <c r="S24" s="726"/>
      <c r="T24" s="587"/>
      <c r="U24" s="587"/>
      <c r="V24" s="587"/>
      <c r="W24" s="587"/>
      <c r="X24" s="726"/>
      <c r="Y24" s="726"/>
      <c r="Z24" s="726"/>
      <c r="AA24" s="726"/>
      <c r="AB24" s="726"/>
      <c r="AC24" s="726"/>
      <c r="AD24" s="726"/>
      <c r="AE24" s="726"/>
      <c r="AF24" s="726"/>
      <c r="AG24" s="726"/>
      <c r="AH24" s="726"/>
      <c r="AI24" s="726"/>
      <c r="AJ24" s="587"/>
      <c r="AK24" s="726"/>
      <c r="AL24" s="726"/>
    </row>
    <row r="25" spans="2:38" ht="15">
      <c r="B25" s="587" t="s">
        <v>774</v>
      </c>
      <c r="C25" s="587"/>
      <c r="D25" s="879"/>
      <c r="E25" s="879"/>
      <c r="F25" s="726"/>
      <c r="G25" s="726"/>
      <c r="H25" s="726"/>
      <c r="I25" s="726"/>
      <c r="J25" s="726"/>
      <c r="K25" s="726"/>
      <c r="L25" s="726"/>
      <c r="M25" s="726"/>
      <c r="N25" s="726"/>
      <c r="O25" s="726"/>
      <c r="P25" s="726"/>
      <c r="Q25" s="726"/>
      <c r="R25" s="726"/>
      <c r="S25" s="726"/>
      <c r="T25" s="587"/>
      <c r="U25" s="587"/>
      <c r="V25" s="587"/>
      <c r="W25" s="587"/>
      <c r="X25" s="726"/>
      <c r="Y25" s="726"/>
      <c r="Z25" s="726"/>
      <c r="AA25" s="726"/>
      <c r="AB25" s="726"/>
      <c r="AC25" s="726"/>
      <c r="AD25" s="726"/>
      <c r="AE25" s="726"/>
      <c r="AF25" s="726"/>
      <c r="AG25" s="726"/>
      <c r="AH25" s="726"/>
      <c r="AI25" s="726"/>
      <c r="AJ25" s="587"/>
      <c r="AK25" s="726"/>
      <c r="AL25" s="726"/>
    </row>
    <row r="26" spans="2:38" ht="30.5" customHeight="1">
      <c r="B26" s="886" t="s">
        <v>718</v>
      </c>
      <c r="C26" s="887">
        <v>2018</v>
      </c>
      <c r="D26" s="888">
        <v>2019</v>
      </c>
      <c r="E26" s="888">
        <v>2020</v>
      </c>
      <c r="F26" s="919">
        <v>2021</v>
      </c>
      <c r="G26" s="913">
        <v>2022</v>
      </c>
      <c r="H26" s="913">
        <v>2023</v>
      </c>
      <c r="I26" s="913">
        <v>2024</v>
      </c>
      <c r="J26" s="914">
        <v>2025</v>
      </c>
      <c r="L26" s="616"/>
      <c r="M26" s="616"/>
      <c r="N26" s="616"/>
      <c r="P26" s="616"/>
      <c r="Q26" s="616"/>
      <c r="R26" s="616"/>
      <c r="T26" s="616"/>
      <c r="U26" s="616"/>
      <c r="V26" s="616"/>
      <c r="W26" s="727"/>
      <c r="X26" s="616"/>
    </row>
    <row r="27" spans="2:38" ht="16.5" customHeight="1">
      <c r="B27" s="889" t="s">
        <v>692</v>
      </c>
      <c r="C27" s="880">
        <v>1683.5</v>
      </c>
      <c r="D27" s="880">
        <v>1717.9</v>
      </c>
      <c r="E27" s="880">
        <v>1609</v>
      </c>
      <c r="F27" s="920">
        <v>1699</v>
      </c>
      <c r="G27" s="915">
        <v>2041</v>
      </c>
      <c r="H27" s="915">
        <v>2084</v>
      </c>
      <c r="I27" s="915">
        <v>2139</v>
      </c>
      <c r="J27" s="916">
        <v>2228</v>
      </c>
      <c r="K27" s="727"/>
      <c r="L27" s="727"/>
      <c r="M27" s="727"/>
      <c r="N27" s="727"/>
      <c r="O27" s="727"/>
      <c r="P27" s="727"/>
      <c r="Q27" s="727"/>
      <c r="R27" s="727"/>
      <c r="S27" s="727"/>
      <c r="T27" s="727"/>
      <c r="U27" s="727"/>
      <c r="V27" s="727"/>
      <c r="W27" s="727"/>
      <c r="X27" s="616"/>
    </row>
    <row r="28" spans="2:38" ht="16.5" customHeight="1">
      <c r="B28" s="889" t="s">
        <v>693</v>
      </c>
      <c r="C28" s="880">
        <v>1170.7</v>
      </c>
      <c r="D28" s="880">
        <v>1243.4000000000001</v>
      </c>
      <c r="E28" s="880">
        <v>1310</v>
      </c>
      <c r="F28" s="920">
        <v>1325</v>
      </c>
      <c r="G28" s="915">
        <v>1351</v>
      </c>
      <c r="H28" s="915">
        <v>1452</v>
      </c>
      <c r="I28" s="915">
        <v>1507</v>
      </c>
      <c r="J28" s="916">
        <v>1558</v>
      </c>
      <c r="K28" s="727"/>
      <c r="L28" s="727"/>
      <c r="M28" s="727"/>
      <c r="N28" s="727"/>
      <c r="O28" s="727"/>
      <c r="P28" s="727"/>
      <c r="Q28" s="727"/>
      <c r="R28" s="727"/>
      <c r="S28" s="727"/>
      <c r="T28" s="727"/>
      <c r="U28" s="727"/>
      <c r="V28" s="727"/>
      <c r="W28" s="727"/>
      <c r="X28" s="616"/>
    </row>
    <row r="29" spans="2:38">
      <c r="B29" s="52" t="s">
        <v>694</v>
      </c>
      <c r="C29" s="670">
        <f t="shared" ref="C29:J29" si="10">C31+C30</f>
        <v>136.30000000000001</v>
      </c>
      <c r="D29" s="670">
        <f t="shared" si="10"/>
        <v>170.6</v>
      </c>
      <c r="E29" s="670">
        <f t="shared" si="10"/>
        <v>156</v>
      </c>
      <c r="F29" s="847">
        <f t="shared" si="10"/>
        <v>161</v>
      </c>
      <c r="G29" s="848">
        <f t="shared" si="10"/>
        <v>175</v>
      </c>
      <c r="H29" s="848">
        <f t="shared" si="10"/>
        <v>176</v>
      </c>
      <c r="I29" s="848">
        <f t="shared" si="10"/>
        <v>182</v>
      </c>
      <c r="J29" s="849">
        <f t="shared" si="10"/>
        <v>185</v>
      </c>
      <c r="L29" s="614"/>
    </row>
    <row r="30" spans="2:38" ht="16.5" customHeight="1">
      <c r="B30" s="890" t="s">
        <v>695</v>
      </c>
      <c r="C30" s="880">
        <v>95</v>
      </c>
      <c r="D30" s="880">
        <v>99.8</v>
      </c>
      <c r="E30" s="880">
        <v>87</v>
      </c>
      <c r="F30" s="920">
        <v>79</v>
      </c>
      <c r="G30" s="915">
        <v>86</v>
      </c>
      <c r="H30" s="915">
        <v>86</v>
      </c>
      <c r="I30" s="915">
        <v>90</v>
      </c>
      <c r="J30" s="916">
        <v>90</v>
      </c>
      <c r="K30" s="727"/>
      <c r="L30" s="727"/>
      <c r="M30" s="727"/>
      <c r="N30" s="727"/>
      <c r="O30" s="727"/>
      <c r="P30" s="727"/>
      <c r="Q30" s="727"/>
      <c r="R30" s="727"/>
      <c r="S30" s="727"/>
      <c r="T30" s="727"/>
      <c r="U30" s="727"/>
      <c r="V30" s="727"/>
      <c r="W30" s="727"/>
      <c r="X30" s="616"/>
    </row>
    <row r="31" spans="2:38" ht="16.5" customHeight="1">
      <c r="B31" s="890" t="s">
        <v>696</v>
      </c>
      <c r="C31" s="880">
        <v>41.3</v>
      </c>
      <c r="D31" s="880">
        <v>70.8</v>
      </c>
      <c r="E31" s="880">
        <v>69</v>
      </c>
      <c r="F31" s="920">
        <v>82</v>
      </c>
      <c r="G31" s="915">
        <v>89</v>
      </c>
      <c r="H31" s="915">
        <v>90</v>
      </c>
      <c r="I31" s="915">
        <v>92</v>
      </c>
      <c r="J31" s="916">
        <v>95</v>
      </c>
      <c r="K31" s="727"/>
      <c r="L31" s="727"/>
      <c r="M31" s="727"/>
      <c r="N31" s="727"/>
      <c r="O31" s="727"/>
      <c r="P31" s="727"/>
      <c r="Q31" s="727"/>
      <c r="R31" s="727"/>
      <c r="S31" s="727"/>
      <c r="T31" s="727"/>
      <c r="U31" s="727"/>
      <c r="V31" s="727"/>
      <c r="W31" s="727"/>
      <c r="X31" s="616"/>
    </row>
    <row r="32" spans="2:38" ht="16.5" customHeight="1">
      <c r="B32" s="891" t="s">
        <v>697</v>
      </c>
      <c r="C32" s="730">
        <v>204.7</v>
      </c>
      <c r="D32" s="730">
        <v>230.2</v>
      </c>
      <c r="E32" s="730">
        <v>212</v>
      </c>
      <c r="F32" s="921">
        <v>164</v>
      </c>
      <c r="G32" s="917">
        <v>252</v>
      </c>
      <c r="H32" s="917">
        <v>304</v>
      </c>
      <c r="I32" s="917">
        <v>328</v>
      </c>
      <c r="J32" s="918">
        <v>355</v>
      </c>
      <c r="K32" s="727"/>
      <c r="L32" s="727"/>
      <c r="M32" s="727"/>
      <c r="N32" s="727"/>
      <c r="O32" s="727"/>
      <c r="P32" s="727"/>
      <c r="Q32" s="727"/>
      <c r="R32" s="727"/>
      <c r="S32" s="727"/>
      <c r="T32" s="727"/>
      <c r="U32" s="727"/>
      <c r="V32" s="727"/>
      <c r="W32" s="727"/>
      <c r="X32" s="616"/>
    </row>
    <row r="33" spans="2:24" ht="16.5" customHeight="1">
      <c r="B33" s="615"/>
      <c r="C33" s="731"/>
      <c r="D33" s="731"/>
      <c r="E33" s="727"/>
      <c r="F33" s="727"/>
      <c r="G33" s="727"/>
      <c r="H33" s="727"/>
      <c r="I33" s="727"/>
      <c r="J33" s="727"/>
      <c r="K33" s="727"/>
      <c r="L33" s="727"/>
      <c r="M33" s="727"/>
      <c r="N33" s="727"/>
      <c r="O33" s="727"/>
      <c r="P33" s="727"/>
      <c r="Q33" s="727"/>
      <c r="R33" s="727"/>
      <c r="S33" s="727"/>
      <c r="T33" s="727"/>
      <c r="U33" s="727"/>
      <c r="V33" s="727"/>
      <c r="W33" s="727"/>
      <c r="X33" s="616"/>
    </row>
    <row r="34" spans="2:24">
      <c r="B34" s="882" t="s">
        <v>757</v>
      </c>
      <c r="C34" s="884">
        <v>2018</v>
      </c>
      <c r="D34" s="884">
        <v>2019</v>
      </c>
      <c r="E34" s="885">
        <v>2020</v>
      </c>
    </row>
    <row r="35" spans="2:24" ht="14.5" customHeight="1">
      <c r="B35" s="881" t="s">
        <v>692</v>
      </c>
      <c r="C35" s="614">
        <v>1622</v>
      </c>
      <c r="D35" s="614">
        <v>1687</v>
      </c>
      <c r="E35" s="728">
        <v>1695</v>
      </c>
      <c r="L35" s="428" t="s">
        <v>698</v>
      </c>
    </row>
    <row r="36" spans="2:24">
      <c r="B36" s="881" t="s">
        <v>699</v>
      </c>
      <c r="C36" s="614">
        <v>1332</v>
      </c>
      <c r="D36" s="614">
        <v>1388</v>
      </c>
      <c r="E36" s="728">
        <v>1414</v>
      </c>
      <c r="L36" s="973"/>
      <c r="M36" s="1379"/>
      <c r="N36" s="1379"/>
      <c r="O36" s="1379"/>
      <c r="P36" s="1379"/>
    </row>
    <row r="37" spans="2:24">
      <c r="B37" s="881" t="s">
        <v>700</v>
      </c>
      <c r="C37" s="614">
        <v>150</v>
      </c>
      <c r="D37" s="614">
        <v>175</v>
      </c>
      <c r="E37" s="575">
        <v>160</v>
      </c>
      <c r="L37" s="973"/>
      <c r="M37" s="1379" t="s">
        <v>515</v>
      </c>
      <c r="N37" s="1379"/>
      <c r="O37" s="1379"/>
      <c r="P37" s="1379"/>
    </row>
    <row r="38" spans="2:24">
      <c r="B38" s="826" t="s">
        <v>538</v>
      </c>
      <c r="C38" s="272">
        <v>208</v>
      </c>
      <c r="D38" s="272">
        <v>219</v>
      </c>
      <c r="E38" s="732">
        <v>197</v>
      </c>
      <c r="L38" s="973"/>
      <c r="M38" s="588" t="s">
        <v>701</v>
      </c>
      <c r="N38" s="588" t="s">
        <v>702</v>
      </c>
      <c r="O38" s="588" t="s">
        <v>703</v>
      </c>
      <c r="P38" s="588" t="s">
        <v>704</v>
      </c>
    </row>
    <row r="39" spans="2:24" ht="15">
      <c r="B39" s="733"/>
      <c r="C39" s="614"/>
      <c r="D39" s="614"/>
      <c r="E39" s="614"/>
      <c r="L39" s="428" t="s">
        <v>705</v>
      </c>
      <c r="M39" s="587">
        <v>2291.1</v>
      </c>
      <c r="N39" s="587">
        <v>2308.4</v>
      </c>
      <c r="O39" s="587">
        <v>2338.6999999999998</v>
      </c>
      <c r="P39" s="587">
        <v>2350.6</v>
      </c>
    </row>
    <row r="40" spans="2:24">
      <c r="B40" s="733" t="s">
        <v>773</v>
      </c>
      <c r="C40" s="614"/>
      <c r="D40" s="614"/>
      <c r="E40" s="614"/>
      <c r="N40" s="428">
        <f>N39/M39</f>
        <v>1.0075509580550828</v>
      </c>
      <c r="O40" s="428">
        <f>O39/N39</f>
        <v>1.0131259747010914</v>
      </c>
      <c r="P40" s="428">
        <f>P39/O39</f>
        <v>1.0050882969170907</v>
      </c>
    </row>
    <row r="41" spans="2:24">
      <c r="B41" s="883" t="s">
        <v>756</v>
      </c>
      <c r="C41" s="884">
        <v>2018</v>
      </c>
      <c r="D41" s="884">
        <v>2019</v>
      </c>
      <c r="E41" s="885">
        <v>2020</v>
      </c>
    </row>
    <row r="42" spans="2:24">
      <c r="B42" s="881" t="s">
        <v>692</v>
      </c>
      <c r="C42" s="661">
        <f t="shared" ref="C42:E44" si="11">C35/C27</f>
        <v>0.96346896346896349</v>
      </c>
      <c r="D42" s="661">
        <f t="shared" si="11"/>
        <v>0.98201292275452579</v>
      </c>
      <c r="E42" s="696">
        <f t="shared" si="11"/>
        <v>1.0534493474207582</v>
      </c>
      <c r="R42" s="327"/>
    </row>
    <row r="43" spans="2:24">
      <c r="B43" s="881" t="s">
        <v>699</v>
      </c>
      <c r="C43" s="661">
        <f t="shared" si="11"/>
        <v>1.1377808148970701</v>
      </c>
      <c r="D43" s="661">
        <f t="shared" si="11"/>
        <v>1.1162940324915553</v>
      </c>
      <c r="E43" s="696">
        <f t="shared" si="11"/>
        <v>1.0793893129770993</v>
      </c>
    </row>
    <row r="44" spans="2:24">
      <c r="B44" s="881" t="s">
        <v>700</v>
      </c>
      <c r="C44" s="661">
        <f t="shared" si="11"/>
        <v>1.1005135730007336</v>
      </c>
      <c r="D44" s="661">
        <f t="shared" si="11"/>
        <v>1.0257913247362251</v>
      </c>
      <c r="E44" s="661">
        <f t="shared" si="11"/>
        <v>1.0256410256410255</v>
      </c>
    </row>
    <row r="45" spans="2:24">
      <c r="B45" s="826" t="s">
        <v>538</v>
      </c>
      <c r="C45" s="698">
        <f>C38/C32</f>
        <v>1.0161211529066927</v>
      </c>
      <c r="D45" s="698">
        <f>D38/D32</f>
        <v>0.95134665508253702</v>
      </c>
      <c r="E45" s="699">
        <f>E38/E32</f>
        <v>0.92924528301886788</v>
      </c>
    </row>
    <row r="47" spans="2:24">
      <c r="B47" s="733"/>
      <c r="C47" s="614"/>
      <c r="D47" s="614"/>
      <c r="E47" s="614"/>
    </row>
    <row r="48" spans="2:24">
      <c r="B48" s="428" t="s">
        <v>775</v>
      </c>
    </row>
    <row r="49" spans="2:23">
      <c r="B49" s="882" t="s">
        <v>706</v>
      </c>
      <c r="C49" s="884">
        <v>2018</v>
      </c>
      <c r="D49" s="888">
        <v>2019</v>
      </c>
      <c r="E49" s="888">
        <v>2020</v>
      </c>
      <c r="F49" s="922">
        <v>2021</v>
      </c>
      <c r="G49" s="892">
        <v>2022</v>
      </c>
      <c r="H49" s="892">
        <v>2023</v>
      </c>
      <c r="I49" s="892">
        <v>2024</v>
      </c>
      <c r="J49" s="893">
        <v>2025</v>
      </c>
    </row>
    <row r="50" spans="2:23">
      <c r="B50" s="52" t="s">
        <v>618</v>
      </c>
      <c r="C50" s="614">
        <v>17643</v>
      </c>
      <c r="D50" s="614">
        <v>18394</v>
      </c>
      <c r="E50" s="735">
        <v>19521.2</v>
      </c>
      <c r="F50" s="745">
        <v>19878.900000000001</v>
      </c>
      <c r="G50" s="907">
        <v>20172.5</v>
      </c>
      <c r="H50" s="907">
        <v>20927.400000000001</v>
      </c>
      <c r="I50" s="907">
        <v>21790.6</v>
      </c>
      <c r="J50" s="737">
        <v>22753.4</v>
      </c>
    </row>
    <row r="51" spans="2:23">
      <c r="B51" s="52" t="s">
        <v>619</v>
      </c>
      <c r="C51" s="614">
        <v>8804</v>
      </c>
      <c r="D51" s="614">
        <v>9209</v>
      </c>
      <c r="E51" s="735">
        <v>9316.7999999999993</v>
      </c>
      <c r="F51" s="745">
        <v>9678.1</v>
      </c>
      <c r="G51" s="907">
        <v>10131.9</v>
      </c>
      <c r="H51" s="907">
        <v>10563.8</v>
      </c>
      <c r="I51" s="907">
        <v>11029.9</v>
      </c>
      <c r="J51" s="737">
        <v>11519</v>
      </c>
    </row>
    <row r="52" spans="2:23">
      <c r="B52" s="52" t="s">
        <v>707</v>
      </c>
      <c r="C52" s="614">
        <v>13844</v>
      </c>
      <c r="D52" s="614">
        <v>14403</v>
      </c>
      <c r="E52" s="735">
        <v>14200.9</v>
      </c>
      <c r="F52" s="745">
        <v>14849.6</v>
      </c>
      <c r="G52" s="907">
        <v>15623.1</v>
      </c>
      <c r="H52" s="907">
        <v>16358.1</v>
      </c>
      <c r="I52" s="907">
        <v>17138.2</v>
      </c>
      <c r="J52" s="737">
        <v>17982.8</v>
      </c>
    </row>
    <row r="53" spans="2:23">
      <c r="B53" s="53" t="s">
        <v>617</v>
      </c>
      <c r="C53" s="738">
        <v>2211.1</v>
      </c>
      <c r="D53" s="738">
        <v>2243.4</v>
      </c>
      <c r="E53" s="738">
        <v>2124.5</v>
      </c>
      <c r="F53" s="923">
        <v>2232.1999999999998</v>
      </c>
      <c r="G53" s="739">
        <v>2297.6</v>
      </c>
      <c r="H53" s="739">
        <v>2461.6</v>
      </c>
      <c r="I53" s="739">
        <v>2639.8</v>
      </c>
      <c r="J53" s="740">
        <v>2825.6</v>
      </c>
    </row>
    <row r="55" spans="2:23">
      <c r="B55" s="428" t="s">
        <v>776</v>
      </c>
    </row>
    <row r="56" spans="2:23">
      <c r="B56" s="882" t="s">
        <v>708</v>
      </c>
      <c r="C56" s="884">
        <v>2018</v>
      </c>
      <c r="D56" s="888">
        <v>2019</v>
      </c>
      <c r="E56" s="888">
        <v>2020</v>
      </c>
      <c r="F56" s="922">
        <v>2021</v>
      </c>
      <c r="G56" s="892">
        <v>2022</v>
      </c>
      <c r="H56" s="892">
        <v>2023</v>
      </c>
      <c r="I56" s="892">
        <v>2024</v>
      </c>
      <c r="J56" s="893">
        <v>2025</v>
      </c>
    </row>
    <row r="57" spans="2:23">
      <c r="B57" s="889" t="s">
        <v>692</v>
      </c>
      <c r="C57" s="741">
        <f t="shared" ref="C57:J59" si="12">C27/C50</f>
        <v>9.542027999773281E-2</v>
      </c>
      <c r="D57" s="741">
        <f t="shared" si="12"/>
        <v>9.3394585190823096E-2</v>
      </c>
      <c r="E57" s="741">
        <f t="shared" si="12"/>
        <v>8.2423211687806072E-2</v>
      </c>
      <c r="F57" s="924">
        <f t="shared" si="12"/>
        <v>8.5467505747299888E-2</v>
      </c>
      <c r="G57" s="925">
        <f t="shared" si="12"/>
        <v>0.10117734539595985</v>
      </c>
      <c r="H57" s="925">
        <f t="shared" si="12"/>
        <v>9.9582365702380604E-2</v>
      </c>
      <c r="I57" s="925">
        <f t="shared" si="12"/>
        <v>9.8161592613328685E-2</v>
      </c>
      <c r="J57" s="742">
        <f t="shared" si="12"/>
        <v>9.7919431821178363E-2</v>
      </c>
    </row>
    <row r="58" spans="2:23">
      <c r="B58" s="889" t="s">
        <v>693</v>
      </c>
      <c r="C58" s="741">
        <f t="shared" si="12"/>
        <v>0.13297364834166289</v>
      </c>
      <c r="D58" s="741">
        <f t="shared" si="12"/>
        <v>0.13502008904332718</v>
      </c>
      <c r="E58" s="741">
        <f t="shared" si="12"/>
        <v>0.14060621672677315</v>
      </c>
      <c r="F58" s="924">
        <f t="shared" si="12"/>
        <v>0.13690703753835981</v>
      </c>
      <c r="G58" s="925">
        <f t="shared" si="12"/>
        <v>0.13334122918702318</v>
      </c>
      <c r="H58" s="925">
        <f t="shared" si="12"/>
        <v>0.13745053863193171</v>
      </c>
      <c r="I58" s="925">
        <f t="shared" si="12"/>
        <v>0.13662861857315117</v>
      </c>
      <c r="J58" s="742">
        <f t="shared" si="12"/>
        <v>0.13525479642330063</v>
      </c>
    </row>
    <row r="59" spans="2:23">
      <c r="B59" s="52" t="s">
        <v>709</v>
      </c>
      <c r="C59" s="741">
        <f t="shared" si="12"/>
        <v>9.8454203987286912E-3</v>
      </c>
      <c r="D59" s="741">
        <f t="shared" si="12"/>
        <v>1.1844754565021176E-2</v>
      </c>
      <c r="E59" s="741">
        <f t="shared" si="12"/>
        <v>1.0985219246667465E-2</v>
      </c>
      <c r="F59" s="924">
        <f t="shared" si="12"/>
        <v>1.0842042883309987E-2</v>
      </c>
      <c r="G59" s="925">
        <f t="shared" si="12"/>
        <v>1.1201362085629612E-2</v>
      </c>
      <c r="H59" s="925">
        <f t="shared" si="12"/>
        <v>1.0759195750117679E-2</v>
      </c>
      <c r="I59" s="925">
        <f t="shared" si="12"/>
        <v>1.0619551644863522E-2</v>
      </c>
      <c r="J59" s="742">
        <f t="shared" si="12"/>
        <v>1.0287608158907401E-2</v>
      </c>
    </row>
    <row r="60" spans="2:23">
      <c r="B60" s="891" t="s">
        <v>697</v>
      </c>
      <c r="C60" s="642">
        <f t="shared" ref="C60:J60" si="13">C32/C53</f>
        <v>9.2578354665098825E-2</v>
      </c>
      <c r="D60" s="642">
        <f t="shared" si="13"/>
        <v>0.10261210662387446</v>
      </c>
      <c r="E60" s="642">
        <f t="shared" si="13"/>
        <v>9.9788185455401274E-2</v>
      </c>
      <c r="F60" s="644">
        <f t="shared" si="13"/>
        <v>7.3470119164949388E-2</v>
      </c>
      <c r="G60" s="645">
        <f t="shared" si="13"/>
        <v>0.10967966573816157</v>
      </c>
      <c r="H60" s="645">
        <f t="shared" si="13"/>
        <v>0.12349691257718558</v>
      </c>
      <c r="I60" s="645">
        <f t="shared" si="13"/>
        <v>0.12425183726039851</v>
      </c>
      <c r="J60" s="646">
        <f t="shared" si="13"/>
        <v>0.1256370328425821</v>
      </c>
    </row>
    <row r="62" spans="2:23">
      <c r="B62" s="428" t="s">
        <v>777</v>
      </c>
    </row>
    <row r="63" spans="2:23">
      <c r="B63" s="882" t="s">
        <v>710</v>
      </c>
      <c r="C63" s="884">
        <v>2018</v>
      </c>
      <c r="D63" s="888">
        <v>2019</v>
      </c>
      <c r="E63" s="888">
        <v>2020</v>
      </c>
      <c r="F63" s="922">
        <v>2021</v>
      </c>
      <c r="G63" s="892">
        <v>2022</v>
      </c>
      <c r="H63" s="892">
        <v>2023</v>
      </c>
      <c r="I63" s="892">
        <v>2024</v>
      </c>
      <c r="J63" s="893">
        <v>2025</v>
      </c>
    </row>
    <row r="64" spans="2:23" ht="39.5" customHeight="1">
      <c r="B64" s="894" t="s">
        <v>692</v>
      </c>
      <c r="C64" s="741">
        <f>C57*C42</f>
        <v>9.1934478263333896E-2</v>
      </c>
      <c r="D64" s="741">
        <f t="shared" ref="D64:E64" si="14">D57*D42</f>
        <v>9.1714689572686733E-2</v>
      </c>
      <c r="E64" s="741">
        <f t="shared" si="14"/>
        <v>8.6828678564842318E-2</v>
      </c>
      <c r="F64" s="957">
        <f>AVERAGE($D42:$E42)*F57+0.01</f>
        <v>9.698294163730907E-2</v>
      </c>
      <c r="G64" s="956">
        <f>AVERAGE($D42:$E42)*G57-0.004</f>
        <v>9.897133457498461E-2</v>
      </c>
      <c r="H64" s="925">
        <f t="shared" ref="H64:J64" si="15">AVERAGE($D42:$E42)*H57</f>
        <v>0.10134807408099647</v>
      </c>
      <c r="I64" s="925">
        <f t="shared" si="15"/>
        <v>9.9902109072373693E-2</v>
      </c>
      <c r="J64" s="742">
        <f t="shared" si="15"/>
        <v>9.9655654494504822E-2</v>
      </c>
      <c r="K64" s="955" t="s">
        <v>758</v>
      </c>
      <c r="M64" s="741"/>
      <c r="N64" s="741"/>
      <c r="O64" s="741"/>
      <c r="P64" s="741"/>
      <c r="Q64" s="741"/>
      <c r="R64" s="741"/>
      <c r="S64" s="741"/>
      <c r="T64" s="741"/>
      <c r="U64" s="741"/>
      <c r="V64" s="741"/>
      <c r="W64" s="741"/>
    </row>
    <row r="65" spans="2:23" ht="18.5" customHeight="1">
      <c r="B65" s="894" t="s">
        <v>693</v>
      </c>
      <c r="C65" s="741">
        <f t="shared" ref="C65:E67" si="16">C58*C43</f>
        <v>0.15129486597001363</v>
      </c>
      <c r="D65" s="741">
        <f t="shared" si="16"/>
        <v>0.15072211966554458</v>
      </c>
      <c r="E65" s="741">
        <f t="shared" si="16"/>
        <v>0.15176884767302079</v>
      </c>
      <c r="F65" s="924">
        <f t="shared" ref="F65:J65" si="17">AVERAGE($D43:$E43)*F58</f>
        <v>0.15030225110021425</v>
      </c>
      <c r="G65" s="956">
        <f>AVERAGE($D43:$E43)*G58+0.004</f>
        <v>0.15038755809513282</v>
      </c>
      <c r="H65" s="925">
        <f t="shared" si="17"/>
        <v>0.15089892924991416</v>
      </c>
      <c r="I65" s="925">
        <f t="shared" si="17"/>
        <v>0.14999659115772865</v>
      </c>
      <c r="J65" s="742">
        <f t="shared" si="17"/>
        <v>0.14848835195069726</v>
      </c>
      <c r="K65" s="954" t="s">
        <v>759</v>
      </c>
      <c r="L65" s="741"/>
      <c r="M65" s="741"/>
      <c r="N65" s="741"/>
      <c r="O65" s="741"/>
      <c r="P65" s="741"/>
      <c r="Q65" s="741"/>
      <c r="R65" s="741"/>
      <c r="S65" s="741"/>
      <c r="T65" s="741"/>
      <c r="U65" s="741"/>
      <c r="V65" s="741"/>
      <c r="W65" s="741"/>
    </row>
    <row r="66" spans="2:23">
      <c r="B66" s="881" t="s">
        <v>700</v>
      </c>
      <c r="C66" s="741">
        <f t="shared" si="16"/>
        <v>1.0835018780699219E-2</v>
      </c>
      <c r="D66" s="741">
        <f>D59*D44</f>
        <v>1.2150246476428523E-2</v>
      </c>
      <c r="E66" s="741">
        <f>E59*E44</f>
        <v>1.1266891535043552E-2</v>
      </c>
      <c r="F66" s="924">
        <f>AVERAGE($D44:$E44)*F59</f>
        <v>1.1120858757499777E-2</v>
      </c>
      <c r="G66" s="925">
        <f>AVERAGE($D44:$E44)*G59</f>
        <v>1.1489418275374891E-2</v>
      </c>
      <c r="H66" s="925">
        <f>AVERAGE($D44:$E44)*H59</f>
        <v>1.103588111291642E-2</v>
      </c>
      <c r="I66" s="925">
        <f>AVERAGE($D44:$E44)*I59</f>
        <v>1.0892645895387488E-2</v>
      </c>
      <c r="J66" s="742">
        <f>AVERAGE($D44:$E44)*J59</f>
        <v>1.0552166092593797E-2</v>
      </c>
      <c r="K66" s="953"/>
      <c r="L66" s="741"/>
      <c r="M66" s="741"/>
      <c r="N66" s="741"/>
      <c r="O66" s="741"/>
      <c r="P66" s="741"/>
      <c r="Q66" s="741"/>
      <c r="R66" s="741"/>
      <c r="S66" s="741"/>
      <c r="T66" s="741"/>
      <c r="U66" s="741"/>
      <c r="V66" s="741"/>
      <c r="W66" s="741"/>
    </row>
    <row r="67" spans="2:23" ht="25.5" customHeight="1">
      <c r="B67" s="895" t="s">
        <v>697</v>
      </c>
      <c r="C67" s="642">
        <f t="shared" si="16"/>
        <v>9.4070824476504916E-2</v>
      </c>
      <c r="D67" s="642">
        <f t="shared" si="16"/>
        <v>9.7619684407595608E-2</v>
      </c>
      <c r="E67" s="642">
        <f t="shared" si="16"/>
        <v>9.2727700635443638E-2</v>
      </c>
      <c r="F67" s="937">
        <f>AVERAGE($D45:$E45)*F60+0.03</f>
        <v>9.9083656896476663E-2</v>
      </c>
      <c r="G67" s="962">
        <f>AVERAGE($D45:$E45)*G60+0.005</f>
        <v>0.10813134758042177</v>
      </c>
      <c r="H67" s="645">
        <f t="shared" ref="H67:J67" si="18">AVERAGE($D45:$E45)*H60</f>
        <v>0.11612364908653459</v>
      </c>
      <c r="I67" s="645">
        <f t="shared" si="18"/>
        <v>0.1168335017230966</v>
      </c>
      <c r="J67" s="646">
        <f t="shared" si="18"/>
        <v>0.11813599554537066</v>
      </c>
      <c r="K67" s="955" t="s">
        <v>711</v>
      </c>
      <c r="L67" s="741"/>
      <c r="M67" s="741"/>
      <c r="N67" s="741"/>
      <c r="O67" s="741"/>
      <c r="P67" s="741"/>
      <c r="Q67" s="741"/>
      <c r="R67" s="741"/>
      <c r="S67" s="741"/>
      <c r="T67" s="741"/>
      <c r="U67" s="741"/>
      <c r="V67" s="741"/>
      <c r="W67" s="741"/>
    </row>
    <row r="68" spans="2:23">
      <c r="J68" s="450"/>
    </row>
    <row r="69" spans="2:23">
      <c r="B69" s="733" t="s">
        <v>778</v>
      </c>
      <c r="C69" s="741"/>
      <c r="D69" s="741"/>
      <c r="E69" s="741"/>
      <c r="F69" s="741"/>
      <c r="G69" s="741"/>
      <c r="H69" s="741"/>
      <c r="I69" s="741"/>
      <c r="J69" s="896"/>
      <c r="K69" s="741"/>
      <c r="L69" s="741"/>
      <c r="M69" s="741"/>
      <c r="N69" s="741"/>
      <c r="O69" s="741"/>
      <c r="P69" s="741"/>
      <c r="Q69" s="741"/>
      <c r="R69" s="741"/>
      <c r="S69" s="741"/>
      <c r="T69" s="741"/>
      <c r="U69" s="741"/>
      <c r="V69" s="741"/>
      <c r="W69" s="741"/>
    </row>
    <row r="70" spans="2:23">
      <c r="B70" s="259"/>
      <c r="C70" s="261"/>
      <c r="D70" s="1305">
        <v>2019</v>
      </c>
      <c r="E70" s="1305"/>
      <c r="F70" s="1258"/>
      <c r="G70" s="1256">
        <v>2020</v>
      </c>
      <c r="H70" s="1305"/>
      <c r="I70" s="1305"/>
      <c r="J70" s="1258"/>
      <c r="K70" s="576">
        <v>2021</v>
      </c>
      <c r="L70" s="1269">
        <v>2021</v>
      </c>
      <c r="M70" s="1270"/>
      <c r="N70" s="1271"/>
      <c r="O70" s="1269">
        <v>2022</v>
      </c>
      <c r="P70" s="1270"/>
      <c r="Q70" s="1270"/>
      <c r="R70" s="1271"/>
      <c r="S70" s="1269">
        <v>2023</v>
      </c>
      <c r="T70" s="1297"/>
      <c r="U70" s="1297"/>
      <c r="V70" s="1271"/>
      <c r="W70" s="568">
        <v>2024</v>
      </c>
    </row>
    <row r="71" spans="2:23">
      <c r="B71" s="47" t="s">
        <v>712</v>
      </c>
      <c r="C71" s="46"/>
      <c r="D71" s="269" t="s">
        <v>138</v>
      </c>
      <c r="E71" s="269" t="s">
        <v>139</v>
      </c>
      <c r="F71" s="43" t="s">
        <v>140</v>
      </c>
      <c r="G71" s="42" t="s">
        <v>137</v>
      </c>
      <c r="H71" s="42" t="s">
        <v>138</v>
      </c>
      <c r="I71" s="42" t="s">
        <v>139</v>
      </c>
      <c r="J71" s="43" t="s">
        <v>140</v>
      </c>
      <c r="K71" s="41" t="s">
        <v>137</v>
      </c>
      <c r="L71" s="78" t="s">
        <v>138</v>
      </c>
      <c r="M71" s="79" t="s">
        <v>139</v>
      </c>
      <c r="N71" s="80" t="s">
        <v>140</v>
      </c>
      <c r="O71" s="78" t="s">
        <v>137</v>
      </c>
      <c r="P71" s="79" t="s">
        <v>138</v>
      </c>
      <c r="Q71" s="79" t="s">
        <v>139</v>
      </c>
      <c r="R71" s="80" t="s">
        <v>140</v>
      </c>
      <c r="S71" s="78" t="s">
        <v>137</v>
      </c>
      <c r="T71" s="79" t="s">
        <v>138</v>
      </c>
      <c r="U71" s="79" t="s">
        <v>139</v>
      </c>
      <c r="V71" s="80" t="s">
        <v>140</v>
      </c>
      <c r="W71" s="81" t="s">
        <v>137</v>
      </c>
    </row>
    <row r="72" spans="2:23">
      <c r="B72" s="910" t="s">
        <v>618</v>
      </c>
      <c r="C72" s="911"/>
      <c r="D72" s="451"/>
      <c r="E72" s="451"/>
      <c r="F72" s="735"/>
      <c r="G72" s="735"/>
      <c r="H72" s="735"/>
      <c r="I72" s="735"/>
      <c r="J72" s="426"/>
      <c r="K72" s="908">
        <v>20734.2</v>
      </c>
      <c r="L72" s="501">
        <v>19678.400000000001</v>
      </c>
      <c r="M72" s="743">
        <v>19726.3</v>
      </c>
      <c r="N72" s="743">
        <v>19892.7</v>
      </c>
      <c r="O72" s="743">
        <v>20091.3</v>
      </c>
      <c r="P72" s="743">
        <v>20257.2</v>
      </c>
      <c r="Q72" s="743">
        <v>20448.900000000001</v>
      </c>
      <c r="R72" s="743">
        <v>20631.2</v>
      </c>
      <c r="S72" s="743">
        <v>20822.7</v>
      </c>
      <c r="T72" s="743">
        <v>21022.3</v>
      </c>
      <c r="U72" s="743">
        <v>21233.5</v>
      </c>
      <c r="V72" s="743">
        <v>21449.7</v>
      </c>
      <c r="W72" s="744">
        <v>21691.599999999999</v>
      </c>
    </row>
    <row r="73" spans="2:23" ht="30">
      <c r="B73" s="229" t="s">
        <v>713</v>
      </c>
      <c r="C73" s="608"/>
      <c r="D73" s="451"/>
      <c r="E73" s="451"/>
      <c r="F73" s="735"/>
      <c r="G73" s="735"/>
      <c r="H73" s="735"/>
      <c r="I73" s="735"/>
      <c r="J73" s="426"/>
      <c r="K73" s="729">
        <v>1933.7</v>
      </c>
      <c r="L73" s="501">
        <f>'Rebate Checks'!J10*2</f>
        <v>544</v>
      </c>
      <c r="M73" s="743"/>
      <c r="N73" s="743"/>
      <c r="O73" s="743"/>
      <c r="P73" s="743"/>
      <c r="Q73" s="743"/>
      <c r="R73" s="743"/>
      <c r="S73" s="743"/>
      <c r="T73" s="743"/>
      <c r="U73" s="743"/>
      <c r="V73" s="743"/>
      <c r="W73" s="744"/>
    </row>
    <row r="74" spans="2:23">
      <c r="B74" s="302" t="s">
        <v>714</v>
      </c>
      <c r="C74" s="608"/>
      <c r="D74" s="451"/>
      <c r="E74" s="451"/>
      <c r="F74" s="735"/>
      <c r="G74" s="735"/>
      <c r="H74" s="735"/>
      <c r="I74" s="735"/>
      <c r="J74" s="426"/>
      <c r="K74" s="909">
        <f>K72-K73</f>
        <v>18800.5</v>
      </c>
      <c r="L74" s="907">
        <f t="shared" ref="L74:W74" si="19">L72-L73</f>
        <v>19134.400000000001</v>
      </c>
      <c r="M74" s="736">
        <f t="shared" si="19"/>
        <v>19726.3</v>
      </c>
      <c r="N74" s="736">
        <f t="shared" si="19"/>
        <v>19892.7</v>
      </c>
      <c r="O74" s="736">
        <f t="shared" si="19"/>
        <v>20091.3</v>
      </c>
      <c r="P74" s="736">
        <f t="shared" si="19"/>
        <v>20257.2</v>
      </c>
      <c r="Q74" s="736">
        <f t="shared" si="19"/>
        <v>20448.900000000001</v>
      </c>
      <c r="R74" s="736">
        <f t="shared" si="19"/>
        <v>20631.2</v>
      </c>
      <c r="S74" s="736">
        <f t="shared" si="19"/>
        <v>20822.7</v>
      </c>
      <c r="T74" s="736">
        <f t="shared" si="19"/>
        <v>21022.3</v>
      </c>
      <c r="U74" s="736">
        <f t="shared" si="19"/>
        <v>21233.5</v>
      </c>
      <c r="V74" s="736">
        <f t="shared" si="19"/>
        <v>21449.7</v>
      </c>
      <c r="W74" s="737">
        <f t="shared" si="19"/>
        <v>21691.599999999999</v>
      </c>
    </row>
    <row r="75" spans="2:23">
      <c r="B75" s="302" t="s">
        <v>619</v>
      </c>
      <c r="C75" s="608"/>
      <c r="D75" s="451"/>
      <c r="E75" s="451"/>
      <c r="F75" s="735"/>
      <c r="G75" s="735"/>
      <c r="H75" s="735"/>
      <c r="I75" s="735"/>
      <c r="J75" s="426"/>
      <c r="K75" s="729">
        <v>9644</v>
      </c>
      <c r="L75" s="501">
        <v>9718</v>
      </c>
      <c r="M75" s="743">
        <v>9847.7000000000007</v>
      </c>
      <c r="N75" s="743">
        <v>9964</v>
      </c>
      <c r="O75" s="743">
        <v>10084.700000000001</v>
      </c>
      <c r="P75" s="743">
        <v>10184.200000000001</v>
      </c>
      <c r="Q75" s="743">
        <v>10294.5</v>
      </c>
      <c r="R75" s="743">
        <v>10404</v>
      </c>
      <c r="S75" s="743">
        <v>10503.2</v>
      </c>
      <c r="T75" s="743">
        <v>10615.3</v>
      </c>
      <c r="U75" s="743">
        <v>10732.5</v>
      </c>
      <c r="V75" s="743">
        <v>10856.3</v>
      </c>
      <c r="W75" s="744">
        <v>10968.3</v>
      </c>
    </row>
    <row r="76" spans="2:23">
      <c r="B76" s="302" t="s">
        <v>707</v>
      </c>
      <c r="C76" s="617"/>
      <c r="D76" s="609"/>
      <c r="E76" s="609"/>
      <c r="F76" s="735"/>
      <c r="G76" s="735"/>
      <c r="H76" s="735"/>
      <c r="I76" s="735"/>
      <c r="J76" s="735"/>
      <c r="K76" s="909">
        <v>14781</v>
      </c>
      <c r="L76" s="736">
        <v>14932</v>
      </c>
      <c r="M76" s="736">
        <v>15127.6</v>
      </c>
      <c r="N76" s="736">
        <v>15325.5</v>
      </c>
      <c r="O76" s="736">
        <v>15538.6</v>
      </c>
      <c r="P76" s="736">
        <v>15722.4</v>
      </c>
      <c r="Q76" s="736">
        <v>15906.1</v>
      </c>
      <c r="R76" s="736">
        <v>16090.8</v>
      </c>
      <c r="S76" s="736">
        <v>16261</v>
      </c>
      <c r="T76" s="736">
        <v>16443</v>
      </c>
      <c r="U76" s="736">
        <v>16637.5</v>
      </c>
      <c r="V76" s="736">
        <v>16843.7</v>
      </c>
      <c r="W76" s="737">
        <v>17031.400000000001</v>
      </c>
    </row>
    <row r="77" spans="2:23">
      <c r="B77" s="746" t="s">
        <v>617</v>
      </c>
      <c r="C77" s="912"/>
      <c r="D77" s="610"/>
      <c r="E77" s="610"/>
      <c r="F77" s="738"/>
      <c r="G77" s="738"/>
      <c r="H77" s="738"/>
      <c r="I77" s="738"/>
      <c r="J77" s="565"/>
      <c r="K77" s="566">
        <v>2516</v>
      </c>
      <c r="L77" s="563">
        <v>2238.8000000000002</v>
      </c>
      <c r="M77" s="563">
        <v>2214.3000000000002</v>
      </c>
      <c r="N77" s="563">
        <v>2239.8000000000002</v>
      </c>
      <c r="O77" s="563">
        <v>2270.6999999999998</v>
      </c>
      <c r="P77" s="563">
        <v>2318.1999999999998</v>
      </c>
      <c r="Q77" s="563">
        <v>2361.8000000000002</v>
      </c>
      <c r="R77" s="563">
        <v>2407.5</v>
      </c>
      <c r="S77" s="563">
        <v>2441.1</v>
      </c>
      <c r="T77" s="563">
        <v>2477.3000000000002</v>
      </c>
      <c r="U77" s="563">
        <v>2520.5</v>
      </c>
      <c r="V77" s="563">
        <v>2568</v>
      </c>
      <c r="W77" s="564">
        <v>2611.4</v>
      </c>
    </row>
    <row r="79" spans="2:23">
      <c r="B79" s="428" t="s">
        <v>779</v>
      </c>
    </row>
    <row r="80" spans="2:23">
      <c r="B80" s="428" t="s">
        <v>715</v>
      </c>
    </row>
    <row r="81" spans="2:53">
      <c r="B81" s="428" t="s">
        <v>716</v>
      </c>
    </row>
    <row r="82" spans="2:53">
      <c r="B82" s="594" t="s">
        <v>717</v>
      </c>
      <c r="C82" s="897"/>
      <c r="D82" s="1256">
        <v>2019</v>
      </c>
      <c r="E82" s="1305"/>
      <c r="F82" s="1258"/>
      <c r="G82" s="1256">
        <v>2020</v>
      </c>
      <c r="H82" s="1305"/>
      <c r="I82" s="1305"/>
      <c r="J82" s="1258"/>
      <c r="K82" s="576">
        <v>2021</v>
      </c>
      <c r="L82" s="1269">
        <v>2021</v>
      </c>
      <c r="M82" s="1270"/>
      <c r="N82" s="1271"/>
      <c r="O82" s="1269">
        <v>2022</v>
      </c>
      <c r="P82" s="1270"/>
      <c r="Q82" s="1270"/>
      <c r="R82" s="1271"/>
      <c r="S82" s="1269">
        <v>2023</v>
      </c>
      <c r="T82" s="1297"/>
      <c r="U82" s="1297"/>
      <c r="V82" s="1271"/>
      <c r="W82" s="568">
        <v>2024</v>
      </c>
      <c r="X82" s="68"/>
      <c r="Y82" s="68"/>
      <c r="Z82" s="68"/>
      <c r="AA82" s="68"/>
      <c r="AB82" s="68"/>
      <c r="AC82" s="68"/>
      <c r="AD82" s="68"/>
    </row>
    <row r="83" spans="2:53" ht="15">
      <c r="B83" s="599" t="s">
        <v>147</v>
      </c>
      <c r="C83" s="750"/>
      <c r="D83" s="268" t="s">
        <v>138</v>
      </c>
      <c r="E83" s="269" t="s">
        <v>139</v>
      </c>
      <c r="F83" s="43" t="s">
        <v>140</v>
      </c>
      <c r="G83" s="42" t="s">
        <v>137</v>
      </c>
      <c r="H83" s="42" t="s">
        <v>138</v>
      </c>
      <c r="I83" s="42" t="s">
        <v>139</v>
      </c>
      <c r="J83" s="43" t="s">
        <v>140</v>
      </c>
      <c r="K83" s="41" t="s">
        <v>137</v>
      </c>
      <c r="L83" s="78" t="s">
        <v>138</v>
      </c>
      <c r="M83" s="79" t="s">
        <v>139</v>
      </c>
      <c r="N83" s="80" t="s">
        <v>140</v>
      </c>
      <c r="O83" s="78" t="s">
        <v>137</v>
      </c>
      <c r="P83" s="79" t="s">
        <v>138</v>
      </c>
      <c r="Q83" s="79" t="s">
        <v>139</v>
      </c>
      <c r="R83" s="80" t="s">
        <v>140</v>
      </c>
      <c r="S83" s="78" t="s">
        <v>137</v>
      </c>
      <c r="T83" s="79" t="s">
        <v>138</v>
      </c>
      <c r="U83" s="79" t="s">
        <v>139</v>
      </c>
      <c r="V83" s="80" t="s">
        <v>140</v>
      </c>
      <c r="W83" s="81" t="s">
        <v>137</v>
      </c>
      <c r="X83" s="284"/>
      <c r="Y83" s="284"/>
      <c r="Z83" s="284"/>
      <c r="AA83" s="284"/>
      <c r="AB83" s="284"/>
      <c r="AC83" s="284"/>
      <c r="AD83" s="284"/>
      <c r="AE83" s="284"/>
      <c r="AF83" s="284"/>
      <c r="AG83" s="284"/>
      <c r="AH83" s="284"/>
      <c r="AI83" s="284"/>
      <c r="AJ83" s="284"/>
      <c r="AK83" s="284"/>
      <c r="AL83" s="284"/>
      <c r="AM83" s="284"/>
      <c r="AN83" s="284"/>
      <c r="AO83" s="284"/>
      <c r="AP83" s="284"/>
      <c r="AQ83" s="284"/>
      <c r="AR83" s="284"/>
      <c r="AS83" s="284"/>
      <c r="AT83" s="284"/>
      <c r="AU83" s="284"/>
      <c r="AV83" s="284"/>
      <c r="AW83" s="284"/>
      <c r="AX83" s="284"/>
      <c r="AY83" s="284"/>
      <c r="AZ83" s="284"/>
      <c r="BA83" s="284"/>
    </row>
    <row r="84" spans="2:53" ht="14" customHeight="1">
      <c r="B84" s="271" t="s">
        <v>618</v>
      </c>
      <c r="C84" s="135" t="s">
        <v>239</v>
      </c>
      <c r="D84" s="900"/>
      <c r="E84" s="901"/>
      <c r="F84" s="902"/>
      <c r="G84" s="902"/>
      <c r="H84" s="902"/>
      <c r="I84" s="902"/>
      <c r="J84" s="902"/>
      <c r="K84" s="902">
        <f>$F64*K74</f>
        <v>1823.3277942522291</v>
      </c>
      <c r="L84" s="932">
        <f t="shared" ref="L84" si="20">$F64*L74</f>
        <v>1855.7103984649268</v>
      </c>
      <c r="M84" s="926">
        <f t="shared" ref="M84:N85" si="21">$F64*M74</f>
        <v>1913.1146016200498</v>
      </c>
      <c r="N84" s="926">
        <f t="shared" si="21"/>
        <v>1929.2525631084982</v>
      </c>
      <c r="O84" s="926">
        <f>$G64*O74</f>
        <v>1988.4627743463882</v>
      </c>
      <c r="P84" s="926">
        <f>$G64*P74</f>
        <v>2004.8821187523783</v>
      </c>
      <c r="Q84" s="926">
        <f t="shared" ref="Q84:R84" si="22">$G64*Q74</f>
        <v>2023.8549235904029</v>
      </c>
      <c r="R84" s="926">
        <f t="shared" si="22"/>
        <v>2041.8973978834226</v>
      </c>
      <c r="S84" s="926">
        <f>$H64*S74</f>
        <v>2110.3405421663651</v>
      </c>
      <c r="T84" s="926">
        <f t="shared" ref="T84:V84" si="23">$H64*T74</f>
        <v>2130.5696177529321</v>
      </c>
      <c r="U84" s="926">
        <f t="shared" si="23"/>
        <v>2151.9743309988385</v>
      </c>
      <c r="V84" s="926">
        <f t="shared" si="23"/>
        <v>2173.88578461515</v>
      </c>
      <c r="W84" s="927">
        <f>$I64*W74</f>
        <v>2167.0365891543011</v>
      </c>
      <c r="X84" s="1380"/>
      <c r="Y84" s="1380"/>
      <c r="Z84" s="1380"/>
      <c r="AA84" s="1380"/>
      <c r="AB84" s="613"/>
      <c r="AC84" s="613"/>
      <c r="AD84" s="295"/>
      <c r="AE84" s="295"/>
      <c r="AF84" s="295"/>
      <c r="AG84" s="295"/>
      <c r="AH84" s="295"/>
      <c r="AI84" s="295"/>
      <c r="AJ84" s="295"/>
      <c r="AK84" s="295"/>
      <c r="AL84" s="295"/>
      <c r="AM84" s="295"/>
      <c r="AN84" s="295"/>
      <c r="AO84" s="295"/>
      <c r="AP84" s="295"/>
      <c r="AQ84" s="295"/>
      <c r="AR84" s="295"/>
      <c r="AS84" s="295"/>
      <c r="AT84" s="295"/>
      <c r="AU84" s="295"/>
      <c r="AV84" s="295"/>
      <c r="AW84" s="295"/>
      <c r="AX84" s="295"/>
      <c r="AY84" s="295"/>
      <c r="AZ84" s="295"/>
      <c r="BA84" s="295"/>
    </row>
    <row r="85" spans="2:53" ht="14" customHeight="1">
      <c r="B85" s="271" t="s">
        <v>616</v>
      </c>
      <c r="C85" s="136" t="s">
        <v>242</v>
      </c>
      <c r="D85" s="604"/>
      <c r="E85" s="903"/>
      <c r="F85" s="904"/>
      <c r="G85" s="904"/>
      <c r="H85" s="904"/>
      <c r="I85" s="904"/>
      <c r="J85" s="904"/>
      <c r="K85" s="904">
        <f t="shared" ref="K85:N86" si="24">$F65*K75</f>
        <v>1449.5149096104662</v>
      </c>
      <c r="L85" s="933">
        <f>$F65*L75</f>
        <v>1460.6372761918822</v>
      </c>
      <c r="M85" s="928">
        <f t="shared" si="21"/>
        <v>1480.13147815958</v>
      </c>
      <c r="N85" s="928">
        <f t="shared" si="21"/>
        <v>1497.6116299625348</v>
      </c>
      <c r="O85" s="928">
        <f>$G65*O75</f>
        <v>1516.613407121986</v>
      </c>
      <c r="P85" s="928">
        <f>$G65*P75</f>
        <v>1531.5769691524517</v>
      </c>
      <c r="Q85" s="928">
        <f t="shared" ref="Q85:R85" si="25">$G65*Q75</f>
        <v>1548.1647168103448</v>
      </c>
      <c r="R85" s="928">
        <f t="shared" si="25"/>
        <v>1564.6321544217619</v>
      </c>
      <c r="S85" s="928">
        <f t="shared" ref="S85:V85" si="26">$H65*S75</f>
        <v>1584.9216336976986</v>
      </c>
      <c r="T85" s="928">
        <f t="shared" si="26"/>
        <v>1601.8374036666137</v>
      </c>
      <c r="U85" s="928">
        <f t="shared" si="26"/>
        <v>1619.5227581747038</v>
      </c>
      <c r="V85" s="928">
        <f t="shared" si="26"/>
        <v>1638.2040456158429</v>
      </c>
      <c r="W85" s="929">
        <f>$I65*W75</f>
        <v>1645.2076107953151</v>
      </c>
      <c r="X85" s="1380"/>
      <c r="Y85" s="1380"/>
      <c r="Z85" s="1380"/>
      <c r="AA85" s="1380"/>
      <c r="AB85" s="613"/>
      <c r="AC85" s="613"/>
      <c r="AD85" s="295"/>
      <c r="AE85" s="295"/>
      <c r="AF85" s="295"/>
      <c r="AG85" s="295"/>
      <c r="AH85" s="295"/>
      <c r="AI85" s="295"/>
      <c r="AJ85" s="295"/>
      <c r="AK85" s="295"/>
      <c r="AL85" s="295"/>
      <c r="AM85" s="295"/>
      <c r="AN85" s="295"/>
      <c r="AO85" s="295"/>
      <c r="AP85" s="295"/>
      <c r="AQ85" s="295"/>
      <c r="AR85" s="295"/>
      <c r="AS85" s="295"/>
      <c r="AT85" s="295"/>
      <c r="AU85" s="295"/>
      <c r="AV85" s="295"/>
      <c r="AW85" s="295"/>
      <c r="AX85" s="295"/>
      <c r="AY85" s="295"/>
      <c r="AZ85" s="295"/>
      <c r="BA85" s="295"/>
    </row>
    <row r="86" spans="2:53" ht="14" customHeight="1">
      <c r="B86" s="271" t="s">
        <v>614</v>
      </c>
      <c r="C86" s="135" t="s">
        <v>240</v>
      </c>
      <c r="D86" s="604"/>
      <c r="E86" s="903"/>
      <c r="F86" s="904"/>
      <c r="G86" s="904"/>
      <c r="H86" s="904"/>
      <c r="I86" s="904"/>
      <c r="J86" s="904"/>
      <c r="K86" s="904">
        <f t="shared" si="24"/>
        <v>164.3774132946042</v>
      </c>
      <c r="L86" s="933">
        <f t="shared" si="24"/>
        <v>166.05666296698666</v>
      </c>
      <c r="M86" s="928">
        <f t="shared" si="24"/>
        <v>168.23190293995364</v>
      </c>
      <c r="N86" s="928">
        <f t="shared" si="24"/>
        <v>170.43272088806285</v>
      </c>
      <c r="O86" s="928">
        <f t="shared" ref="O86:R86" si="27">$G66*O76</f>
        <v>178.52947481374028</v>
      </c>
      <c r="P86" s="928">
        <f t="shared" si="27"/>
        <v>180.64122989275418</v>
      </c>
      <c r="Q86" s="928">
        <f t="shared" si="27"/>
        <v>182.75183602994056</v>
      </c>
      <c r="R86" s="928">
        <f t="shared" si="27"/>
        <v>184.87393158540229</v>
      </c>
      <c r="S86" s="928">
        <f t="shared" ref="S86:V86" si="28">$H66*S76</f>
        <v>179.4544627771339</v>
      </c>
      <c r="T86" s="928">
        <f t="shared" si="28"/>
        <v>181.4629931396847</v>
      </c>
      <c r="U86" s="928">
        <f t="shared" si="28"/>
        <v>183.60947201614695</v>
      </c>
      <c r="V86" s="928">
        <f t="shared" si="28"/>
        <v>185.88507070163033</v>
      </c>
      <c r="W86" s="929">
        <f t="shared" ref="W86:W87" si="29">$I66*W76</f>
        <v>185.51700930270246</v>
      </c>
      <c r="X86" s="1380"/>
      <c r="Y86" s="1380"/>
      <c r="Z86" s="1380"/>
      <c r="AA86" s="1380"/>
      <c r="AB86" s="612"/>
      <c r="AC86" s="612"/>
      <c r="AD86" s="68"/>
    </row>
    <row r="87" spans="2:53" ht="15">
      <c r="B87" s="166" t="s">
        <v>691</v>
      </c>
      <c r="C87" s="751" t="s">
        <v>241</v>
      </c>
      <c r="D87" s="905"/>
      <c r="E87" s="607"/>
      <c r="F87" s="906"/>
      <c r="G87" s="906"/>
      <c r="H87" s="906"/>
      <c r="I87" s="906"/>
      <c r="J87" s="906"/>
      <c r="K87" s="906">
        <f>$F67*K77</f>
        <v>249.29448075153527</v>
      </c>
      <c r="L87" s="934">
        <f t="shared" ref="L87:N87" si="30">$F67*L77</f>
        <v>221.82849105983198</v>
      </c>
      <c r="M87" s="930">
        <f t="shared" si="30"/>
        <v>219.4009414658683</v>
      </c>
      <c r="N87" s="930">
        <f t="shared" si="30"/>
        <v>221.92757471672846</v>
      </c>
      <c r="O87" s="930">
        <f t="shared" ref="O87:R87" si="31">$G67*O77</f>
        <v>245.53385095086369</v>
      </c>
      <c r="P87" s="930">
        <f t="shared" si="31"/>
        <v>250.67008996093372</v>
      </c>
      <c r="Q87" s="930">
        <f t="shared" si="31"/>
        <v>255.38461671544016</v>
      </c>
      <c r="R87" s="930">
        <f t="shared" si="31"/>
        <v>260.32621929986539</v>
      </c>
      <c r="S87" s="930">
        <f t="shared" ref="S87:V87" si="32">$H67*S77</f>
        <v>283.46943978513957</v>
      </c>
      <c r="T87" s="930">
        <f t="shared" si="32"/>
        <v>287.67311588207218</v>
      </c>
      <c r="U87" s="930">
        <f t="shared" si="32"/>
        <v>292.68965752261045</v>
      </c>
      <c r="V87" s="930">
        <f t="shared" si="32"/>
        <v>298.20553085422085</v>
      </c>
      <c r="W87" s="931">
        <f t="shared" si="29"/>
        <v>305.09900639969447</v>
      </c>
      <c r="X87" s="68"/>
      <c r="Y87" s="68"/>
      <c r="Z87" s="68"/>
      <c r="AA87" s="68"/>
      <c r="AB87" s="68"/>
      <c r="AC87" s="68"/>
      <c r="AD87" s="68"/>
    </row>
    <row r="88" spans="2:53">
      <c r="B88" s="935"/>
      <c r="C88" s="899"/>
      <c r="D88" s="898"/>
      <c r="E88" s="600"/>
      <c r="F88" s="716"/>
      <c r="G88" s="716"/>
      <c r="H88" s="716"/>
      <c r="I88" s="716"/>
      <c r="J88" s="716"/>
      <c r="K88" s="716"/>
      <c r="L88" s="716"/>
      <c r="M88" s="716"/>
      <c r="N88" s="716"/>
      <c r="O88" s="716"/>
      <c r="P88" s="716"/>
      <c r="Q88" s="716"/>
      <c r="R88" s="748"/>
      <c r="S88" s="716"/>
      <c r="T88" s="716"/>
      <c r="U88" s="716"/>
      <c r="V88" s="716"/>
      <c r="W88" s="716"/>
      <c r="X88" s="68"/>
      <c r="Y88" s="68"/>
      <c r="Z88" s="68"/>
      <c r="AA88" s="68"/>
      <c r="AB88" s="68"/>
      <c r="AC88" s="68"/>
      <c r="AD88" s="68"/>
    </row>
  </sheetData>
  <mergeCells count="27">
    <mergeCell ref="S6:V6"/>
    <mergeCell ref="D5:K5"/>
    <mergeCell ref="D6:F6"/>
    <mergeCell ref="G6:J6"/>
    <mergeCell ref="L6:N6"/>
    <mergeCell ref="O6:R6"/>
    <mergeCell ref="X86:AA86"/>
    <mergeCell ref="B1:W1"/>
    <mergeCell ref="B2:W3"/>
    <mergeCell ref="L5:W5"/>
    <mergeCell ref="D82:F82"/>
    <mergeCell ref="G82:J82"/>
    <mergeCell ref="L82:N82"/>
    <mergeCell ref="O82:R82"/>
    <mergeCell ref="X22:AA22"/>
    <mergeCell ref="D24:E24"/>
    <mergeCell ref="M36:P36"/>
    <mergeCell ref="G70:J70"/>
    <mergeCell ref="L70:N70"/>
    <mergeCell ref="O70:R70"/>
    <mergeCell ref="S70:V70"/>
    <mergeCell ref="B5:C7"/>
    <mergeCell ref="S82:V82"/>
    <mergeCell ref="D70:F70"/>
    <mergeCell ref="M37:P37"/>
    <mergeCell ref="X84:AA84"/>
    <mergeCell ref="X85:AA85"/>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P21"/>
  <sheetViews>
    <sheetView topLeftCell="B1" zoomScale="211" zoomScaleNormal="211" workbookViewId="0">
      <selection activeCell="K15" sqref="K15"/>
    </sheetView>
  </sheetViews>
  <sheetFormatPr baseColWidth="10" defaultColWidth="8.83203125" defaultRowHeight="15"/>
  <cols>
    <col min="2" max="2" width="38.83203125" customWidth="1"/>
    <col min="3" max="3" width="10.6640625" style="976" customWidth="1"/>
    <col min="4" max="14" width="7.1640625" customWidth="1"/>
  </cols>
  <sheetData>
    <row r="1" spans="1:16" s="976" customFormat="1">
      <c r="B1" s="1387" t="s">
        <v>310</v>
      </c>
      <c r="C1" s="1387"/>
      <c r="D1" s="1387"/>
      <c r="E1" s="1387"/>
      <c r="F1" s="1387"/>
      <c r="G1" s="1387"/>
      <c r="H1" s="1387"/>
      <c r="I1" s="1387"/>
      <c r="J1" s="1387"/>
      <c r="K1" s="1387"/>
      <c r="L1" s="1387"/>
      <c r="M1" s="1387"/>
      <c r="N1" s="1387"/>
    </row>
    <row r="2" spans="1:16">
      <c r="B2" s="1386" t="s">
        <v>771</v>
      </c>
      <c r="C2" s="1386"/>
      <c r="D2" s="1386"/>
      <c r="E2" s="1386"/>
      <c r="F2" s="1386"/>
      <c r="G2" s="1386"/>
      <c r="H2" s="1386"/>
      <c r="I2" s="1386"/>
      <c r="J2" s="1386"/>
      <c r="K2" s="1386"/>
      <c r="L2" s="1386"/>
      <c r="M2" s="1386"/>
      <c r="N2" s="1386"/>
    </row>
    <row r="3" spans="1:16">
      <c r="B3" s="1386"/>
      <c r="C3" s="1386"/>
      <c r="D3" s="1386"/>
      <c r="E3" s="1386"/>
      <c r="F3" s="1386"/>
      <c r="G3" s="1386"/>
      <c r="H3" s="1386"/>
      <c r="I3" s="1386"/>
      <c r="J3" s="1386"/>
      <c r="K3" s="1386"/>
      <c r="L3" s="1386"/>
      <c r="M3" s="1386"/>
      <c r="N3" s="1386"/>
    </row>
    <row r="4" spans="1:16">
      <c r="B4" s="1386"/>
      <c r="C4" s="1386"/>
      <c r="D4" s="1386"/>
      <c r="E4" s="1386"/>
      <c r="F4" s="1386"/>
      <c r="G4" s="1386"/>
      <c r="H4" s="1386"/>
      <c r="I4" s="1386"/>
      <c r="J4" s="1386"/>
      <c r="K4" s="1386"/>
      <c r="L4" s="1386"/>
      <c r="M4" s="1386"/>
      <c r="N4" s="1386"/>
    </row>
    <row r="5" spans="1:16">
      <c r="B5" s="1386"/>
      <c r="C5" s="1386"/>
      <c r="D5" s="1386"/>
      <c r="E5" s="1386"/>
      <c r="F5" s="1386"/>
      <c r="G5" s="1386"/>
      <c r="H5" s="1386"/>
      <c r="I5" s="1386"/>
      <c r="J5" s="1386"/>
      <c r="K5" s="1386"/>
      <c r="L5" s="1386"/>
      <c r="M5" s="1386"/>
      <c r="N5" s="1386"/>
    </row>
    <row r="6" spans="1:16">
      <c r="B6" s="1386"/>
      <c r="C6" s="1386"/>
      <c r="D6" s="1386"/>
      <c r="E6" s="1386"/>
      <c r="F6" s="1386"/>
      <c r="G6" s="1386"/>
      <c r="H6" s="1386"/>
      <c r="I6" s="1386"/>
      <c r="J6" s="1386"/>
      <c r="K6" s="1386"/>
      <c r="L6" s="1386"/>
      <c r="M6" s="1386"/>
      <c r="N6" s="1386"/>
    </row>
    <row r="7" spans="1:16">
      <c r="D7" s="421"/>
      <c r="E7" s="421"/>
      <c r="G7" s="421"/>
    </row>
    <row r="9" spans="1:16" s="427" customFormat="1" ht="14.5" customHeight="1">
      <c r="A9" s="1019"/>
      <c r="B9" s="1388" t="s">
        <v>451</v>
      </c>
      <c r="C9" s="1389"/>
      <c r="D9" s="1357">
        <v>2020</v>
      </c>
      <c r="E9" s="1392"/>
      <c r="F9" s="1393"/>
      <c r="G9" s="1028">
        <v>2021</v>
      </c>
      <c r="H9" s="1394">
        <v>2021</v>
      </c>
      <c r="I9" s="1395"/>
      <c r="J9" s="1396"/>
      <c r="K9" s="1394">
        <v>2022</v>
      </c>
      <c r="L9" s="1395"/>
      <c r="M9" s="1395"/>
      <c r="N9" s="1396"/>
    </row>
    <row r="10" spans="1:16" s="427" customFormat="1">
      <c r="A10" s="988"/>
      <c r="B10" s="1390"/>
      <c r="C10" s="1391"/>
      <c r="D10" s="708" t="s">
        <v>138</v>
      </c>
      <c r="E10" s="709" t="s">
        <v>139</v>
      </c>
      <c r="F10" s="710" t="s">
        <v>140</v>
      </c>
      <c r="G10" s="708" t="s">
        <v>137</v>
      </c>
      <c r="H10" s="941" t="s">
        <v>138</v>
      </c>
      <c r="I10" s="942" t="s">
        <v>139</v>
      </c>
      <c r="J10" s="971" t="s">
        <v>140</v>
      </c>
      <c r="K10" s="941" t="s">
        <v>137</v>
      </c>
      <c r="L10" s="942" t="s">
        <v>138</v>
      </c>
      <c r="M10" s="942" t="s">
        <v>139</v>
      </c>
      <c r="N10" s="971" t="s">
        <v>140</v>
      </c>
    </row>
    <row r="11" spans="1:16" s="427" customFormat="1" ht="32">
      <c r="A11" s="946"/>
      <c r="B11" s="939" t="s">
        <v>764</v>
      </c>
      <c r="C11" s="1030" t="s">
        <v>260</v>
      </c>
      <c r="D11" s="1031">
        <f>'Haver Pivoted'!GU48</f>
        <v>160.9</v>
      </c>
      <c r="E11" s="1031">
        <f>'Haver Pivoted'!GV48</f>
        <v>58.4</v>
      </c>
      <c r="F11" s="1031">
        <f>'Haver Pivoted'!GW48</f>
        <v>34.5</v>
      </c>
      <c r="G11" s="1031">
        <f>'Haver Pivoted'!GX48</f>
        <v>43</v>
      </c>
      <c r="H11" s="969">
        <f t="shared" ref="H11:J13" si="0">H$14*H15</f>
        <v>28.466200466200466</v>
      </c>
      <c r="I11" s="1032">
        <f t="shared" si="0"/>
        <v>17.390442890442891</v>
      </c>
      <c r="J11" s="1032">
        <f t="shared" si="0"/>
        <v>13.731934731934732</v>
      </c>
      <c r="K11" s="1032">
        <f t="shared" ref="K11:M11" si="1">K$14*K15</f>
        <v>11.576923076923078</v>
      </c>
      <c r="L11" s="1032">
        <f t="shared" si="1"/>
        <v>2.5559440559440558</v>
      </c>
      <c r="M11" s="1032">
        <f t="shared" si="1"/>
        <v>2.5559440559440558</v>
      </c>
      <c r="N11" s="1033"/>
    </row>
    <row r="12" spans="1:16" s="427" customFormat="1" ht="32">
      <c r="A12" s="945"/>
      <c r="B12" s="940" t="s">
        <v>766</v>
      </c>
      <c r="C12" s="938" t="s">
        <v>3</v>
      </c>
      <c r="D12" s="972">
        <f>'Haver Pivoted'!GU58</f>
        <v>64.400000000000006</v>
      </c>
      <c r="E12" s="972">
        <f>'Haver Pivoted'!GV58</f>
        <v>23.4</v>
      </c>
      <c r="F12" s="972">
        <f>'Haver Pivoted'!GW58</f>
        <v>13.8</v>
      </c>
      <c r="G12" s="972">
        <f>'Haver Pivoted'!GX58</f>
        <v>17.100000000000001</v>
      </c>
      <c r="H12" s="968">
        <f t="shared" si="0"/>
        <v>11.320279720279721</v>
      </c>
      <c r="I12" s="943">
        <f t="shared" si="0"/>
        <v>6.9157342657342671</v>
      </c>
      <c r="J12" s="943">
        <f t="shared" si="0"/>
        <v>5.4608391608391615</v>
      </c>
      <c r="K12" s="943">
        <f t="shared" ref="K12:M12" si="2">K$14*K16</f>
        <v>4.6038461538461544</v>
      </c>
      <c r="L12" s="943">
        <f t="shared" si="2"/>
        <v>1.0164335664335664</v>
      </c>
      <c r="M12" s="943">
        <f t="shared" si="2"/>
        <v>1.0164335664335664</v>
      </c>
      <c r="N12" s="971"/>
    </row>
    <row r="13" spans="1:16" s="427" customFormat="1" ht="32">
      <c r="A13" s="945"/>
      <c r="B13" s="940" t="s">
        <v>765</v>
      </c>
      <c r="C13" s="938" t="s">
        <v>266</v>
      </c>
      <c r="D13" s="972">
        <f>'Haver Pivoted'!GU54</f>
        <v>96.6</v>
      </c>
      <c r="E13" s="972">
        <v>35.1</v>
      </c>
      <c r="F13" s="972">
        <v>20.7</v>
      </c>
      <c r="G13" s="972">
        <v>25.7</v>
      </c>
      <c r="H13" s="968">
        <f t="shared" si="0"/>
        <v>17.013519813519814</v>
      </c>
      <c r="I13" s="943">
        <f t="shared" si="0"/>
        <v>10.393822843822845</v>
      </c>
      <c r="J13" s="943">
        <f t="shared" si="0"/>
        <v>8.2072261072261075</v>
      </c>
      <c r="K13" s="943">
        <f t="shared" ref="K13:M13" si="3">K$14*K17</f>
        <v>6.9192307692307704</v>
      </c>
      <c r="L13" s="943">
        <f t="shared" si="3"/>
        <v>1.5276223776223776</v>
      </c>
      <c r="M13" s="943">
        <f t="shared" si="3"/>
        <v>1.5276223776223776</v>
      </c>
      <c r="N13" s="971"/>
    </row>
    <row r="14" spans="1:16">
      <c r="A14" s="988"/>
      <c r="B14" s="964" t="s">
        <v>5</v>
      </c>
      <c r="C14" s="966"/>
      <c r="D14" s="994">
        <f>D13+D12+D11</f>
        <v>321.89999999999998</v>
      </c>
      <c r="E14" s="994">
        <f>E13+E12+E11</f>
        <v>116.9</v>
      </c>
      <c r="F14" s="994">
        <f>F13+F12+F11</f>
        <v>69</v>
      </c>
      <c r="G14" s="994">
        <f>G13+G12+G11</f>
        <v>85.8</v>
      </c>
      <c r="H14" s="968">
        <f>'Monthly Personal Income'!G45*2</f>
        <v>56.8</v>
      </c>
      <c r="I14" s="970">
        <v>34.700000000000003</v>
      </c>
      <c r="J14" s="942">
        <v>27.4</v>
      </c>
      <c r="K14" s="942">
        <v>23.1</v>
      </c>
      <c r="L14" s="942">
        <v>5.0999999999999996</v>
      </c>
      <c r="M14" s="942">
        <v>5.0999999999999996</v>
      </c>
      <c r="N14" s="971"/>
      <c r="O14" s="963">
        <v>186.5</v>
      </c>
      <c r="P14" s="943">
        <f>SUM(D14:M14)/4</f>
        <v>186.45</v>
      </c>
    </row>
    <row r="15" spans="1:16">
      <c r="A15" s="988"/>
      <c r="B15" s="944" t="s">
        <v>761</v>
      </c>
      <c r="C15" s="965"/>
      <c r="D15" s="1027">
        <f t="shared" ref="D15:G17" si="4">D11/D$14</f>
        <v>0.49984467225846541</v>
      </c>
      <c r="E15" s="1027">
        <f t="shared" si="4"/>
        <v>0.49957228400342168</v>
      </c>
      <c r="F15" s="1027">
        <f t="shared" si="4"/>
        <v>0.5</v>
      </c>
      <c r="G15" s="1027">
        <f t="shared" si="4"/>
        <v>0.50116550116550118</v>
      </c>
      <c r="H15" s="1021">
        <f>G15</f>
        <v>0.50116550116550118</v>
      </c>
      <c r="I15" s="1022">
        <f t="shared" ref="I15:J17" si="5">H15</f>
        <v>0.50116550116550118</v>
      </c>
      <c r="J15" s="1022">
        <f t="shared" si="5"/>
        <v>0.50116550116550118</v>
      </c>
      <c r="K15" s="1022">
        <f t="shared" ref="K15:K17" si="6">J15</f>
        <v>0.50116550116550118</v>
      </c>
      <c r="L15" s="1022">
        <f t="shared" ref="L15:L17" si="7">K15</f>
        <v>0.50116550116550118</v>
      </c>
      <c r="M15" s="1022">
        <f t="shared" ref="M15:M17" si="8">L15</f>
        <v>0.50116550116550118</v>
      </c>
      <c r="N15" s="971"/>
    </row>
    <row r="16" spans="1:16">
      <c r="A16" s="988"/>
      <c r="B16" s="944" t="s">
        <v>762</v>
      </c>
      <c r="C16" s="965"/>
      <c r="D16" s="1027">
        <f t="shared" si="4"/>
        <v>0.20006213109661389</v>
      </c>
      <c r="E16" s="1027">
        <f t="shared" si="4"/>
        <v>0.20017108639863129</v>
      </c>
      <c r="F16" s="1027">
        <f t="shared" si="4"/>
        <v>0.2</v>
      </c>
      <c r="G16" s="1027">
        <f t="shared" si="4"/>
        <v>0.19930069930069932</v>
      </c>
      <c r="H16" s="1021">
        <f>G16</f>
        <v>0.19930069930069932</v>
      </c>
      <c r="I16" s="1022">
        <f t="shared" si="5"/>
        <v>0.19930069930069932</v>
      </c>
      <c r="J16" s="1022">
        <f t="shared" si="5"/>
        <v>0.19930069930069932</v>
      </c>
      <c r="K16" s="1022">
        <f t="shared" si="6"/>
        <v>0.19930069930069932</v>
      </c>
      <c r="L16" s="1022">
        <f t="shared" si="7"/>
        <v>0.19930069930069932</v>
      </c>
      <c r="M16" s="1022">
        <f t="shared" si="8"/>
        <v>0.19930069930069932</v>
      </c>
      <c r="N16" s="971"/>
    </row>
    <row r="17" spans="1:14">
      <c r="A17" s="988"/>
      <c r="B17" s="1034" t="s">
        <v>763</v>
      </c>
      <c r="C17" s="1035"/>
      <c r="D17" s="629">
        <f t="shared" si="4"/>
        <v>0.30009319664492079</v>
      </c>
      <c r="E17" s="629">
        <f t="shared" si="4"/>
        <v>0.30025662959794697</v>
      </c>
      <c r="F17" s="629">
        <f t="shared" si="4"/>
        <v>0.3</v>
      </c>
      <c r="G17" s="629">
        <f t="shared" si="4"/>
        <v>0.29953379953379955</v>
      </c>
      <c r="H17" s="1036">
        <f>G17</f>
        <v>0.29953379953379955</v>
      </c>
      <c r="I17" s="1037">
        <f t="shared" si="5"/>
        <v>0.29953379953379955</v>
      </c>
      <c r="J17" s="1037">
        <f t="shared" si="5"/>
        <v>0.29953379953379955</v>
      </c>
      <c r="K17" s="1037">
        <f t="shared" si="6"/>
        <v>0.29953379953379955</v>
      </c>
      <c r="L17" s="1037">
        <f t="shared" si="7"/>
        <v>0.29953379953379955</v>
      </c>
      <c r="M17" s="1037">
        <f t="shared" si="8"/>
        <v>0.29953379953379955</v>
      </c>
      <c r="N17" s="1038"/>
    </row>
    <row r="18" spans="1:14">
      <c r="A18" s="988"/>
      <c r="B18" s="988"/>
      <c r="C18" s="988"/>
      <c r="D18" s="988"/>
      <c r="E18" s="988"/>
      <c r="F18" s="988"/>
      <c r="G18" s="988"/>
      <c r="H18" s="988"/>
      <c r="I18" s="988"/>
      <c r="J18" s="988"/>
      <c r="K18" s="988"/>
      <c r="L18" s="988"/>
      <c r="M18" s="988"/>
      <c r="N18" s="988"/>
    </row>
    <row r="19" spans="1:14">
      <c r="A19" s="988"/>
      <c r="B19" s="988"/>
      <c r="C19" s="988"/>
      <c r="D19" s="988"/>
      <c r="E19" s="988"/>
      <c r="F19" s="988"/>
      <c r="G19" s="988"/>
      <c r="H19" s="988"/>
      <c r="I19" s="988"/>
      <c r="J19" s="988"/>
      <c r="K19" s="988"/>
      <c r="L19" s="988"/>
      <c r="M19" s="988"/>
      <c r="N19" s="988"/>
    </row>
    <row r="20" spans="1:14">
      <c r="A20" s="988"/>
      <c r="B20" s="988"/>
      <c r="C20" s="988"/>
      <c r="D20" s="988"/>
      <c r="E20" s="988"/>
      <c r="F20" s="988"/>
      <c r="G20" s="988"/>
      <c r="H20" s="988"/>
      <c r="I20" s="988"/>
      <c r="J20" s="988"/>
      <c r="K20" s="988"/>
      <c r="L20" s="988"/>
      <c r="M20" s="988"/>
      <c r="N20" s="988"/>
    </row>
    <row r="21" spans="1:14">
      <c r="A21" s="988"/>
      <c r="B21" s="988"/>
      <c r="C21" s="988"/>
      <c r="D21" s="988"/>
      <c r="E21" s="988"/>
      <c r="F21" s="988"/>
      <c r="G21" s="988"/>
      <c r="H21" s="988"/>
      <c r="I21" s="988"/>
      <c r="J21" s="988"/>
      <c r="K21" s="988"/>
      <c r="L21" s="988"/>
      <c r="M21" s="988"/>
      <c r="N21" s="988"/>
    </row>
  </sheetData>
  <mergeCells count="6">
    <mergeCell ref="B2:N6"/>
    <mergeCell ref="B1:N1"/>
    <mergeCell ref="B9:C10"/>
    <mergeCell ref="D9:F9"/>
    <mergeCell ref="K9:N9"/>
    <mergeCell ref="H9:J9"/>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O1" workbookViewId="0">
      <selection activeCell="BY31" sqref="BY31"/>
    </sheetView>
  </sheetViews>
  <sheetFormatPr baseColWidth="10" defaultColWidth="8.6640625" defaultRowHeight="15"/>
  <cols>
    <col min="1" max="1" width="20.6640625" style="55" customWidth="1"/>
    <col min="2" max="16384" width="8.6640625" style="26"/>
  </cols>
  <sheetData>
    <row r="1" spans="1:71" s="2" customFormat="1">
      <c r="A1" s="2" t="s">
        <v>56</v>
      </c>
      <c r="B1" s="2" t="s">
        <v>217</v>
      </c>
      <c r="C1" s="2" t="s">
        <v>218</v>
      </c>
      <c r="D1" s="2" t="s">
        <v>219</v>
      </c>
      <c r="E1" s="2" t="s">
        <v>220</v>
      </c>
      <c r="F1" s="2" t="s">
        <v>221</v>
      </c>
      <c r="G1" s="2" t="s">
        <v>222</v>
      </c>
      <c r="H1" s="2" t="s">
        <v>216</v>
      </c>
      <c r="I1" s="2" t="s">
        <v>223</v>
      </c>
      <c r="J1" s="2" t="s">
        <v>224</v>
      </c>
      <c r="K1" s="2" t="s">
        <v>225</v>
      </c>
      <c r="L1" s="2" t="s">
        <v>226</v>
      </c>
      <c r="M1" s="2" t="s">
        <v>227</v>
      </c>
      <c r="N1" s="2" t="s">
        <v>209</v>
      </c>
      <c r="O1" s="2" t="s">
        <v>228</v>
      </c>
      <c r="P1" s="2" t="s">
        <v>229</v>
      </c>
      <c r="Q1" s="2" t="s">
        <v>230</v>
      </c>
      <c r="R1" s="2" t="s">
        <v>231</v>
      </c>
      <c r="S1" s="2" t="s">
        <v>232</v>
      </c>
      <c r="T1" s="2" t="s">
        <v>233</v>
      </c>
      <c r="U1" s="2" t="s">
        <v>234</v>
      </c>
      <c r="V1" s="2" t="s">
        <v>235</v>
      </c>
      <c r="W1" s="2" t="s">
        <v>215</v>
      </c>
      <c r="X1" s="2" t="s">
        <v>236</v>
      </c>
      <c r="Y1" s="2" t="s">
        <v>237</v>
      </c>
      <c r="Z1" s="2" t="s">
        <v>238</v>
      </c>
      <c r="AA1" s="2" t="s">
        <v>239</v>
      </c>
      <c r="AB1" s="2" t="s">
        <v>240</v>
      </c>
      <c r="AC1" s="2" t="s">
        <v>241</v>
      </c>
      <c r="AD1" s="2" t="s">
        <v>242</v>
      </c>
      <c r="AE1" s="2" t="s">
        <v>243</v>
      </c>
      <c r="AF1" s="2" t="s">
        <v>244</v>
      </c>
      <c r="AG1" s="2" t="s">
        <v>245</v>
      </c>
      <c r="AH1" s="2" t="s">
        <v>246</v>
      </c>
      <c r="AI1" s="2" t="s">
        <v>247</v>
      </c>
      <c r="AJ1" s="2" t="s">
        <v>248</v>
      </c>
      <c r="AK1" s="2" t="s">
        <v>249</v>
      </c>
      <c r="AL1" s="2" t="s">
        <v>250</v>
      </c>
      <c r="AM1" s="2" t="s">
        <v>251</v>
      </c>
      <c r="AN1" s="2" t="s">
        <v>252</v>
      </c>
      <c r="AO1" s="2" t="s">
        <v>253</v>
      </c>
      <c r="AP1" s="2" t="s">
        <v>254</v>
      </c>
      <c r="AQ1" s="2" t="s">
        <v>255</v>
      </c>
      <c r="AR1" s="2" t="s">
        <v>256</v>
      </c>
      <c r="AS1" s="2" t="s">
        <v>257</v>
      </c>
      <c r="AT1" s="2" t="s">
        <v>258</v>
      </c>
      <c r="AU1" s="2" t="s">
        <v>259</v>
      </c>
      <c r="AV1" s="2" t="s">
        <v>260</v>
      </c>
      <c r="AW1" s="2" t="s">
        <v>261</v>
      </c>
      <c r="AX1" s="2" t="s">
        <v>262</v>
      </c>
      <c r="AY1" s="2" t="s">
        <v>263</v>
      </c>
      <c r="AZ1" s="2" t="s">
        <v>264</v>
      </c>
      <c r="BA1" s="2" t="s">
        <v>265</v>
      </c>
      <c r="BB1" s="2" t="s">
        <v>266</v>
      </c>
      <c r="BC1" s="2" t="s">
        <v>267</v>
      </c>
      <c r="BD1" s="2" t="s">
        <v>1</v>
      </c>
      <c r="BE1" s="2" t="s">
        <v>2</v>
      </c>
      <c r="BF1" s="2" t="s">
        <v>3</v>
      </c>
      <c r="BG1" s="2" t="s">
        <v>211</v>
      </c>
      <c r="BH1" s="2" t="s">
        <v>212</v>
      </c>
      <c r="BI1" s="2" t="s">
        <v>213</v>
      </c>
      <c r="BJ1" s="2" t="s">
        <v>268</v>
      </c>
      <c r="BK1" s="2" t="s">
        <v>269</v>
      </c>
      <c r="BL1" s="2" t="s">
        <v>164</v>
      </c>
      <c r="BM1" s="2" t="s">
        <v>270</v>
      </c>
      <c r="BN1" s="2" t="s">
        <v>271</v>
      </c>
      <c r="BO1" s="2" t="s">
        <v>272</v>
      </c>
      <c r="BP1" s="2" t="s">
        <v>273</v>
      </c>
      <c r="BQ1" s="2" t="s">
        <v>274</v>
      </c>
      <c r="BR1" s="2" t="s">
        <v>275</v>
      </c>
      <c r="BS1" s="2" t="s">
        <v>276</v>
      </c>
    </row>
    <row r="2" spans="1:71">
      <c r="A2" s="55">
        <v>25658</v>
      </c>
      <c r="B2" s="26">
        <v>1051.2</v>
      </c>
      <c r="C2" s="26">
        <v>4936.6000000000004</v>
      </c>
      <c r="D2" s="26">
        <v>21.286000000000001</v>
      </c>
      <c r="E2" s="26">
        <v>631.70000000000005</v>
      </c>
      <c r="F2" s="26">
        <v>3065.1</v>
      </c>
      <c r="G2" s="26">
        <v>20.61</v>
      </c>
      <c r="H2" s="26">
        <v>18.701000000000001</v>
      </c>
      <c r="I2" s="26">
        <v>13.706</v>
      </c>
      <c r="J2" s="26">
        <v>13.106</v>
      </c>
      <c r="K2" s="26">
        <v>16.824999999999999</v>
      </c>
      <c r="L2" s="26">
        <v>7</v>
      </c>
      <c r="M2" s="26">
        <v>5</v>
      </c>
      <c r="N2" s="26">
        <v>2.9</v>
      </c>
      <c r="O2" s="26">
        <v>63</v>
      </c>
      <c r="P2" s="26">
        <v>1.2</v>
      </c>
      <c r="Q2" s="26">
        <v>104.6</v>
      </c>
      <c r="R2" s="26">
        <v>88.5</v>
      </c>
      <c r="S2" s="26">
        <v>30.7</v>
      </c>
      <c r="T2" s="26">
        <v>247.9</v>
      </c>
      <c r="U2" s="26">
        <v>46.2</v>
      </c>
      <c r="V2" s="26">
        <v>20.609000000000002</v>
      </c>
      <c r="W2" s="26">
        <v>133.6</v>
      </c>
      <c r="X2" s="26">
        <v>114.3</v>
      </c>
      <c r="Y2" s="26">
        <v>714</v>
      </c>
      <c r="Z2" s="26">
        <v>834.4</v>
      </c>
      <c r="AA2" s="26">
        <v>90.6</v>
      </c>
      <c r="AB2" s="26">
        <v>17.899999999999999</v>
      </c>
      <c r="AC2" s="26">
        <v>27</v>
      </c>
      <c r="AD2" s="26">
        <v>45.1</v>
      </c>
      <c r="AE2" s="26">
        <v>48.3</v>
      </c>
      <c r="AF2" s="26">
        <v>16.600000000000001</v>
      </c>
      <c r="AG2" s="26">
        <v>14</v>
      </c>
      <c r="AH2" s="26">
        <v>70.599999999999994</v>
      </c>
      <c r="AI2" s="26">
        <v>3.8</v>
      </c>
      <c r="AJ2" s="26">
        <v>1.1000000000000001</v>
      </c>
      <c r="AK2" s="26">
        <v>14.7</v>
      </c>
      <c r="AL2" s="26">
        <v>129.9</v>
      </c>
      <c r="AO2" s="26">
        <v>5576</v>
      </c>
      <c r="AP2" s="26">
        <v>4.7</v>
      </c>
      <c r="AQ2" s="26">
        <v>0</v>
      </c>
      <c r="AR2" s="26">
        <v>4.7</v>
      </c>
      <c r="BL2" s="26">
        <v>38.1</v>
      </c>
      <c r="BM2" s="26">
        <v>38.299999999999997</v>
      </c>
      <c r="BN2" s="26">
        <v>4940.7</v>
      </c>
      <c r="BO2" s="26">
        <v>1052.0999999999999</v>
      </c>
      <c r="BP2" s="26">
        <v>1</v>
      </c>
      <c r="BQ2" s="26">
        <v>2613.3333333333339</v>
      </c>
      <c r="BR2" s="26">
        <v>7048.666666666667</v>
      </c>
      <c r="BS2" s="26">
        <v>23545.666666666672</v>
      </c>
    </row>
    <row r="3" spans="1:71">
      <c r="A3" s="55">
        <v>25749</v>
      </c>
      <c r="B3" s="26">
        <v>1067.4000000000001</v>
      </c>
      <c r="C3" s="26">
        <v>4943.6000000000004</v>
      </c>
      <c r="D3" s="26">
        <v>21.593</v>
      </c>
      <c r="E3" s="26">
        <v>641.6</v>
      </c>
      <c r="F3" s="26">
        <v>3079</v>
      </c>
      <c r="G3" s="26">
        <v>20.838000000000001</v>
      </c>
      <c r="H3" s="26">
        <v>18.948</v>
      </c>
      <c r="I3" s="26">
        <v>13.996</v>
      </c>
      <c r="J3" s="26">
        <v>13.367000000000001</v>
      </c>
      <c r="K3" s="26">
        <v>17.248000000000001</v>
      </c>
      <c r="L3" s="26">
        <v>7.2</v>
      </c>
      <c r="M3" s="26">
        <v>5.3</v>
      </c>
      <c r="N3" s="26">
        <v>3.9</v>
      </c>
      <c r="O3" s="26">
        <v>73.099999999999994</v>
      </c>
      <c r="P3" s="26">
        <v>1.3</v>
      </c>
      <c r="Q3" s="26">
        <v>105.5</v>
      </c>
      <c r="R3" s="26">
        <v>90.5</v>
      </c>
      <c r="S3" s="26">
        <v>30.8</v>
      </c>
      <c r="T3" s="26">
        <v>249.1</v>
      </c>
      <c r="U3" s="26">
        <v>46.5</v>
      </c>
      <c r="V3" s="26">
        <v>20.837</v>
      </c>
      <c r="W3" s="26">
        <v>131.80000000000001</v>
      </c>
      <c r="X3" s="26">
        <v>117.4</v>
      </c>
      <c r="Y3" s="26">
        <v>695.2</v>
      </c>
      <c r="Z3" s="26">
        <v>838.9</v>
      </c>
      <c r="AA3" s="26">
        <v>91.4</v>
      </c>
      <c r="AB3" s="26">
        <v>18.100000000000001</v>
      </c>
      <c r="AC3" s="26">
        <v>27</v>
      </c>
      <c r="AD3" s="26">
        <v>45.4</v>
      </c>
      <c r="AE3" s="26">
        <v>57.5</v>
      </c>
      <c r="AF3" s="26">
        <v>17.899999999999999</v>
      </c>
      <c r="AG3" s="26">
        <v>14.1</v>
      </c>
      <c r="AH3" s="26">
        <v>72.400000000000006</v>
      </c>
      <c r="AI3" s="26">
        <v>3.7</v>
      </c>
      <c r="AJ3" s="26">
        <v>1.1000000000000001</v>
      </c>
      <c r="AK3" s="26">
        <v>15.6</v>
      </c>
      <c r="AL3" s="26">
        <v>134.1</v>
      </c>
      <c r="AO3" s="26">
        <v>5228</v>
      </c>
      <c r="AP3" s="26">
        <v>4.8</v>
      </c>
      <c r="AQ3" s="26">
        <v>0</v>
      </c>
      <c r="AR3" s="26">
        <v>4.8</v>
      </c>
      <c r="BL3" s="26">
        <v>38.633333333333333</v>
      </c>
      <c r="BM3" s="26">
        <v>38.833333333333343</v>
      </c>
      <c r="BN3" s="26">
        <v>4982</v>
      </c>
      <c r="BO3" s="26">
        <v>1075.7</v>
      </c>
      <c r="BP3" s="26">
        <v>1</v>
      </c>
      <c r="BQ3" s="26">
        <v>2648.3333333333339</v>
      </c>
      <c r="BR3" s="26">
        <v>7104.333333333333</v>
      </c>
      <c r="BS3" s="26">
        <v>24037</v>
      </c>
    </row>
    <row r="4" spans="1:71">
      <c r="A4" s="55">
        <v>25841</v>
      </c>
      <c r="B4" s="26">
        <v>1086.0999999999999</v>
      </c>
      <c r="C4" s="26">
        <v>4989.2</v>
      </c>
      <c r="D4" s="26">
        <v>21.77</v>
      </c>
      <c r="E4" s="26">
        <v>653.5</v>
      </c>
      <c r="F4" s="26">
        <v>3106</v>
      </c>
      <c r="G4" s="26">
        <v>21.041</v>
      </c>
      <c r="H4" s="26">
        <v>19.271000000000001</v>
      </c>
      <c r="I4" s="26">
        <v>14.249000000000001</v>
      </c>
      <c r="J4" s="26">
        <v>13.603</v>
      </c>
      <c r="K4" s="26">
        <v>17.582000000000001</v>
      </c>
      <c r="L4" s="26">
        <v>7.3</v>
      </c>
      <c r="M4" s="26">
        <v>5.6</v>
      </c>
      <c r="N4" s="26">
        <v>4.5999999999999996</v>
      </c>
      <c r="O4" s="26">
        <v>73.5</v>
      </c>
      <c r="P4" s="26">
        <v>1.3</v>
      </c>
      <c r="Q4" s="26">
        <v>100.7</v>
      </c>
      <c r="R4" s="26">
        <v>92.5</v>
      </c>
      <c r="S4" s="26">
        <v>31.7</v>
      </c>
      <c r="T4" s="26">
        <v>254.6</v>
      </c>
      <c r="U4" s="26">
        <v>46.9</v>
      </c>
      <c r="V4" s="26">
        <v>21.04</v>
      </c>
      <c r="W4" s="26">
        <v>132.4</v>
      </c>
      <c r="X4" s="26">
        <v>122.2</v>
      </c>
      <c r="Y4" s="26">
        <v>686.7</v>
      </c>
      <c r="Z4" s="26">
        <v>858.1</v>
      </c>
      <c r="AA4" s="26">
        <v>86.3</v>
      </c>
      <c r="AB4" s="26">
        <v>18.2</v>
      </c>
      <c r="AC4" s="26">
        <v>27.9</v>
      </c>
      <c r="AD4" s="26">
        <v>45.9</v>
      </c>
      <c r="AE4" s="26">
        <v>56.9</v>
      </c>
      <c r="AF4" s="26">
        <v>19.2</v>
      </c>
      <c r="AG4" s="26">
        <v>14.3</v>
      </c>
      <c r="AH4" s="26">
        <v>74.3</v>
      </c>
      <c r="AI4" s="26">
        <v>3.8</v>
      </c>
      <c r="AJ4" s="26">
        <v>1.1000000000000001</v>
      </c>
      <c r="AK4" s="26">
        <v>16.600000000000001</v>
      </c>
      <c r="AL4" s="26">
        <v>140.1</v>
      </c>
      <c r="AO4" s="26">
        <v>4816</v>
      </c>
      <c r="AP4" s="26">
        <v>4.7</v>
      </c>
      <c r="AQ4" s="26">
        <v>0</v>
      </c>
      <c r="AR4" s="26">
        <v>4.7</v>
      </c>
      <c r="BL4" s="26">
        <v>39.033333333333331</v>
      </c>
      <c r="BM4" s="26">
        <v>39.233333333333341</v>
      </c>
      <c r="BN4" s="26">
        <v>5021.8999999999996</v>
      </c>
      <c r="BO4" s="26">
        <v>1093.2</v>
      </c>
      <c r="BP4" s="26">
        <v>1</v>
      </c>
      <c r="BQ4" s="26">
        <v>2681.666666666667</v>
      </c>
      <c r="BR4" s="26">
        <v>7204.333333333333</v>
      </c>
      <c r="BS4" s="26">
        <v>25485.666666666672</v>
      </c>
    </row>
    <row r="5" spans="1:71">
      <c r="A5" s="55">
        <v>25933</v>
      </c>
      <c r="B5" s="26">
        <v>1088.5999999999999</v>
      </c>
      <c r="C5" s="26">
        <v>4935.7</v>
      </c>
      <c r="D5" s="26">
        <v>22.055</v>
      </c>
      <c r="E5" s="26">
        <v>660.2</v>
      </c>
      <c r="F5" s="26">
        <v>3097.5</v>
      </c>
      <c r="G5" s="26">
        <v>21.314</v>
      </c>
      <c r="H5" s="26">
        <v>19.515999999999998</v>
      </c>
      <c r="I5" s="26">
        <v>14.519</v>
      </c>
      <c r="J5" s="26">
        <v>13.832000000000001</v>
      </c>
      <c r="K5" s="26">
        <v>18.027999999999999</v>
      </c>
      <c r="L5" s="26">
        <v>7.5</v>
      </c>
      <c r="M5" s="26">
        <v>5.9</v>
      </c>
      <c r="N5" s="26">
        <v>5.4</v>
      </c>
      <c r="O5" s="26">
        <v>77.400000000000006</v>
      </c>
      <c r="P5" s="26">
        <v>1.3</v>
      </c>
      <c r="Q5" s="26">
        <v>101.5</v>
      </c>
      <c r="R5" s="26">
        <v>94.1</v>
      </c>
      <c r="S5" s="26">
        <v>30.2</v>
      </c>
      <c r="T5" s="26">
        <v>258.7</v>
      </c>
      <c r="U5" s="26">
        <v>46.7</v>
      </c>
      <c r="V5" s="26">
        <v>21.312999999999999</v>
      </c>
      <c r="W5" s="26">
        <v>133.5</v>
      </c>
      <c r="X5" s="26">
        <v>125.2</v>
      </c>
      <c r="Y5" s="26">
        <v>684.1</v>
      </c>
      <c r="Z5" s="26">
        <v>862.4</v>
      </c>
      <c r="AA5" s="26">
        <v>87.2</v>
      </c>
      <c r="AB5" s="26">
        <v>18.2</v>
      </c>
      <c r="AC5" s="26">
        <v>26.6</v>
      </c>
      <c r="AD5" s="26">
        <v>45.6</v>
      </c>
      <c r="AE5" s="26">
        <v>59.8</v>
      </c>
      <c r="AF5" s="26">
        <v>19.8</v>
      </c>
      <c r="AG5" s="26">
        <v>14.4</v>
      </c>
      <c r="AH5" s="26">
        <v>76</v>
      </c>
      <c r="AI5" s="26">
        <v>3.6</v>
      </c>
      <c r="AJ5" s="26">
        <v>1.1000000000000001</v>
      </c>
      <c r="AK5" s="26">
        <v>17.5</v>
      </c>
      <c r="AL5" s="26">
        <v>144.30000000000001</v>
      </c>
      <c r="AO5" s="26">
        <v>4900</v>
      </c>
      <c r="AP5" s="26">
        <v>4.8</v>
      </c>
      <c r="AQ5" s="26">
        <v>0</v>
      </c>
      <c r="AR5" s="26">
        <v>4.8</v>
      </c>
      <c r="BL5" s="26">
        <v>39.6</v>
      </c>
      <c r="BM5" s="26">
        <v>39.799999999999997</v>
      </c>
      <c r="BN5" s="26">
        <v>5060.8</v>
      </c>
      <c r="BO5" s="26">
        <v>1116.2</v>
      </c>
      <c r="BP5" s="26">
        <v>1</v>
      </c>
      <c r="BQ5" s="26">
        <v>2716.3333333333339</v>
      </c>
      <c r="BR5" s="26">
        <v>7279.333333333333</v>
      </c>
      <c r="BS5" s="26">
        <v>25754.666666666672</v>
      </c>
    </row>
    <row r="6" spans="1:71">
      <c r="A6" s="55">
        <v>26023</v>
      </c>
      <c r="B6" s="26">
        <v>1135.2</v>
      </c>
      <c r="C6" s="26">
        <v>5069.7</v>
      </c>
      <c r="D6" s="26">
        <v>22.388999999999999</v>
      </c>
      <c r="E6" s="26">
        <v>679.2</v>
      </c>
      <c r="F6" s="26">
        <v>3157</v>
      </c>
      <c r="G6" s="26">
        <v>21.515999999999998</v>
      </c>
      <c r="H6" s="26">
        <v>20.134</v>
      </c>
      <c r="I6" s="26">
        <v>14.849</v>
      </c>
      <c r="J6" s="26">
        <v>14.173</v>
      </c>
      <c r="K6" s="26">
        <v>18.332000000000001</v>
      </c>
      <c r="L6" s="26">
        <v>7.8</v>
      </c>
      <c r="M6" s="26">
        <v>6.2</v>
      </c>
      <c r="N6" s="26">
        <v>5.7</v>
      </c>
      <c r="O6" s="26">
        <v>79.3</v>
      </c>
      <c r="P6" s="26">
        <v>1.4</v>
      </c>
      <c r="Q6" s="26">
        <v>98.3</v>
      </c>
      <c r="R6" s="26">
        <v>97.7</v>
      </c>
      <c r="S6" s="26">
        <v>34</v>
      </c>
      <c r="T6" s="26">
        <v>261.89999999999998</v>
      </c>
      <c r="U6" s="26">
        <v>50.8</v>
      </c>
      <c r="V6" s="26">
        <v>21.513999999999999</v>
      </c>
      <c r="W6" s="26">
        <v>133.30000000000001</v>
      </c>
      <c r="X6" s="26">
        <v>128.6</v>
      </c>
      <c r="Y6" s="26">
        <v>662.1</v>
      </c>
      <c r="Z6" s="26">
        <v>866</v>
      </c>
      <c r="AA6" s="26">
        <v>83.6</v>
      </c>
      <c r="AB6" s="26">
        <v>19.399999999999999</v>
      </c>
      <c r="AC6" s="26">
        <v>29.9</v>
      </c>
      <c r="AD6" s="26">
        <v>49.6</v>
      </c>
      <c r="AE6" s="26">
        <v>61</v>
      </c>
      <c r="AF6" s="26">
        <v>20.5</v>
      </c>
      <c r="AG6" s="26">
        <v>14.7</v>
      </c>
      <c r="AH6" s="26">
        <v>78.3</v>
      </c>
      <c r="AI6" s="26">
        <v>4.0999999999999996</v>
      </c>
      <c r="AJ6" s="26">
        <v>1.1000000000000001</v>
      </c>
      <c r="AK6" s="26">
        <v>18.3</v>
      </c>
      <c r="AL6" s="26">
        <v>149.1</v>
      </c>
      <c r="AO6" s="26">
        <v>5464</v>
      </c>
      <c r="AP6" s="26">
        <v>4.7</v>
      </c>
      <c r="AQ6" s="26">
        <v>0</v>
      </c>
      <c r="AR6" s="26">
        <v>4.8</v>
      </c>
      <c r="BL6" s="26">
        <v>39.93333333333333</v>
      </c>
      <c r="BM6" s="26">
        <v>40.166666666666671</v>
      </c>
      <c r="BN6" s="26">
        <v>5099.8999999999996</v>
      </c>
      <c r="BO6" s="26">
        <v>1142</v>
      </c>
      <c r="BP6" s="26">
        <v>-1</v>
      </c>
      <c r="BQ6" s="26">
        <v>2719.3333333333339</v>
      </c>
      <c r="BR6" s="26">
        <v>7353.333333333333</v>
      </c>
      <c r="BS6" s="26">
        <v>25713</v>
      </c>
    </row>
    <row r="7" spans="1:71">
      <c r="A7" s="55">
        <v>26114</v>
      </c>
      <c r="B7" s="26">
        <v>1156.3</v>
      </c>
      <c r="C7" s="26">
        <v>5097.2</v>
      </c>
      <c r="D7" s="26">
        <v>22.689</v>
      </c>
      <c r="E7" s="26">
        <v>693.2</v>
      </c>
      <c r="F7" s="26">
        <v>3186</v>
      </c>
      <c r="G7" s="26">
        <v>21.760999999999999</v>
      </c>
      <c r="H7" s="26">
        <v>20.51</v>
      </c>
      <c r="I7" s="26">
        <v>15.117000000000001</v>
      </c>
      <c r="J7" s="26">
        <v>14.438000000000001</v>
      </c>
      <c r="K7" s="26">
        <v>18.625</v>
      </c>
      <c r="L7" s="26">
        <v>8</v>
      </c>
      <c r="M7" s="26">
        <v>6.6</v>
      </c>
      <c r="N7" s="26">
        <v>6.3</v>
      </c>
      <c r="O7" s="26">
        <v>86.9</v>
      </c>
      <c r="P7" s="26">
        <v>1.4</v>
      </c>
      <c r="Q7" s="26">
        <v>100.7</v>
      </c>
      <c r="R7" s="26">
        <v>98.9</v>
      </c>
      <c r="S7" s="26">
        <v>34.9</v>
      </c>
      <c r="T7" s="26">
        <v>266.10000000000002</v>
      </c>
      <c r="U7" s="26">
        <v>51.4</v>
      </c>
      <c r="V7" s="26">
        <v>21.759</v>
      </c>
      <c r="W7" s="26">
        <v>134.30000000000001</v>
      </c>
      <c r="X7" s="26">
        <v>131.9</v>
      </c>
      <c r="Y7" s="26">
        <v>654.4</v>
      </c>
      <c r="Z7" s="26">
        <v>872.4</v>
      </c>
      <c r="AA7" s="26">
        <v>85.1</v>
      </c>
      <c r="AB7" s="26">
        <v>18.7</v>
      </c>
      <c r="AC7" s="26">
        <v>30.7</v>
      </c>
      <c r="AD7" s="26">
        <v>50.2</v>
      </c>
      <c r="AE7" s="26">
        <v>67.900000000000006</v>
      </c>
      <c r="AF7" s="26">
        <v>22.1</v>
      </c>
      <c r="AG7" s="26">
        <v>15.6</v>
      </c>
      <c r="AH7" s="26">
        <v>80.2</v>
      </c>
      <c r="AI7" s="26">
        <v>4.2</v>
      </c>
      <c r="AJ7" s="26">
        <v>1.2</v>
      </c>
      <c r="AK7" s="26">
        <v>19.100000000000001</v>
      </c>
      <c r="AL7" s="26">
        <v>153.6</v>
      </c>
      <c r="AO7" s="26">
        <v>6312</v>
      </c>
      <c r="AP7" s="26">
        <v>4.8</v>
      </c>
      <c r="AQ7" s="26">
        <v>0</v>
      </c>
      <c r="AR7" s="26">
        <v>4.8</v>
      </c>
      <c r="BL7" s="26">
        <v>40.299999999999997</v>
      </c>
      <c r="BM7" s="26">
        <v>40.533333333333339</v>
      </c>
      <c r="BN7" s="26">
        <v>5139.7</v>
      </c>
      <c r="BO7" s="26">
        <v>1165.9000000000001</v>
      </c>
      <c r="BP7" s="26">
        <v>-1</v>
      </c>
      <c r="BQ7" s="26">
        <v>2739.666666666667</v>
      </c>
      <c r="BR7" s="26">
        <v>7419.666666666667</v>
      </c>
      <c r="BS7" s="26">
        <v>25998.666666666672</v>
      </c>
    </row>
    <row r="8" spans="1:71">
      <c r="A8" s="55">
        <v>26206</v>
      </c>
      <c r="B8" s="26">
        <v>1177.7</v>
      </c>
      <c r="C8" s="26">
        <v>5139.1000000000004</v>
      </c>
      <c r="D8" s="26">
        <v>22.917000000000002</v>
      </c>
      <c r="E8" s="26">
        <v>705.6</v>
      </c>
      <c r="F8" s="26">
        <v>3211.4</v>
      </c>
      <c r="G8" s="26">
        <v>21.975000000000001</v>
      </c>
      <c r="H8" s="26">
        <v>20.806999999999999</v>
      </c>
      <c r="I8" s="26">
        <v>15.33</v>
      </c>
      <c r="J8" s="26">
        <v>14.656000000000001</v>
      </c>
      <c r="K8" s="26">
        <v>18.827999999999999</v>
      </c>
      <c r="L8" s="26">
        <v>8.1</v>
      </c>
      <c r="M8" s="26">
        <v>6.9</v>
      </c>
      <c r="N8" s="26">
        <v>6.3</v>
      </c>
      <c r="O8" s="26">
        <v>86.9</v>
      </c>
      <c r="P8" s="26">
        <v>1.5</v>
      </c>
      <c r="Q8" s="26">
        <v>102.3</v>
      </c>
      <c r="R8" s="26">
        <v>101.7</v>
      </c>
      <c r="S8" s="26">
        <v>34.1</v>
      </c>
      <c r="T8" s="26">
        <v>269.8</v>
      </c>
      <c r="U8" s="26">
        <v>51.6</v>
      </c>
      <c r="V8" s="26">
        <v>21.972000000000001</v>
      </c>
      <c r="W8" s="26">
        <v>135.6</v>
      </c>
      <c r="X8" s="26">
        <v>134.19999999999999</v>
      </c>
      <c r="Y8" s="26">
        <v>651.5</v>
      </c>
      <c r="Z8" s="26">
        <v>875.4</v>
      </c>
      <c r="AA8" s="26">
        <v>86.3</v>
      </c>
      <c r="AB8" s="26">
        <v>18.899999999999999</v>
      </c>
      <c r="AC8" s="26">
        <v>29.8</v>
      </c>
      <c r="AD8" s="26">
        <v>50.5</v>
      </c>
      <c r="AE8" s="26">
        <v>67.2</v>
      </c>
      <c r="AF8" s="26">
        <v>22.4</v>
      </c>
      <c r="AG8" s="26">
        <v>16</v>
      </c>
      <c r="AH8" s="26">
        <v>82.8</v>
      </c>
      <c r="AI8" s="26">
        <v>4.4000000000000004</v>
      </c>
      <c r="AJ8" s="26">
        <v>1.2</v>
      </c>
      <c r="AK8" s="26">
        <v>19.600000000000001</v>
      </c>
      <c r="AL8" s="26">
        <v>156.9</v>
      </c>
      <c r="AO8" s="26">
        <v>5756</v>
      </c>
      <c r="AP8" s="26">
        <v>4.5</v>
      </c>
      <c r="AQ8" s="26">
        <v>0</v>
      </c>
      <c r="AR8" s="26">
        <v>4.5</v>
      </c>
      <c r="BL8" s="26">
        <v>40.700000000000003</v>
      </c>
      <c r="BM8" s="26">
        <v>40.966666666666669</v>
      </c>
      <c r="BN8" s="26">
        <v>5180</v>
      </c>
      <c r="BO8" s="26">
        <v>1187.0999999999999</v>
      </c>
      <c r="BP8" s="26">
        <v>-1</v>
      </c>
      <c r="BQ8" s="26">
        <v>2751.666666666667</v>
      </c>
      <c r="BR8" s="26">
        <v>7443.666666666667</v>
      </c>
      <c r="BS8" s="26">
        <v>25691</v>
      </c>
    </row>
    <row r="9" spans="1:71">
      <c r="A9" s="55">
        <v>26298</v>
      </c>
      <c r="B9" s="26">
        <v>1190.3</v>
      </c>
      <c r="C9" s="26">
        <v>5151.2</v>
      </c>
      <c r="D9" s="26">
        <v>23.106999999999999</v>
      </c>
      <c r="E9" s="26">
        <v>721.7</v>
      </c>
      <c r="F9" s="26">
        <v>3264.7</v>
      </c>
      <c r="G9" s="26">
        <v>22.111000000000001</v>
      </c>
      <c r="H9" s="26">
        <v>21.23</v>
      </c>
      <c r="I9" s="26">
        <v>15.497999999999999</v>
      </c>
      <c r="J9" s="26">
        <v>14.789</v>
      </c>
      <c r="K9" s="26">
        <v>19.152999999999999</v>
      </c>
      <c r="L9" s="26">
        <v>8.3000000000000007</v>
      </c>
      <c r="M9" s="26">
        <v>7.3</v>
      </c>
      <c r="N9" s="26">
        <v>6.3</v>
      </c>
      <c r="O9" s="26">
        <v>88.5</v>
      </c>
      <c r="P9" s="26">
        <v>1.5</v>
      </c>
      <c r="Q9" s="26">
        <v>105.5</v>
      </c>
      <c r="R9" s="26">
        <v>103.7</v>
      </c>
      <c r="S9" s="26">
        <v>34.6</v>
      </c>
      <c r="T9" s="26">
        <v>272.10000000000002</v>
      </c>
      <c r="U9" s="26">
        <v>52.2</v>
      </c>
      <c r="V9" s="26">
        <v>22.108000000000001</v>
      </c>
      <c r="W9" s="26">
        <v>134.69999999999999</v>
      </c>
      <c r="X9" s="26">
        <v>137.4</v>
      </c>
      <c r="Y9" s="26">
        <v>634.4</v>
      </c>
      <c r="Z9" s="26">
        <v>886.4</v>
      </c>
      <c r="AA9" s="26">
        <v>88.2</v>
      </c>
      <c r="AB9" s="26">
        <v>19</v>
      </c>
      <c r="AC9" s="26">
        <v>30.1</v>
      </c>
      <c r="AD9" s="26">
        <v>51</v>
      </c>
      <c r="AE9" s="26">
        <v>68.2</v>
      </c>
      <c r="AF9" s="26">
        <v>23.7</v>
      </c>
      <c r="AG9" s="26">
        <v>17.3</v>
      </c>
      <c r="AH9" s="26">
        <v>84.7</v>
      </c>
      <c r="AI9" s="26">
        <v>4.5</v>
      </c>
      <c r="AJ9" s="26">
        <v>1.2</v>
      </c>
      <c r="AK9" s="26">
        <v>20.3</v>
      </c>
      <c r="AL9" s="26">
        <v>161</v>
      </c>
      <c r="AO9" s="26">
        <v>5644</v>
      </c>
      <c r="AP9" s="26">
        <v>4.5999999999999996</v>
      </c>
      <c r="AQ9" s="26">
        <v>0</v>
      </c>
      <c r="AR9" s="26">
        <v>4.5999999999999996</v>
      </c>
      <c r="BL9" s="26">
        <v>41</v>
      </c>
      <c r="BM9" s="26">
        <v>41.233333333333341</v>
      </c>
      <c r="BN9" s="26">
        <v>5221</v>
      </c>
      <c r="BO9" s="26">
        <v>1206.4000000000001</v>
      </c>
      <c r="BP9" s="26">
        <v>-1</v>
      </c>
      <c r="BQ9" s="26">
        <v>2781</v>
      </c>
      <c r="BR9" s="26">
        <v>7534</v>
      </c>
      <c r="BS9" s="26">
        <v>26178.666666666672</v>
      </c>
    </row>
    <row r="10" spans="1:71">
      <c r="A10" s="55">
        <v>26389</v>
      </c>
      <c r="B10" s="26">
        <v>1230.5999999999999</v>
      </c>
      <c r="C10" s="26">
        <v>5246</v>
      </c>
      <c r="D10" s="26">
        <v>23.478000000000002</v>
      </c>
      <c r="E10" s="26">
        <v>738.9</v>
      </c>
      <c r="F10" s="26">
        <v>3307.8</v>
      </c>
      <c r="G10" s="26">
        <v>22.344000000000001</v>
      </c>
      <c r="H10" s="26">
        <v>22.103999999999999</v>
      </c>
      <c r="I10" s="26">
        <v>15.843999999999999</v>
      </c>
      <c r="J10" s="26">
        <v>15.161</v>
      </c>
      <c r="K10" s="26">
        <v>19.398</v>
      </c>
      <c r="L10" s="26">
        <v>8.5</v>
      </c>
      <c r="M10" s="26">
        <v>7.8</v>
      </c>
      <c r="N10" s="26">
        <v>6.5</v>
      </c>
      <c r="O10" s="26">
        <v>91.4</v>
      </c>
      <c r="P10" s="26">
        <v>1.7</v>
      </c>
      <c r="Q10" s="26">
        <v>119.8</v>
      </c>
      <c r="R10" s="26">
        <v>104.6</v>
      </c>
      <c r="S10" s="26">
        <v>36.799999999999997</v>
      </c>
      <c r="T10" s="26">
        <v>282.2</v>
      </c>
      <c r="U10" s="26">
        <v>58.5</v>
      </c>
      <c r="V10" s="26">
        <v>22.34</v>
      </c>
      <c r="W10" s="26">
        <v>141.4</v>
      </c>
      <c r="X10" s="26">
        <v>140.80000000000001</v>
      </c>
      <c r="Y10" s="26">
        <v>639.70000000000005</v>
      </c>
      <c r="Z10" s="26">
        <v>888.8</v>
      </c>
      <c r="AA10" s="26">
        <v>100.3</v>
      </c>
      <c r="AB10" s="26">
        <v>18.2</v>
      </c>
      <c r="AC10" s="26">
        <v>31.8</v>
      </c>
      <c r="AD10" s="26">
        <v>57.3</v>
      </c>
      <c r="AE10" s="26">
        <v>70.2</v>
      </c>
      <c r="AF10" s="26">
        <v>24.4</v>
      </c>
      <c r="AG10" s="26">
        <v>19.5</v>
      </c>
      <c r="AH10" s="26">
        <v>86.4</v>
      </c>
      <c r="AI10" s="26">
        <v>5</v>
      </c>
      <c r="AJ10" s="26">
        <v>1.3</v>
      </c>
      <c r="AK10" s="26">
        <v>21.2</v>
      </c>
      <c r="AL10" s="26">
        <v>165.7</v>
      </c>
      <c r="AO10" s="26">
        <v>5668</v>
      </c>
      <c r="AP10" s="26">
        <v>6.1</v>
      </c>
      <c r="AQ10" s="26">
        <v>0</v>
      </c>
      <c r="AR10" s="26">
        <v>6.1</v>
      </c>
      <c r="BL10" s="26">
        <v>41.333333333333343</v>
      </c>
      <c r="BM10" s="26">
        <v>41.6</v>
      </c>
      <c r="BN10" s="26">
        <v>5262.8</v>
      </c>
      <c r="BO10" s="26">
        <v>1234.5999999999999</v>
      </c>
      <c r="BP10" s="26">
        <v>-1</v>
      </c>
      <c r="BQ10" s="26">
        <v>2815</v>
      </c>
      <c r="BR10" s="26">
        <v>7651.666666666667</v>
      </c>
      <c r="BS10" s="26">
        <v>25519</v>
      </c>
    </row>
    <row r="11" spans="1:71">
      <c r="A11" s="55">
        <v>26480</v>
      </c>
      <c r="B11" s="26">
        <v>1266.4000000000001</v>
      </c>
      <c r="C11" s="26">
        <v>5365</v>
      </c>
      <c r="D11" s="26">
        <v>23.620999999999999</v>
      </c>
      <c r="E11" s="26">
        <v>757.4</v>
      </c>
      <c r="F11" s="26">
        <v>3370.7</v>
      </c>
      <c r="G11" s="26">
        <v>22.472999999999999</v>
      </c>
      <c r="H11" s="26">
        <v>22.327000000000002</v>
      </c>
      <c r="I11" s="26">
        <v>16.030999999999999</v>
      </c>
      <c r="J11" s="26">
        <v>15.36</v>
      </c>
      <c r="K11" s="26">
        <v>19.533999999999999</v>
      </c>
      <c r="L11" s="26">
        <v>8.6999999999999993</v>
      </c>
      <c r="M11" s="26">
        <v>8</v>
      </c>
      <c r="N11" s="26">
        <v>6.9</v>
      </c>
      <c r="O11" s="26">
        <v>91.9</v>
      </c>
      <c r="P11" s="26">
        <v>1.8</v>
      </c>
      <c r="Q11" s="26">
        <v>123.4</v>
      </c>
      <c r="R11" s="26">
        <v>106.8</v>
      </c>
      <c r="S11" s="26">
        <v>37.1</v>
      </c>
      <c r="T11" s="26">
        <v>286.5</v>
      </c>
      <c r="U11" s="26">
        <v>59.2</v>
      </c>
      <c r="V11" s="26">
        <v>22.469000000000001</v>
      </c>
      <c r="W11" s="26">
        <v>144.19999999999999</v>
      </c>
      <c r="X11" s="26">
        <v>142.19999999999999</v>
      </c>
      <c r="Y11" s="26">
        <v>645.9</v>
      </c>
      <c r="Z11" s="26">
        <v>887.3</v>
      </c>
      <c r="AA11" s="26">
        <v>102.4</v>
      </c>
      <c r="AB11" s="26">
        <v>18.3</v>
      </c>
      <c r="AC11" s="26">
        <v>32</v>
      </c>
      <c r="AD11" s="26">
        <v>57.9</v>
      </c>
      <c r="AE11" s="26">
        <v>70.2</v>
      </c>
      <c r="AF11" s="26">
        <v>32.700000000000003</v>
      </c>
      <c r="AG11" s="26">
        <v>21</v>
      </c>
      <c r="AH11" s="26">
        <v>88.5</v>
      </c>
      <c r="AI11" s="26">
        <v>5</v>
      </c>
      <c r="AJ11" s="26">
        <v>1.3</v>
      </c>
      <c r="AK11" s="26">
        <v>21.6</v>
      </c>
      <c r="AL11" s="26">
        <v>167.9</v>
      </c>
      <c r="AO11" s="26">
        <v>5216</v>
      </c>
      <c r="AP11" s="26">
        <v>6.2</v>
      </c>
      <c r="AQ11" s="26">
        <v>0.1</v>
      </c>
      <c r="AR11" s="26">
        <v>6.2</v>
      </c>
      <c r="BL11" s="26">
        <v>41.6</v>
      </c>
      <c r="BM11" s="26">
        <v>41.8</v>
      </c>
      <c r="BN11" s="26">
        <v>5305.2</v>
      </c>
      <c r="BO11" s="26">
        <v>1252.3</v>
      </c>
      <c r="BP11" s="26">
        <v>-1</v>
      </c>
      <c r="BQ11" s="26">
        <v>2849</v>
      </c>
      <c r="BR11" s="26">
        <v>7726.333333333333</v>
      </c>
      <c r="BS11" s="26">
        <v>24875</v>
      </c>
    </row>
    <row r="12" spans="1:71">
      <c r="A12" s="55">
        <v>26572</v>
      </c>
      <c r="B12" s="26">
        <v>1290.5999999999999</v>
      </c>
      <c r="C12" s="26">
        <v>5415.7</v>
      </c>
      <c r="D12" s="26">
        <v>23.835000000000001</v>
      </c>
      <c r="E12" s="26">
        <v>775.8</v>
      </c>
      <c r="F12" s="26">
        <v>3422.7</v>
      </c>
      <c r="G12" s="26">
        <v>22.670999999999999</v>
      </c>
      <c r="H12" s="26">
        <v>22.51</v>
      </c>
      <c r="I12" s="26">
        <v>16.274999999999999</v>
      </c>
      <c r="J12" s="26">
        <v>15.599</v>
      </c>
      <c r="K12" s="26">
        <v>19.805</v>
      </c>
      <c r="L12" s="26">
        <v>8.9</v>
      </c>
      <c r="M12" s="26">
        <v>8.6</v>
      </c>
      <c r="N12" s="26">
        <v>5.8</v>
      </c>
      <c r="O12" s="26">
        <v>92.9</v>
      </c>
      <c r="P12" s="26">
        <v>1.8</v>
      </c>
      <c r="Q12" s="26">
        <v>124.3</v>
      </c>
      <c r="R12" s="26">
        <v>108.9</v>
      </c>
      <c r="S12" s="26">
        <v>38.299999999999997</v>
      </c>
      <c r="T12" s="26">
        <v>284.3</v>
      </c>
      <c r="U12" s="26">
        <v>59.9</v>
      </c>
      <c r="V12" s="26">
        <v>22.666</v>
      </c>
      <c r="W12" s="26">
        <v>138.80000000000001</v>
      </c>
      <c r="X12" s="26">
        <v>145.6</v>
      </c>
      <c r="Y12" s="26">
        <v>616.29999999999995</v>
      </c>
      <c r="Z12" s="26">
        <v>894.4</v>
      </c>
      <c r="AA12" s="26">
        <v>103.1</v>
      </c>
      <c r="AB12" s="26">
        <v>18.5</v>
      </c>
      <c r="AC12" s="26">
        <v>33.1</v>
      </c>
      <c r="AD12" s="26">
        <v>58.5</v>
      </c>
      <c r="AE12" s="26">
        <v>70.3</v>
      </c>
      <c r="AF12" s="26">
        <v>25.6</v>
      </c>
      <c r="AG12" s="26">
        <v>21.2</v>
      </c>
      <c r="AH12" s="26">
        <v>90.4</v>
      </c>
      <c r="AI12" s="26">
        <v>5.2</v>
      </c>
      <c r="AJ12" s="26">
        <v>1.3</v>
      </c>
      <c r="AK12" s="26">
        <v>22.5</v>
      </c>
      <c r="AL12" s="26">
        <v>172.5</v>
      </c>
      <c r="AO12" s="26">
        <v>6724</v>
      </c>
      <c r="AP12" s="26">
        <v>7.1</v>
      </c>
      <c r="AQ12" s="26">
        <v>0.1</v>
      </c>
      <c r="AR12" s="26">
        <v>7.2</v>
      </c>
      <c r="BL12" s="26">
        <v>41.93333333333333</v>
      </c>
      <c r="BM12" s="26">
        <v>42.2</v>
      </c>
      <c r="BN12" s="26">
        <v>5348.2</v>
      </c>
      <c r="BO12" s="26">
        <v>1274.5</v>
      </c>
      <c r="BP12" s="26">
        <v>-1</v>
      </c>
      <c r="BQ12" s="26">
        <v>2874</v>
      </c>
      <c r="BR12" s="26">
        <v>7855</v>
      </c>
      <c r="BS12" s="26">
        <v>25641</v>
      </c>
    </row>
    <row r="13" spans="1:71">
      <c r="A13" s="55">
        <v>26664</v>
      </c>
      <c r="B13" s="26">
        <v>1328.9</v>
      </c>
      <c r="C13" s="26">
        <v>5506.4</v>
      </c>
      <c r="D13" s="26">
        <v>24.105</v>
      </c>
      <c r="E13" s="26">
        <v>800.5</v>
      </c>
      <c r="F13" s="26">
        <v>3503</v>
      </c>
      <c r="G13" s="26">
        <v>22.855</v>
      </c>
      <c r="H13" s="26">
        <v>22.998999999999999</v>
      </c>
      <c r="I13" s="26">
        <v>16.498999999999999</v>
      </c>
      <c r="J13" s="26">
        <v>15.792999999999999</v>
      </c>
      <c r="K13" s="26">
        <v>20.175000000000001</v>
      </c>
      <c r="L13" s="26">
        <v>9.1999999999999993</v>
      </c>
      <c r="M13" s="26">
        <v>8.5</v>
      </c>
      <c r="N13" s="26">
        <v>5</v>
      </c>
      <c r="O13" s="26">
        <v>103.1</v>
      </c>
      <c r="P13" s="26">
        <v>1.9</v>
      </c>
      <c r="Q13" s="26">
        <v>127.1</v>
      </c>
      <c r="R13" s="26">
        <v>111.5</v>
      </c>
      <c r="S13" s="26">
        <v>42.4</v>
      </c>
      <c r="T13" s="26">
        <v>291.7</v>
      </c>
      <c r="U13" s="26">
        <v>60.8</v>
      </c>
      <c r="V13" s="26">
        <v>22.852</v>
      </c>
      <c r="W13" s="26">
        <v>142.19999999999999</v>
      </c>
      <c r="X13" s="26">
        <v>149.6</v>
      </c>
      <c r="Y13" s="26">
        <v>617.9</v>
      </c>
      <c r="Z13" s="26">
        <v>906.7</v>
      </c>
      <c r="AA13" s="26">
        <v>105.3</v>
      </c>
      <c r="AB13" s="26">
        <v>19</v>
      </c>
      <c r="AC13" s="26">
        <v>36.6</v>
      </c>
      <c r="AD13" s="26">
        <v>59.4</v>
      </c>
      <c r="AE13" s="26">
        <v>80.599999999999994</v>
      </c>
      <c r="AF13" s="26">
        <v>39.299999999999997</v>
      </c>
      <c r="AG13" s="26">
        <v>21.8</v>
      </c>
      <c r="AH13" s="26">
        <v>92.5</v>
      </c>
      <c r="AI13" s="26">
        <v>5.7</v>
      </c>
      <c r="AJ13" s="26">
        <v>1.4</v>
      </c>
      <c r="AK13" s="26">
        <v>22.5</v>
      </c>
      <c r="AL13" s="26">
        <v>176.8</v>
      </c>
      <c r="AO13" s="26">
        <v>5700</v>
      </c>
      <c r="AP13" s="26">
        <v>7</v>
      </c>
      <c r="AQ13" s="26">
        <v>0.1</v>
      </c>
      <c r="AR13" s="26">
        <v>7.1</v>
      </c>
      <c r="BL13" s="26">
        <v>42.366666666666667</v>
      </c>
      <c r="BM13" s="26">
        <v>42.633333333333333</v>
      </c>
      <c r="BN13" s="26">
        <v>5391.9</v>
      </c>
      <c r="BO13" s="26">
        <v>1301.3</v>
      </c>
      <c r="BP13" s="26">
        <v>-1</v>
      </c>
      <c r="BQ13" s="26">
        <v>2901.3333333333339</v>
      </c>
      <c r="BR13" s="26">
        <v>7931.333333333333</v>
      </c>
      <c r="BS13" s="26">
        <v>27114.333333333328</v>
      </c>
    </row>
    <row r="14" spans="1:71">
      <c r="A14" s="55">
        <v>26754</v>
      </c>
      <c r="B14" s="26">
        <v>1377.5</v>
      </c>
      <c r="C14" s="26">
        <v>5642.7</v>
      </c>
      <c r="D14" s="26">
        <v>24.411999999999999</v>
      </c>
      <c r="E14" s="26">
        <v>825</v>
      </c>
      <c r="F14" s="26">
        <v>3567</v>
      </c>
      <c r="G14" s="26">
        <v>23.131</v>
      </c>
      <c r="H14" s="26">
        <v>23.37</v>
      </c>
      <c r="I14" s="26">
        <v>16.824000000000002</v>
      </c>
      <c r="J14" s="26">
        <v>16.105</v>
      </c>
      <c r="K14" s="26">
        <v>20.564</v>
      </c>
      <c r="L14" s="26">
        <v>9.5</v>
      </c>
      <c r="M14" s="26">
        <v>9</v>
      </c>
      <c r="N14" s="26">
        <v>4.5999999999999996</v>
      </c>
      <c r="O14" s="26">
        <v>105.4</v>
      </c>
      <c r="P14" s="26">
        <v>1.8</v>
      </c>
      <c r="Q14" s="26">
        <v>126.4</v>
      </c>
      <c r="R14" s="26">
        <v>114.6</v>
      </c>
      <c r="S14" s="26">
        <v>45.3</v>
      </c>
      <c r="T14" s="26">
        <v>299.60000000000002</v>
      </c>
      <c r="U14" s="26">
        <v>74.099999999999994</v>
      </c>
      <c r="V14" s="26">
        <v>23.129000000000001</v>
      </c>
      <c r="W14" s="26">
        <v>146.4</v>
      </c>
      <c r="X14" s="26">
        <v>153.19999999999999</v>
      </c>
      <c r="Y14" s="26">
        <v>625.9</v>
      </c>
      <c r="Z14" s="26">
        <v>910.9</v>
      </c>
      <c r="AA14" s="26">
        <v>104.5</v>
      </c>
      <c r="AB14" s="26">
        <v>19.5</v>
      </c>
      <c r="AC14" s="26">
        <v>39.299999999999997</v>
      </c>
      <c r="AD14" s="26">
        <v>72.7</v>
      </c>
      <c r="AE14" s="26">
        <v>82.2</v>
      </c>
      <c r="AF14" s="26">
        <v>34.299999999999997</v>
      </c>
      <c r="AG14" s="26">
        <v>21.9</v>
      </c>
      <c r="AH14" s="26">
        <v>95.1</v>
      </c>
      <c r="AI14" s="26">
        <v>6</v>
      </c>
      <c r="AJ14" s="26">
        <v>1.4</v>
      </c>
      <c r="AK14" s="26">
        <v>23.2</v>
      </c>
      <c r="AL14" s="26">
        <v>181.7</v>
      </c>
      <c r="AO14" s="26">
        <v>5740</v>
      </c>
      <c r="AP14" s="26">
        <v>5.9</v>
      </c>
      <c r="AQ14" s="26">
        <v>0.1</v>
      </c>
      <c r="AR14" s="26">
        <v>5.9</v>
      </c>
      <c r="BL14" s="26">
        <v>43.033333333333331</v>
      </c>
      <c r="BM14" s="26">
        <v>43.266666666666673</v>
      </c>
      <c r="BN14" s="26">
        <v>5436.6</v>
      </c>
      <c r="BO14" s="26">
        <v>1327.2</v>
      </c>
      <c r="BP14" s="26">
        <v>-1</v>
      </c>
      <c r="BQ14" s="26">
        <v>2899.666666666667</v>
      </c>
      <c r="BR14" s="26">
        <v>8016</v>
      </c>
      <c r="BS14" s="26">
        <v>27472.666666666672</v>
      </c>
    </row>
    <row r="15" spans="1:71">
      <c r="A15" s="55">
        <v>26845</v>
      </c>
      <c r="B15" s="26">
        <v>1413.9</v>
      </c>
      <c r="C15" s="26">
        <v>5704.1</v>
      </c>
      <c r="D15" s="26">
        <v>24.815999999999999</v>
      </c>
      <c r="E15" s="26">
        <v>840.5</v>
      </c>
      <c r="F15" s="26">
        <v>3565.3</v>
      </c>
      <c r="G15" s="26">
        <v>23.576000000000001</v>
      </c>
      <c r="H15" s="26">
        <v>23.777000000000001</v>
      </c>
      <c r="I15" s="26">
        <v>17.123000000000001</v>
      </c>
      <c r="J15" s="26">
        <v>16.376999999999999</v>
      </c>
      <c r="K15" s="26">
        <v>20.997</v>
      </c>
      <c r="L15" s="26">
        <v>10</v>
      </c>
      <c r="M15" s="26">
        <v>9.6</v>
      </c>
      <c r="N15" s="26">
        <v>4.5</v>
      </c>
      <c r="O15" s="26">
        <v>107.6</v>
      </c>
      <c r="P15" s="26">
        <v>1.8</v>
      </c>
      <c r="Q15" s="26">
        <v>129.19999999999999</v>
      </c>
      <c r="R15" s="26">
        <v>116.2</v>
      </c>
      <c r="S15" s="26">
        <v>45.4</v>
      </c>
      <c r="T15" s="26">
        <v>302.7</v>
      </c>
      <c r="U15" s="26">
        <v>75.3</v>
      </c>
      <c r="V15" s="26">
        <v>23.574999999999999</v>
      </c>
      <c r="W15" s="26">
        <v>146.5</v>
      </c>
      <c r="X15" s="26">
        <v>156.19999999999999</v>
      </c>
      <c r="Y15" s="26">
        <v>615.79999999999995</v>
      </c>
      <c r="Z15" s="26">
        <v>912.4</v>
      </c>
      <c r="AA15" s="26">
        <v>106.9</v>
      </c>
      <c r="AB15" s="26">
        <v>19.899999999999999</v>
      </c>
      <c r="AC15" s="26">
        <v>39.4</v>
      </c>
      <c r="AD15" s="26">
        <v>73.8</v>
      </c>
      <c r="AE15" s="26">
        <v>83.6</v>
      </c>
      <c r="AF15" s="26">
        <v>33.4</v>
      </c>
      <c r="AG15" s="26">
        <v>22.3</v>
      </c>
      <c r="AH15" s="26">
        <v>96.3</v>
      </c>
      <c r="AI15" s="26">
        <v>6.1</v>
      </c>
      <c r="AJ15" s="26">
        <v>1.5</v>
      </c>
      <c r="AK15" s="26">
        <v>24</v>
      </c>
      <c r="AL15" s="26">
        <v>185.7</v>
      </c>
      <c r="AO15" s="26">
        <v>6208</v>
      </c>
      <c r="AP15" s="26">
        <v>5.6</v>
      </c>
      <c r="AQ15" s="26">
        <v>0.1</v>
      </c>
      <c r="AR15" s="26">
        <v>5.7</v>
      </c>
      <c r="BL15" s="26">
        <v>43.933333333333337</v>
      </c>
      <c r="BM15" s="26">
        <v>44.166666666666657</v>
      </c>
      <c r="BN15" s="26">
        <v>5483.5</v>
      </c>
      <c r="BO15" s="26">
        <v>1359.2</v>
      </c>
      <c r="BP15" s="26">
        <v>-1</v>
      </c>
      <c r="BQ15" s="26">
        <v>2911.666666666667</v>
      </c>
      <c r="BR15" s="26">
        <v>8115</v>
      </c>
      <c r="BS15" s="26">
        <v>27079.333333333328</v>
      </c>
    </row>
    <row r="16" spans="1:71">
      <c r="A16" s="55">
        <v>26937</v>
      </c>
      <c r="B16" s="26">
        <v>1433.8</v>
      </c>
      <c r="C16" s="26">
        <v>5674.1</v>
      </c>
      <c r="D16" s="26">
        <v>25.29</v>
      </c>
      <c r="E16" s="26">
        <v>858.9</v>
      </c>
      <c r="F16" s="26">
        <v>3577.9</v>
      </c>
      <c r="G16" s="26">
        <v>24.004999999999999</v>
      </c>
      <c r="H16" s="26">
        <v>24.268999999999998</v>
      </c>
      <c r="I16" s="26">
        <v>17.353000000000002</v>
      </c>
      <c r="J16" s="26">
        <v>16.567</v>
      </c>
      <c r="K16" s="26">
        <v>21.425000000000001</v>
      </c>
      <c r="L16" s="26">
        <v>10.5</v>
      </c>
      <c r="M16" s="26">
        <v>9.6999999999999993</v>
      </c>
      <c r="N16" s="26">
        <v>4.5</v>
      </c>
      <c r="O16" s="26">
        <v>109.2</v>
      </c>
      <c r="P16" s="26">
        <v>1.8</v>
      </c>
      <c r="Q16" s="26">
        <v>134.1</v>
      </c>
      <c r="R16" s="26">
        <v>118.4</v>
      </c>
      <c r="S16" s="26">
        <v>43.4</v>
      </c>
      <c r="T16" s="26">
        <v>304.2</v>
      </c>
      <c r="U16" s="26">
        <v>76.599999999999994</v>
      </c>
      <c r="V16" s="26">
        <v>24.004999999999999</v>
      </c>
      <c r="W16" s="26">
        <v>144.19999999999999</v>
      </c>
      <c r="X16" s="26">
        <v>159.9</v>
      </c>
      <c r="Y16" s="26">
        <v>594</v>
      </c>
      <c r="Z16" s="26">
        <v>921.9</v>
      </c>
      <c r="AA16" s="26">
        <v>111</v>
      </c>
      <c r="AB16" s="26">
        <v>19.7</v>
      </c>
      <c r="AC16" s="26">
        <v>37.6</v>
      </c>
      <c r="AD16" s="26">
        <v>75.099999999999994</v>
      </c>
      <c r="AE16" s="26">
        <v>85.1</v>
      </c>
      <c r="AF16" s="26">
        <v>32.6</v>
      </c>
      <c r="AG16" s="26">
        <v>23.1</v>
      </c>
      <c r="AH16" s="26">
        <v>98.7</v>
      </c>
      <c r="AI16" s="26">
        <v>5.9</v>
      </c>
      <c r="AJ16" s="26">
        <v>1.5</v>
      </c>
      <c r="AK16" s="26">
        <v>24.2</v>
      </c>
      <c r="AL16" s="26">
        <v>190</v>
      </c>
      <c r="AO16" s="26">
        <v>5344</v>
      </c>
      <c r="AP16" s="26">
        <v>4.5999999999999996</v>
      </c>
      <c r="AQ16" s="26">
        <v>0.1</v>
      </c>
      <c r="AR16" s="26">
        <v>4.7</v>
      </c>
      <c r="BL16" s="26">
        <v>44.8</v>
      </c>
      <c r="BM16" s="26">
        <v>45.066666666666663</v>
      </c>
      <c r="BN16" s="26">
        <v>5530.8</v>
      </c>
      <c r="BO16" s="26">
        <v>1397.6</v>
      </c>
      <c r="BP16" s="26">
        <v>-1</v>
      </c>
      <c r="BQ16" s="26">
        <v>2926.3333333333339</v>
      </c>
      <c r="BR16" s="26">
        <v>8183.666666666667</v>
      </c>
      <c r="BS16" s="26">
        <v>27510</v>
      </c>
    </row>
    <row r="17" spans="1:71">
      <c r="A17" s="55">
        <v>27029</v>
      </c>
      <c r="B17" s="26">
        <v>1476.3</v>
      </c>
      <c r="C17" s="26">
        <v>5728</v>
      </c>
      <c r="D17" s="26">
        <v>25.728000000000002</v>
      </c>
      <c r="E17" s="26">
        <v>873.9</v>
      </c>
      <c r="F17" s="26">
        <v>3567.2</v>
      </c>
      <c r="G17" s="26">
        <v>24.495999999999999</v>
      </c>
      <c r="H17" s="26">
        <v>24.788</v>
      </c>
      <c r="I17" s="26">
        <v>17.681999999999999</v>
      </c>
      <c r="J17" s="26">
        <v>16.844999999999999</v>
      </c>
      <c r="K17" s="26">
        <v>22</v>
      </c>
      <c r="L17" s="26">
        <v>11</v>
      </c>
      <c r="M17" s="26">
        <v>10.1</v>
      </c>
      <c r="N17" s="26">
        <v>4.7</v>
      </c>
      <c r="O17" s="26">
        <v>112.3</v>
      </c>
      <c r="P17" s="26">
        <v>1.9</v>
      </c>
      <c r="Q17" s="26">
        <v>140</v>
      </c>
      <c r="R17" s="26">
        <v>119.7</v>
      </c>
      <c r="S17" s="26">
        <v>45.6</v>
      </c>
      <c r="T17" s="26">
        <v>312.60000000000002</v>
      </c>
      <c r="U17" s="26">
        <v>78.099999999999994</v>
      </c>
      <c r="V17" s="26">
        <v>24.498000000000001</v>
      </c>
      <c r="W17" s="26">
        <v>147.6</v>
      </c>
      <c r="X17" s="26">
        <v>165</v>
      </c>
      <c r="Y17" s="26">
        <v>595.4</v>
      </c>
      <c r="Z17" s="26">
        <v>933.1</v>
      </c>
      <c r="AA17" s="26">
        <v>116</v>
      </c>
      <c r="AB17" s="26">
        <v>20.100000000000001</v>
      </c>
      <c r="AC17" s="26">
        <v>39.4</v>
      </c>
      <c r="AD17" s="26">
        <v>76.599999999999994</v>
      </c>
      <c r="AE17" s="26">
        <v>87.3</v>
      </c>
      <c r="AF17" s="26">
        <v>33.6</v>
      </c>
      <c r="AG17" s="26">
        <v>24</v>
      </c>
      <c r="AH17" s="26">
        <v>99.6</v>
      </c>
      <c r="AI17" s="26">
        <v>6.1</v>
      </c>
      <c r="AJ17" s="26">
        <v>1.6</v>
      </c>
      <c r="AK17" s="26">
        <v>25</v>
      </c>
      <c r="AL17" s="26">
        <v>195.9</v>
      </c>
      <c r="AO17" s="26">
        <v>5920</v>
      </c>
      <c r="AP17" s="26">
        <v>4.5</v>
      </c>
      <c r="AQ17" s="26">
        <v>0.1</v>
      </c>
      <c r="AR17" s="26">
        <v>4.5999999999999996</v>
      </c>
      <c r="BL17" s="26">
        <v>45.93333333333333</v>
      </c>
      <c r="BM17" s="26">
        <v>46.166666666666657</v>
      </c>
      <c r="BN17" s="26">
        <v>5579.2</v>
      </c>
      <c r="BO17" s="26">
        <v>1437.9</v>
      </c>
      <c r="BP17" s="26">
        <v>1</v>
      </c>
      <c r="BQ17" s="26">
        <v>2953.3333333333339</v>
      </c>
      <c r="BR17" s="26">
        <v>8272.3333333333339</v>
      </c>
      <c r="BS17" s="26">
        <v>28620</v>
      </c>
    </row>
    <row r="18" spans="1:71">
      <c r="A18" s="55">
        <v>27119</v>
      </c>
      <c r="B18" s="26">
        <v>1491.2</v>
      </c>
      <c r="C18" s="26">
        <v>5678.7</v>
      </c>
      <c r="D18" s="26">
        <v>26.248999999999999</v>
      </c>
      <c r="E18" s="26">
        <v>891.9</v>
      </c>
      <c r="F18" s="26">
        <v>3535.3</v>
      </c>
      <c r="G18" s="26">
        <v>25.225000000000001</v>
      </c>
      <c r="H18" s="26">
        <v>25.042000000000002</v>
      </c>
      <c r="I18" s="26">
        <v>18.195</v>
      </c>
      <c r="J18" s="26">
        <v>17.254000000000001</v>
      </c>
      <c r="K18" s="26">
        <v>23.02</v>
      </c>
      <c r="L18" s="26">
        <v>11.7</v>
      </c>
      <c r="M18" s="26">
        <v>10.199999999999999</v>
      </c>
      <c r="N18" s="26">
        <v>5.8</v>
      </c>
      <c r="O18" s="26">
        <v>117.5</v>
      </c>
      <c r="P18" s="26">
        <v>1.9</v>
      </c>
      <c r="Q18" s="26">
        <v>142.80000000000001</v>
      </c>
      <c r="R18" s="26">
        <v>120.8</v>
      </c>
      <c r="S18" s="26">
        <v>43.7</v>
      </c>
      <c r="T18" s="26">
        <v>324.60000000000002</v>
      </c>
      <c r="U18" s="26">
        <v>83.7</v>
      </c>
      <c r="V18" s="26">
        <v>25.227</v>
      </c>
      <c r="W18" s="26">
        <v>152.69999999999999</v>
      </c>
      <c r="X18" s="26">
        <v>171.9</v>
      </c>
      <c r="Y18" s="26">
        <v>609.70000000000005</v>
      </c>
      <c r="Z18" s="26">
        <v>944.9</v>
      </c>
      <c r="AA18" s="26">
        <v>119.5</v>
      </c>
      <c r="AB18" s="26">
        <v>19.8</v>
      </c>
      <c r="AC18" s="26">
        <v>37.4</v>
      </c>
      <c r="AD18" s="26">
        <v>82.1</v>
      </c>
      <c r="AE18" s="26">
        <v>94.1</v>
      </c>
      <c r="AF18" s="26">
        <v>33.299999999999997</v>
      </c>
      <c r="AG18" s="26">
        <v>23.3</v>
      </c>
      <c r="AH18" s="26">
        <v>101</v>
      </c>
      <c r="AI18" s="26">
        <v>6.3</v>
      </c>
      <c r="AJ18" s="26">
        <v>1.6</v>
      </c>
      <c r="AK18" s="26">
        <v>23.4</v>
      </c>
      <c r="AL18" s="26">
        <v>201.1</v>
      </c>
      <c r="AO18" s="26">
        <v>7760</v>
      </c>
      <c r="AP18" s="26">
        <v>3.5</v>
      </c>
      <c r="AQ18" s="26">
        <v>0.1</v>
      </c>
      <c r="AR18" s="26">
        <v>3.6</v>
      </c>
      <c r="BL18" s="26">
        <v>47.3</v>
      </c>
      <c r="BM18" s="26">
        <v>47.566666666666663</v>
      </c>
      <c r="BN18" s="26">
        <v>5628.2</v>
      </c>
      <c r="BO18" s="26">
        <v>1477.9</v>
      </c>
      <c r="BP18" s="26">
        <v>1</v>
      </c>
      <c r="BQ18" s="26">
        <v>2988.666666666667</v>
      </c>
      <c r="BR18" s="26">
        <v>8307.6666666666661</v>
      </c>
      <c r="BS18" s="26">
        <v>30923.666666666672</v>
      </c>
    </row>
    <row r="19" spans="1:71">
      <c r="A19" s="55">
        <v>27210</v>
      </c>
      <c r="B19" s="26">
        <v>1530.1</v>
      </c>
      <c r="C19" s="26">
        <v>5692.2</v>
      </c>
      <c r="D19" s="26">
        <v>26.832000000000001</v>
      </c>
      <c r="E19" s="26">
        <v>920.4</v>
      </c>
      <c r="F19" s="26">
        <v>3548</v>
      </c>
      <c r="G19" s="26">
        <v>25.939</v>
      </c>
      <c r="H19" s="26">
        <v>25.494</v>
      </c>
      <c r="I19" s="26">
        <v>18.827999999999999</v>
      </c>
      <c r="J19" s="26">
        <v>17.718</v>
      </c>
      <c r="K19" s="26">
        <v>24.466999999999999</v>
      </c>
      <c r="L19" s="26">
        <v>12.4</v>
      </c>
      <c r="M19" s="26">
        <v>11.1</v>
      </c>
      <c r="N19" s="26">
        <v>6.7</v>
      </c>
      <c r="O19" s="26">
        <v>125.4</v>
      </c>
      <c r="P19" s="26">
        <v>2</v>
      </c>
      <c r="Q19" s="26">
        <v>148.9</v>
      </c>
      <c r="R19" s="26">
        <v>124.1</v>
      </c>
      <c r="S19" s="26">
        <v>45.9</v>
      </c>
      <c r="T19" s="26">
        <v>335</v>
      </c>
      <c r="U19" s="26">
        <v>85.3</v>
      </c>
      <c r="V19" s="26">
        <v>25.942</v>
      </c>
      <c r="W19" s="26">
        <v>154.9</v>
      </c>
      <c r="X19" s="26">
        <v>180.1</v>
      </c>
      <c r="Y19" s="26">
        <v>607.6</v>
      </c>
      <c r="Z19" s="26">
        <v>956.6</v>
      </c>
      <c r="AA19" s="26">
        <v>124.8</v>
      </c>
      <c r="AB19" s="26">
        <v>20.100000000000001</v>
      </c>
      <c r="AC19" s="26">
        <v>39.299999999999997</v>
      </c>
      <c r="AD19" s="26">
        <v>83.6</v>
      </c>
      <c r="AE19" s="26">
        <v>100.7</v>
      </c>
      <c r="AF19" s="26">
        <v>34.1</v>
      </c>
      <c r="AG19" s="26">
        <v>24.1</v>
      </c>
      <c r="AH19" s="26">
        <v>104</v>
      </c>
      <c r="AI19" s="26">
        <v>6.6</v>
      </c>
      <c r="AJ19" s="26">
        <v>1.6</v>
      </c>
      <c r="AK19" s="26">
        <v>24.7</v>
      </c>
      <c r="AL19" s="26">
        <v>210.1</v>
      </c>
      <c r="AO19" s="26">
        <v>8572</v>
      </c>
      <c r="AP19" s="26">
        <v>2.8</v>
      </c>
      <c r="AQ19" s="26">
        <v>0.1</v>
      </c>
      <c r="AR19" s="26">
        <v>2.9</v>
      </c>
      <c r="BL19" s="26">
        <v>48.56666666666667</v>
      </c>
      <c r="BM19" s="26">
        <v>48.766666666666673</v>
      </c>
      <c r="BN19" s="26">
        <v>5677.5</v>
      </c>
      <c r="BO19" s="26">
        <v>1526.2</v>
      </c>
      <c r="BP19" s="26">
        <v>1</v>
      </c>
      <c r="BQ19" s="26">
        <v>3018</v>
      </c>
      <c r="BR19" s="26">
        <v>8346.3333333333339</v>
      </c>
      <c r="BS19" s="26">
        <v>33400.666666666657</v>
      </c>
    </row>
    <row r="20" spans="1:71">
      <c r="A20" s="55">
        <v>27302</v>
      </c>
      <c r="B20" s="26">
        <v>1560</v>
      </c>
      <c r="C20" s="26">
        <v>5638.4</v>
      </c>
      <c r="D20" s="26">
        <v>27.658999999999999</v>
      </c>
      <c r="E20" s="26">
        <v>949.3</v>
      </c>
      <c r="F20" s="26">
        <v>3563.3</v>
      </c>
      <c r="G20" s="26">
        <v>26.638999999999999</v>
      </c>
      <c r="H20" s="26">
        <v>26.239000000000001</v>
      </c>
      <c r="I20" s="26">
        <v>19.515000000000001</v>
      </c>
      <c r="J20" s="26">
        <v>18.225999999999999</v>
      </c>
      <c r="K20" s="26">
        <v>26.030999999999999</v>
      </c>
      <c r="L20" s="26">
        <v>13.1</v>
      </c>
      <c r="M20" s="26">
        <v>11.4</v>
      </c>
      <c r="N20" s="26">
        <v>6.9</v>
      </c>
      <c r="O20" s="26">
        <v>132.19999999999999</v>
      </c>
      <c r="P20" s="26">
        <v>2.1</v>
      </c>
      <c r="Q20" s="26">
        <v>154.9</v>
      </c>
      <c r="R20" s="26">
        <v>127.1</v>
      </c>
      <c r="S20" s="26">
        <v>50.8</v>
      </c>
      <c r="T20" s="26">
        <v>346.7</v>
      </c>
      <c r="U20" s="26">
        <v>86.9</v>
      </c>
      <c r="V20" s="26">
        <v>26.64</v>
      </c>
      <c r="W20" s="26">
        <v>160.4</v>
      </c>
      <c r="X20" s="26">
        <v>186.3</v>
      </c>
      <c r="Y20" s="26">
        <v>611.5</v>
      </c>
      <c r="Z20" s="26">
        <v>954.8</v>
      </c>
      <c r="AA20" s="26">
        <v>129.69999999999999</v>
      </c>
      <c r="AB20" s="26">
        <v>20.2</v>
      </c>
      <c r="AC20" s="26">
        <v>43.5</v>
      </c>
      <c r="AD20" s="26">
        <v>85.2</v>
      </c>
      <c r="AE20" s="26">
        <v>106.4</v>
      </c>
      <c r="AF20" s="26">
        <v>35.4</v>
      </c>
      <c r="AG20" s="26">
        <v>25.2</v>
      </c>
      <c r="AH20" s="26">
        <v>106.8</v>
      </c>
      <c r="AI20" s="26">
        <v>7.3</v>
      </c>
      <c r="AJ20" s="26">
        <v>1.7</v>
      </c>
      <c r="AK20" s="26">
        <v>25.9</v>
      </c>
      <c r="AL20" s="26">
        <v>217</v>
      </c>
      <c r="AO20" s="26">
        <v>6496</v>
      </c>
      <c r="AP20" s="26">
        <v>3.1</v>
      </c>
      <c r="AQ20" s="26">
        <v>0.1</v>
      </c>
      <c r="AR20" s="26">
        <v>3.2</v>
      </c>
      <c r="BL20" s="26">
        <v>49.93333333333333</v>
      </c>
      <c r="BM20" s="26">
        <v>50.233333333333341</v>
      </c>
      <c r="BN20" s="26">
        <v>5726.2</v>
      </c>
      <c r="BO20" s="26">
        <v>1584.3</v>
      </c>
      <c r="BP20" s="26">
        <v>1</v>
      </c>
      <c r="BQ20" s="26">
        <v>3048.3333333333339</v>
      </c>
      <c r="BR20" s="26">
        <v>8424.6666666666661</v>
      </c>
      <c r="BS20" s="26">
        <v>33701.666666666657</v>
      </c>
    </row>
    <row r="21" spans="1:71">
      <c r="A21" s="55">
        <v>27394</v>
      </c>
      <c r="B21" s="26">
        <v>1599.7</v>
      </c>
      <c r="C21" s="26">
        <v>5616.5</v>
      </c>
      <c r="D21" s="26">
        <v>28.498000000000001</v>
      </c>
      <c r="E21" s="26">
        <v>959.1</v>
      </c>
      <c r="F21" s="26">
        <v>3511.2</v>
      </c>
      <c r="G21" s="26">
        <v>27.315999999999999</v>
      </c>
      <c r="H21" s="26">
        <v>27.11</v>
      </c>
      <c r="I21" s="26">
        <v>20.088999999999999</v>
      </c>
      <c r="J21" s="26">
        <v>18.702999999999999</v>
      </c>
      <c r="K21" s="26">
        <v>27.113</v>
      </c>
      <c r="L21" s="26">
        <v>13.8</v>
      </c>
      <c r="M21" s="26">
        <v>12</v>
      </c>
      <c r="N21" s="26">
        <v>8.6</v>
      </c>
      <c r="O21" s="26">
        <v>139.1</v>
      </c>
      <c r="P21" s="26">
        <v>2.2000000000000002</v>
      </c>
      <c r="Q21" s="26">
        <v>157.6</v>
      </c>
      <c r="R21" s="26">
        <v>127.7</v>
      </c>
      <c r="S21" s="26">
        <v>44.6</v>
      </c>
      <c r="T21" s="26">
        <v>359.2</v>
      </c>
      <c r="U21" s="26">
        <v>87.1</v>
      </c>
      <c r="V21" s="26">
        <v>27.315000000000001</v>
      </c>
      <c r="W21" s="26">
        <v>167.4</v>
      </c>
      <c r="X21" s="26">
        <v>191.9</v>
      </c>
      <c r="Y21" s="26">
        <v>617.6</v>
      </c>
      <c r="Z21" s="26">
        <v>955.2</v>
      </c>
      <c r="AA21" s="26">
        <v>132</v>
      </c>
      <c r="AB21" s="26">
        <v>20.2</v>
      </c>
      <c r="AC21" s="26">
        <v>38.1</v>
      </c>
      <c r="AD21" s="26">
        <v>85.4</v>
      </c>
      <c r="AE21" s="26">
        <v>112</v>
      </c>
      <c r="AF21" s="26">
        <v>36.799999999999997</v>
      </c>
      <c r="AG21" s="26">
        <v>25.6</v>
      </c>
      <c r="AH21" s="26">
        <v>107.5</v>
      </c>
      <c r="AI21" s="26">
        <v>6.5</v>
      </c>
      <c r="AJ21" s="26">
        <v>1.7</v>
      </c>
      <c r="AK21" s="26">
        <v>27.1</v>
      </c>
      <c r="AL21" s="26">
        <v>223.7</v>
      </c>
      <c r="AO21" s="26">
        <v>7840</v>
      </c>
      <c r="AP21" s="26">
        <v>3.5</v>
      </c>
      <c r="AQ21" s="26">
        <v>0.1</v>
      </c>
      <c r="AR21" s="26">
        <v>3.6</v>
      </c>
      <c r="BL21" s="26">
        <v>51.466666666666669</v>
      </c>
      <c r="BM21" s="26">
        <v>51.766666666666673</v>
      </c>
      <c r="BN21" s="26">
        <v>5774.2</v>
      </c>
      <c r="BO21" s="26">
        <v>1644.6</v>
      </c>
      <c r="BP21" s="26">
        <v>1</v>
      </c>
      <c r="BQ21" s="26">
        <v>3099</v>
      </c>
      <c r="BR21" s="26">
        <v>8551.3333333333339</v>
      </c>
      <c r="BS21" s="26">
        <v>33884</v>
      </c>
    </row>
    <row r="22" spans="1:71">
      <c r="A22" s="55">
        <v>27484</v>
      </c>
      <c r="B22" s="26">
        <v>1616.1</v>
      </c>
      <c r="C22" s="26">
        <v>5548.2</v>
      </c>
      <c r="D22" s="26">
        <v>29.141999999999999</v>
      </c>
      <c r="E22" s="26">
        <v>985.2</v>
      </c>
      <c r="F22" s="26">
        <v>3540.6</v>
      </c>
      <c r="G22" s="26">
        <v>27.83</v>
      </c>
      <c r="H22" s="26">
        <v>27.603000000000002</v>
      </c>
      <c r="I22" s="26">
        <v>20.492999999999999</v>
      </c>
      <c r="J22" s="26">
        <v>19.077000000000002</v>
      </c>
      <c r="K22" s="26">
        <v>27.689</v>
      </c>
      <c r="L22" s="26">
        <v>14.5</v>
      </c>
      <c r="M22" s="26">
        <v>13.3</v>
      </c>
      <c r="N22" s="26">
        <v>14.2</v>
      </c>
      <c r="O22" s="26">
        <v>149.80000000000001</v>
      </c>
      <c r="P22" s="26">
        <v>2.2999999999999998</v>
      </c>
      <c r="Q22" s="26">
        <v>158</v>
      </c>
      <c r="R22" s="26">
        <v>128.80000000000001</v>
      </c>
      <c r="S22" s="26">
        <v>37.6</v>
      </c>
      <c r="T22" s="26">
        <v>370.1</v>
      </c>
      <c r="U22" s="26">
        <v>88.2</v>
      </c>
      <c r="V22" s="26">
        <v>27.824999999999999</v>
      </c>
      <c r="W22" s="26">
        <v>168.6</v>
      </c>
      <c r="X22" s="26">
        <v>201.5</v>
      </c>
      <c r="Y22" s="26">
        <v>611.1</v>
      </c>
      <c r="Z22" s="26">
        <v>983.4</v>
      </c>
      <c r="AA22" s="26">
        <v>132.30000000000001</v>
      </c>
      <c r="AB22" s="26">
        <v>19.8</v>
      </c>
      <c r="AC22" s="26">
        <v>31.5</v>
      </c>
      <c r="AD22" s="26">
        <v>86.5</v>
      </c>
      <c r="AE22" s="26">
        <v>120.5</v>
      </c>
      <c r="AF22" s="26">
        <v>39.299999999999997</v>
      </c>
      <c r="AG22" s="26">
        <v>25.7</v>
      </c>
      <c r="AH22" s="26">
        <v>109</v>
      </c>
      <c r="AI22" s="26">
        <v>6.1</v>
      </c>
      <c r="AJ22" s="26">
        <v>1.8</v>
      </c>
      <c r="AK22" s="26">
        <v>29.2</v>
      </c>
      <c r="AL22" s="26">
        <v>235.9</v>
      </c>
      <c r="AO22" s="26">
        <v>8652</v>
      </c>
      <c r="AP22" s="26">
        <v>4.0999999999999996</v>
      </c>
      <c r="AQ22" s="26">
        <v>0.1</v>
      </c>
      <c r="AR22" s="26">
        <v>4.2</v>
      </c>
      <c r="BL22" s="26">
        <v>52.566666666666663</v>
      </c>
      <c r="BM22" s="26">
        <v>52.866666666666667</v>
      </c>
      <c r="BN22" s="26">
        <v>5820.9</v>
      </c>
      <c r="BO22" s="26">
        <v>1695.5</v>
      </c>
      <c r="BP22" s="26">
        <v>1</v>
      </c>
      <c r="BQ22" s="26">
        <v>3161.666666666667</v>
      </c>
      <c r="BR22" s="26">
        <v>8673</v>
      </c>
      <c r="BS22" s="26">
        <v>37820.333333333343</v>
      </c>
    </row>
    <row r="23" spans="1:71">
      <c r="A23" s="55">
        <v>27575</v>
      </c>
      <c r="B23" s="26">
        <v>1651.9</v>
      </c>
      <c r="C23" s="26">
        <v>5587.8</v>
      </c>
      <c r="D23" s="26">
        <v>29.565000000000001</v>
      </c>
      <c r="E23" s="26">
        <v>1013.6</v>
      </c>
      <c r="F23" s="26">
        <v>3598.9</v>
      </c>
      <c r="G23" s="26">
        <v>28.172000000000001</v>
      </c>
      <c r="H23" s="26">
        <v>28.003</v>
      </c>
      <c r="I23" s="26">
        <v>20.899000000000001</v>
      </c>
      <c r="J23" s="26">
        <v>19.536000000000001</v>
      </c>
      <c r="K23" s="26">
        <v>27.826000000000001</v>
      </c>
      <c r="L23" s="26">
        <v>15.2</v>
      </c>
      <c r="M23" s="26">
        <v>13.8</v>
      </c>
      <c r="N23" s="26">
        <v>19.399999999999999</v>
      </c>
      <c r="O23" s="26">
        <v>164.6</v>
      </c>
      <c r="P23" s="26">
        <v>2.4</v>
      </c>
      <c r="Q23" s="26">
        <v>121.1</v>
      </c>
      <c r="R23" s="26">
        <v>133</v>
      </c>
      <c r="S23" s="26">
        <v>40.799999999999997</v>
      </c>
      <c r="T23" s="26">
        <v>373.4</v>
      </c>
      <c r="U23" s="26">
        <v>88.6</v>
      </c>
      <c r="V23" s="26">
        <v>28.164000000000001</v>
      </c>
      <c r="W23" s="26">
        <v>169.4</v>
      </c>
      <c r="X23" s="26">
        <v>204</v>
      </c>
      <c r="Y23" s="26">
        <v>605</v>
      </c>
      <c r="Z23" s="26">
        <v>976.4</v>
      </c>
      <c r="AA23" s="26">
        <v>94.6</v>
      </c>
      <c r="AB23" s="26">
        <v>21.3</v>
      </c>
      <c r="AC23" s="26">
        <v>34.200000000000003</v>
      </c>
      <c r="AD23" s="26">
        <v>86.8</v>
      </c>
      <c r="AE23" s="26">
        <v>134.19999999999999</v>
      </c>
      <c r="AF23" s="26">
        <v>44.3</v>
      </c>
      <c r="AG23" s="26">
        <v>26.5</v>
      </c>
      <c r="AH23" s="26">
        <v>111.7</v>
      </c>
      <c r="AI23" s="26">
        <v>6.6</v>
      </c>
      <c r="AJ23" s="26">
        <v>1.8</v>
      </c>
      <c r="AK23" s="26">
        <v>30.5</v>
      </c>
      <c r="AL23" s="26">
        <v>240.3</v>
      </c>
      <c r="AO23" s="26">
        <v>7804</v>
      </c>
      <c r="AP23" s="26">
        <v>4.0999999999999996</v>
      </c>
      <c r="AQ23" s="26">
        <v>0.2</v>
      </c>
      <c r="AR23" s="26">
        <v>4.3</v>
      </c>
      <c r="BL23" s="26">
        <v>53.2</v>
      </c>
      <c r="BM23" s="26">
        <v>53.5</v>
      </c>
      <c r="BN23" s="26">
        <v>5866.7</v>
      </c>
      <c r="BO23" s="26">
        <v>1734.3</v>
      </c>
      <c r="BP23" s="26">
        <v>-1</v>
      </c>
      <c r="BQ23" s="26">
        <v>3177.3333333333339</v>
      </c>
      <c r="BR23" s="26">
        <v>8751.3333333333339</v>
      </c>
      <c r="BS23" s="26">
        <v>35429.666666666657</v>
      </c>
    </row>
    <row r="24" spans="1:71">
      <c r="A24" s="55">
        <v>27667</v>
      </c>
      <c r="B24" s="26">
        <v>1709.8</v>
      </c>
      <c r="C24" s="26">
        <v>5683.4</v>
      </c>
      <c r="D24" s="26">
        <v>30.087</v>
      </c>
      <c r="E24" s="26">
        <v>1047.2</v>
      </c>
      <c r="F24" s="26">
        <v>3650</v>
      </c>
      <c r="G24" s="26">
        <v>28.699000000000002</v>
      </c>
      <c r="H24" s="26">
        <v>28.38</v>
      </c>
      <c r="I24" s="26">
        <v>21.166</v>
      </c>
      <c r="J24" s="26">
        <v>19.837</v>
      </c>
      <c r="K24" s="26">
        <v>27.914000000000001</v>
      </c>
      <c r="L24" s="26">
        <v>16</v>
      </c>
      <c r="M24" s="26">
        <v>13.8</v>
      </c>
      <c r="N24" s="26">
        <v>20.2</v>
      </c>
      <c r="O24" s="26">
        <v>167.7</v>
      </c>
      <c r="P24" s="26">
        <v>2.6</v>
      </c>
      <c r="Q24" s="26">
        <v>152.80000000000001</v>
      </c>
      <c r="R24" s="26">
        <v>138.19999999999999</v>
      </c>
      <c r="S24" s="26">
        <v>51.4</v>
      </c>
      <c r="T24" s="26">
        <v>385.4</v>
      </c>
      <c r="U24" s="26">
        <v>90.3</v>
      </c>
      <c r="V24" s="26">
        <v>28.69</v>
      </c>
      <c r="W24" s="26">
        <v>176.1</v>
      </c>
      <c r="X24" s="26">
        <v>209.3</v>
      </c>
      <c r="Y24" s="26">
        <v>620.6</v>
      </c>
      <c r="Z24" s="26">
        <v>988.9</v>
      </c>
      <c r="AA24" s="26">
        <v>125.7</v>
      </c>
      <c r="AB24" s="26">
        <v>23.3</v>
      </c>
      <c r="AC24" s="26">
        <v>43.2</v>
      </c>
      <c r="AD24" s="26">
        <v>88.5</v>
      </c>
      <c r="AE24" s="26">
        <v>136.80000000000001</v>
      </c>
      <c r="AF24" s="26">
        <v>45</v>
      </c>
      <c r="AG24" s="26">
        <v>27.2</v>
      </c>
      <c r="AH24" s="26">
        <v>114.9</v>
      </c>
      <c r="AI24" s="26">
        <v>8.1999999999999993</v>
      </c>
      <c r="AJ24" s="26">
        <v>1.9</v>
      </c>
      <c r="AK24" s="26">
        <v>31</v>
      </c>
      <c r="AL24" s="26">
        <v>246.6</v>
      </c>
      <c r="AO24" s="26">
        <v>10772</v>
      </c>
      <c r="AP24" s="26">
        <v>4.4000000000000004</v>
      </c>
      <c r="AQ24" s="26">
        <v>0.2</v>
      </c>
      <c r="AR24" s="26">
        <v>4.5999999999999996</v>
      </c>
      <c r="BL24" s="26">
        <v>54.266666666666673</v>
      </c>
      <c r="BM24" s="26">
        <v>54.566666666666663</v>
      </c>
      <c r="BN24" s="26">
        <v>5912</v>
      </c>
      <c r="BO24" s="26">
        <v>1778.6</v>
      </c>
      <c r="BP24" s="26">
        <v>-1</v>
      </c>
      <c r="BQ24" s="26">
        <v>3178</v>
      </c>
      <c r="BR24" s="26">
        <v>8786.3333333333339</v>
      </c>
      <c r="BS24" s="26">
        <v>36988.333333333343</v>
      </c>
    </row>
    <row r="25" spans="1:71">
      <c r="A25" s="55">
        <v>27759</v>
      </c>
      <c r="B25" s="26">
        <v>1761.8</v>
      </c>
      <c r="C25" s="26">
        <v>5760</v>
      </c>
      <c r="D25" s="26">
        <v>30.59</v>
      </c>
      <c r="E25" s="26">
        <v>1076.2</v>
      </c>
      <c r="F25" s="26">
        <v>3689.3</v>
      </c>
      <c r="G25" s="26">
        <v>29.18</v>
      </c>
      <c r="H25" s="26">
        <v>29.032</v>
      </c>
      <c r="I25" s="26">
        <v>21.437000000000001</v>
      </c>
      <c r="J25" s="26">
        <v>20.126000000000001</v>
      </c>
      <c r="K25" s="26">
        <v>28.084</v>
      </c>
      <c r="L25" s="26">
        <v>16.8</v>
      </c>
      <c r="M25" s="26">
        <v>14.6</v>
      </c>
      <c r="N25" s="26">
        <v>18.8</v>
      </c>
      <c r="O25" s="26">
        <v>170.4</v>
      </c>
      <c r="P25" s="26">
        <v>2.7</v>
      </c>
      <c r="Q25" s="26">
        <v>158.5</v>
      </c>
      <c r="R25" s="26">
        <v>141.1</v>
      </c>
      <c r="S25" s="26">
        <v>52.3</v>
      </c>
      <c r="T25" s="26">
        <v>395.6</v>
      </c>
      <c r="U25" s="26">
        <v>92.4</v>
      </c>
      <c r="V25" s="26">
        <v>29.172000000000001</v>
      </c>
      <c r="W25" s="26">
        <v>180.8</v>
      </c>
      <c r="X25" s="26">
        <v>214.8</v>
      </c>
      <c r="Y25" s="26">
        <v>622.70000000000005</v>
      </c>
      <c r="Z25" s="26">
        <v>1002.1</v>
      </c>
      <c r="AA25" s="26">
        <v>130.4</v>
      </c>
      <c r="AB25" s="26">
        <v>23.9</v>
      </c>
      <c r="AC25" s="26">
        <v>43.9</v>
      </c>
      <c r="AD25" s="26">
        <v>90.5</v>
      </c>
      <c r="AE25" s="26">
        <v>137.80000000000001</v>
      </c>
      <c r="AF25" s="26">
        <v>45.9</v>
      </c>
      <c r="AG25" s="26">
        <v>28.2</v>
      </c>
      <c r="AH25" s="26">
        <v>117.3</v>
      </c>
      <c r="AI25" s="26">
        <v>8.4</v>
      </c>
      <c r="AJ25" s="26">
        <v>2</v>
      </c>
      <c r="AK25" s="26">
        <v>32.6</v>
      </c>
      <c r="AL25" s="26">
        <v>254.2</v>
      </c>
      <c r="AO25" s="26">
        <v>10424</v>
      </c>
      <c r="AP25" s="26">
        <v>4.8</v>
      </c>
      <c r="AQ25" s="26">
        <v>0.2</v>
      </c>
      <c r="AR25" s="26">
        <v>4.9000000000000004</v>
      </c>
      <c r="BL25" s="26">
        <v>55.266666666666673</v>
      </c>
      <c r="BM25" s="26">
        <v>55.56666666666667</v>
      </c>
      <c r="BN25" s="26">
        <v>5957.4</v>
      </c>
      <c r="BO25" s="26">
        <v>1822.2</v>
      </c>
      <c r="BP25" s="26">
        <v>-1</v>
      </c>
      <c r="BQ25" s="26">
        <v>3197.3333333333339</v>
      </c>
      <c r="BR25" s="26">
        <v>8824.6666666666661</v>
      </c>
      <c r="BS25" s="26">
        <v>39554</v>
      </c>
    </row>
    <row r="26" spans="1:71">
      <c r="A26" s="55">
        <v>27850</v>
      </c>
      <c r="B26" s="26">
        <v>1820.5</v>
      </c>
      <c r="C26" s="26">
        <v>5889.5</v>
      </c>
      <c r="D26" s="26">
        <v>30.925000000000001</v>
      </c>
      <c r="E26" s="26">
        <v>1109.9000000000001</v>
      </c>
      <c r="F26" s="26">
        <v>3763</v>
      </c>
      <c r="G26" s="26">
        <v>29.501999999999999</v>
      </c>
      <c r="H26" s="26">
        <v>29.456</v>
      </c>
      <c r="I26" s="26">
        <v>21.678999999999998</v>
      </c>
      <c r="J26" s="26">
        <v>20.388000000000002</v>
      </c>
      <c r="K26" s="26">
        <v>28.222000000000001</v>
      </c>
      <c r="L26" s="26">
        <v>17.600000000000001</v>
      </c>
      <c r="M26" s="26">
        <v>15.2</v>
      </c>
      <c r="N26" s="26">
        <v>17.7</v>
      </c>
      <c r="O26" s="26">
        <v>174.7</v>
      </c>
      <c r="P26" s="26">
        <v>2.8</v>
      </c>
      <c r="Q26" s="26">
        <v>162.5</v>
      </c>
      <c r="R26" s="26">
        <v>141.69999999999999</v>
      </c>
      <c r="S26" s="26">
        <v>59.6</v>
      </c>
      <c r="T26" s="26">
        <v>401.3</v>
      </c>
      <c r="U26" s="26">
        <v>99.6</v>
      </c>
      <c r="V26" s="26">
        <v>29.495000000000001</v>
      </c>
      <c r="W26" s="26">
        <v>181.6</v>
      </c>
      <c r="X26" s="26">
        <v>219.7</v>
      </c>
      <c r="Y26" s="26">
        <v>616.5</v>
      </c>
      <c r="Z26" s="26">
        <v>1013.3</v>
      </c>
      <c r="AA26" s="26">
        <v>133</v>
      </c>
      <c r="AB26" s="26">
        <v>20.8</v>
      </c>
      <c r="AC26" s="26">
        <v>49.9</v>
      </c>
      <c r="AD26" s="26">
        <v>97.5</v>
      </c>
      <c r="AE26" s="26">
        <v>141.30000000000001</v>
      </c>
      <c r="AF26" s="26">
        <v>47</v>
      </c>
      <c r="AG26" s="26">
        <v>29.5</v>
      </c>
      <c r="AH26" s="26">
        <v>120.9</v>
      </c>
      <c r="AI26" s="26">
        <v>9.6999999999999993</v>
      </c>
      <c r="AJ26" s="26">
        <v>2</v>
      </c>
      <c r="AK26" s="26">
        <v>33.4</v>
      </c>
      <c r="AL26" s="26">
        <v>260.3</v>
      </c>
      <c r="AO26" s="26">
        <v>10012</v>
      </c>
      <c r="AP26" s="26">
        <v>5</v>
      </c>
      <c r="AQ26" s="26">
        <v>0.2</v>
      </c>
      <c r="AR26" s="26">
        <v>5.0999999999999996</v>
      </c>
      <c r="BL26" s="26">
        <v>55.9</v>
      </c>
      <c r="BM26" s="26">
        <v>56.233333333333327</v>
      </c>
      <c r="BN26" s="26">
        <v>6002.8</v>
      </c>
      <c r="BO26" s="26">
        <v>1855.5</v>
      </c>
      <c r="BP26" s="26">
        <v>-1</v>
      </c>
      <c r="BQ26" s="26">
        <v>3214.3333333333339</v>
      </c>
      <c r="BR26" s="26">
        <v>8883</v>
      </c>
      <c r="BS26" s="26">
        <v>42554</v>
      </c>
    </row>
    <row r="27" spans="1:71">
      <c r="A27" s="55">
        <v>27941</v>
      </c>
      <c r="B27" s="26">
        <v>1852.3</v>
      </c>
      <c r="C27" s="26">
        <v>5932.7</v>
      </c>
      <c r="D27" s="26">
        <v>31.233000000000001</v>
      </c>
      <c r="E27" s="26">
        <v>1129.5</v>
      </c>
      <c r="F27" s="26">
        <v>3797.7</v>
      </c>
      <c r="G27" s="26">
        <v>29.748999999999999</v>
      </c>
      <c r="H27" s="26">
        <v>29.702999999999999</v>
      </c>
      <c r="I27" s="26">
        <v>21.942</v>
      </c>
      <c r="J27" s="26">
        <v>20.654</v>
      </c>
      <c r="K27" s="26">
        <v>28.463999999999999</v>
      </c>
      <c r="L27" s="26">
        <v>18.399999999999999</v>
      </c>
      <c r="M27" s="26">
        <v>14.9</v>
      </c>
      <c r="N27" s="26">
        <v>16.3</v>
      </c>
      <c r="O27" s="26">
        <v>173.1</v>
      </c>
      <c r="P27" s="26">
        <v>3</v>
      </c>
      <c r="Q27" s="26">
        <v>169.3</v>
      </c>
      <c r="R27" s="26">
        <v>144.9</v>
      </c>
      <c r="S27" s="26">
        <v>58.6</v>
      </c>
      <c r="T27" s="26">
        <v>401</v>
      </c>
      <c r="U27" s="26">
        <v>101.1</v>
      </c>
      <c r="V27" s="26">
        <v>29.742999999999999</v>
      </c>
      <c r="W27" s="26">
        <v>182.5</v>
      </c>
      <c r="X27" s="26">
        <v>218.5</v>
      </c>
      <c r="Y27" s="26">
        <v>614.4</v>
      </c>
      <c r="Z27" s="26">
        <v>995.6</v>
      </c>
      <c r="AA27" s="26">
        <v>138.69999999999999</v>
      </c>
      <c r="AB27" s="26">
        <v>21.3</v>
      </c>
      <c r="AC27" s="26">
        <v>49</v>
      </c>
      <c r="AD27" s="26">
        <v>98.9</v>
      </c>
      <c r="AE27" s="26">
        <v>139.6</v>
      </c>
      <c r="AF27" s="26">
        <v>47.8</v>
      </c>
      <c r="AG27" s="26">
        <v>30.6</v>
      </c>
      <c r="AH27" s="26">
        <v>123.5</v>
      </c>
      <c r="AI27" s="26">
        <v>9.6</v>
      </c>
      <c r="AJ27" s="26">
        <v>2.1</v>
      </c>
      <c r="AK27" s="26">
        <v>33.4</v>
      </c>
      <c r="AL27" s="26">
        <v>259.39999999999998</v>
      </c>
      <c r="AO27" s="26">
        <v>9760</v>
      </c>
      <c r="AP27" s="26">
        <v>4.7</v>
      </c>
      <c r="AQ27" s="26">
        <v>0.2</v>
      </c>
      <c r="AR27" s="26">
        <v>4.8</v>
      </c>
      <c r="BL27" s="26">
        <v>56.4</v>
      </c>
      <c r="BM27" s="26">
        <v>56.733333333333327</v>
      </c>
      <c r="BN27" s="26">
        <v>6048.9</v>
      </c>
      <c r="BO27" s="26">
        <v>1888.6</v>
      </c>
      <c r="BP27" s="26">
        <v>-1</v>
      </c>
      <c r="BQ27" s="26">
        <v>3241.666666666667</v>
      </c>
      <c r="BR27" s="26">
        <v>8868.6666666666661</v>
      </c>
      <c r="BS27" s="26">
        <v>38830.666666666657</v>
      </c>
    </row>
    <row r="28" spans="1:71">
      <c r="A28" s="55">
        <v>28033</v>
      </c>
      <c r="B28" s="26">
        <v>1886.6</v>
      </c>
      <c r="C28" s="26">
        <v>5965.3</v>
      </c>
      <c r="D28" s="26">
        <v>31.632000000000001</v>
      </c>
      <c r="E28" s="26">
        <v>1158.8</v>
      </c>
      <c r="F28" s="26">
        <v>3837.7</v>
      </c>
      <c r="G28" s="26">
        <v>30.2</v>
      </c>
      <c r="H28" s="26">
        <v>30.042999999999999</v>
      </c>
      <c r="I28" s="26">
        <v>22.105</v>
      </c>
      <c r="J28" s="26">
        <v>20.834</v>
      </c>
      <c r="K28" s="26">
        <v>28.526</v>
      </c>
      <c r="L28" s="26">
        <v>19.2</v>
      </c>
      <c r="M28" s="26">
        <v>15.9</v>
      </c>
      <c r="N28" s="26">
        <v>16.100000000000001</v>
      </c>
      <c r="O28" s="26">
        <v>180.1</v>
      </c>
      <c r="P28" s="26">
        <v>3.1</v>
      </c>
      <c r="Q28" s="26">
        <v>176.1</v>
      </c>
      <c r="R28" s="26">
        <v>147.69999999999999</v>
      </c>
      <c r="S28" s="26">
        <v>58.1</v>
      </c>
      <c r="T28" s="26">
        <v>403.5</v>
      </c>
      <c r="U28" s="26">
        <v>102.8</v>
      </c>
      <c r="V28" s="26">
        <v>30.196000000000002</v>
      </c>
      <c r="W28" s="26">
        <v>184.9</v>
      </c>
      <c r="X28" s="26">
        <v>218.6</v>
      </c>
      <c r="Y28" s="26">
        <v>615.29999999999995</v>
      </c>
      <c r="Z28" s="26">
        <v>989</v>
      </c>
      <c r="AA28" s="26">
        <v>144.5</v>
      </c>
      <c r="AB28" s="26">
        <v>21.7</v>
      </c>
      <c r="AC28" s="26">
        <v>48.5</v>
      </c>
      <c r="AD28" s="26">
        <v>100.6</v>
      </c>
      <c r="AE28" s="26">
        <v>145.4</v>
      </c>
      <c r="AF28" s="26">
        <v>48.7</v>
      </c>
      <c r="AG28" s="26">
        <v>31.6</v>
      </c>
      <c r="AH28" s="26">
        <v>126</v>
      </c>
      <c r="AI28" s="26">
        <v>9.6999999999999993</v>
      </c>
      <c r="AJ28" s="26">
        <v>2.2000000000000002</v>
      </c>
      <c r="AK28" s="26">
        <v>34.700000000000003</v>
      </c>
      <c r="AL28" s="26">
        <v>261.3</v>
      </c>
      <c r="AO28" s="26">
        <v>10592</v>
      </c>
      <c r="AP28" s="26">
        <v>4.9000000000000004</v>
      </c>
      <c r="AQ28" s="26">
        <v>0.2</v>
      </c>
      <c r="AR28" s="26">
        <v>5.0999999999999996</v>
      </c>
      <c r="BL28" s="26">
        <v>57.3</v>
      </c>
      <c r="BM28" s="26">
        <v>57.6</v>
      </c>
      <c r="BN28" s="26">
        <v>6096.4</v>
      </c>
      <c r="BO28" s="26">
        <v>1928.1</v>
      </c>
      <c r="BP28" s="26">
        <v>-1</v>
      </c>
      <c r="BQ28" s="26">
        <v>3290.666666666667</v>
      </c>
      <c r="BR28" s="26">
        <v>8845</v>
      </c>
      <c r="BS28" s="26">
        <v>36130</v>
      </c>
    </row>
    <row r="29" spans="1:71">
      <c r="A29" s="55">
        <v>28125</v>
      </c>
      <c r="B29" s="26">
        <v>1934.3</v>
      </c>
      <c r="C29" s="26">
        <v>6008.5</v>
      </c>
      <c r="D29" s="26">
        <v>32.168999999999997</v>
      </c>
      <c r="E29" s="26">
        <v>1192.4000000000001</v>
      </c>
      <c r="F29" s="26">
        <v>3887.4</v>
      </c>
      <c r="G29" s="26">
        <v>30.678000000000001</v>
      </c>
      <c r="H29" s="26">
        <v>30.846</v>
      </c>
      <c r="I29" s="26">
        <v>22.369</v>
      </c>
      <c r="J29" s="26">
        <v>21.11</v>
      </c>
      <c r="K29" s="26">
        <v>28.72</v>
      </c>
      <c r="L29" s="26">
        <v>20</v>
      </c>
      <c r="M29" s="26">
        <v>15.9</v>
      </c>
      <c r="N29" s="26">
        <v>15.5</v>
      </c>
      <c r="O29" s="26">
        <v>182.7</v>
      </c>
      <c r="P29" s="26">
        <v>3.2</v>
      </c>
      <c r="Q29" s="26">
        <v>182.7</v>
      </c>
      <c r="R29" s="26">
        <v>151.30000000000001</v>
      </c>
      <c r="S29" s="26">
        <v>57.1</v>
      </c>
      <c r="T29" s="26">
        <v>410.8</v>
      </c>
      <c r="U29" s="26">
        <v>104.4</v>
      </c>
      <c r="V29" s="26">
        <v>30.672999999999998</v>
      </c>
      <c r="W29" s="26">
        <v>190.2</v>
      </c>
      <c r="X29" s="26">
        <v>220.6</v>
      </c>
      <c r="Y29" s="26">
        <v>616.70000000000005</v>
      </c>
      <c r="Z29" s="26">
        <v>986</v>
      </c>
      <c r="AA29" s="26">
        <v>150.1</v>
      </c>
      <c r="AB29" s="26">
        <v>21.7</v>
      </c>
      <c r="AC29" s="26">
        <v>47.5</v>
      </c>
      <c r="AD29" s="26">
        <v>102.1</v>
      </c>
      <c r="AE29" s="26">
        <v>147.69999999999999</v>
      </c>
      <c r="AF29" s="26">
        <v>52.7</v>
      </c>
      <c r="AG29" s="26">
        <v>32.6</v>
      </c>
      <c r="AH29" s="26">
        <v>129.6</v>
      </c>
      <c r="AI29" s="26">
        <v>9.6</v>
      </c>
      <c r="AJ29" s="26">
        <v>2.2999999999999998</v>
      </c>
      <c r="AK29" s="26">
        <v>35</v>
      </c>
      <c r="AL29" s="26">
        <v>263.89999999999998</v>
      </c>
      <c r="AO29" s="26">
        <v>11108</v>
      </c>
      <c r="AP29" s="26">
        <v>5.3</v>
      </c>
      <c r="AQ29" s="26">
        <v>0.2</v>
      </c>
      <c r="AR29" s="26">
        <v>5.5</v>
      </c>
      <c r="BL29" s="26">
        <v>58.133333333333333</v>
      </c>
      <c r="BM29" s="26">
        <v>58.433333333333337</v>
      </c>
      <c r="BN29" s="26">
        <v>6144.7</v>
      </c>
      <c r="BO29" s="26">
        <v>1978.1</v>
      </c>
      <c r="BP29" s="26">
        <v>-1</v>
      </c>
      <c r="BQ29" s="26">
        <v>3342</v>
      </c>
      <c r="BR29" s="26">
        <v>8861</v>
      </c>
      <c r="BS29" s="26">
        <v>34359.666666666657</v>
      </c>
    </row>
    <row r="30" spans="1:71">
      <c r="A30" s="55">
        <v>28215</v>
      </c>
      <c r="B30" s="26">
        <v>1988.6</v>
      </c>
      <c r="C30" s="26">
        <v>6079.5</v>
      </c>
      <c r="D30" s="26">
        <v>32.689</v>
      </c>
      <c r="E30" s="26">
        <v>1228.2</v>
      </c>
      <c r="F30" s="26">
        <v>3933.3</v>
      </c>
      <c r="G30" s="26">
        <v>31.231000000000002</v>
      </c>
      <c r="H30" s="26">
        <v>31.283000000000001</v>
      </c>
      <c r="I30" s="26">
        <v>22.791</v>
      </c>
      <c r="J30" s="26">
        <v>21.538</v>
      </c>
      <c r="K30" s="26">
        <v>29.091999999999999</v>
      </c>
      <c r="L30" s="26">
        <v>20.9</v>
      </c>
      <c r="M30" s="26">
        <v>16.2</v>
      </c>
      <c r="N30" s="26">
        <v>15.5</v>
      </c>
      <c r="O30" s="26">
        <v>185.5</v>
      </c>
      <c r="P30" s="26">
        <v>3.3</v>
      </c>
      <c r="Q30" s="26">
        <v>188.8</v>
      </c>
      <c r="R30" s="26">
        <v>154.80000000000001</v>
      </c>
      <c r="S30" s="26">
        <v>61.5</v>
      </c>
      <c r="T30" s="26">
        <v>421.2</v>
      </c>
      <c r="U30" s="26">
        <v>110</v>
      </c>
      <c r="V30" s="26">
        <v>31.225999999999999</v>
      </c>
      <c r="W30" s="26">
        <v>194.2</v>
      </c>
      <c r="X30" s="26">
        <v>227</v>
      </c>
      <c r="Y30" s="26">
        <v>620.9</v>
      </c>
      <c r="Z30" s="26">
        <v>995.8</v>
      </c>
      <c r="AA30" s="26">
        <v>155.30000000000001</v>
      </c>
      <c r="AB30" s="26">
        <v>22</v>
      </c>
      <c r="AC30" s="26">
        <v>51</v>
      </c>
      <c r="AD30" s="26">
        <v>107.5</v>
      </c>
      <c r="AE30" s="26">
        <v>149.80000000000001</v>
      </c>
      <c r="AF30" s="26">
        <v>50.7</v>
      </c>
      <c r="AG30" s="26">
        <v>33.5</v>
      </c>
      <c r="AH30" s="26">
        <v>132.9</v>
      </c>
      <c r="AI30" s="26">
        <v>10.5</v>
      </c>
      <c r="AJ30" s="26">
        <v>2.5</v>
      </c>
      <c r="AK30" s="26">
        <v>35.700000000000003</v>
      </c>
      <c r="AL30" s="26">
        <v>271.10000000000002</v>
      </c>
      <c r="AO30" s="26">
        <v>10716</v>
      </c>
      <c r="AP30" s="26">
        <v>5.6</v>
      </c>
      <c r="AQ30" s="26">
        <v>0.2</v>
      </c>
      <c r="AR30" s="26">
        <v>5.8</v>
      </c>
      <c r="BL30" s="26">
        <v>59.2</v>
      </c>
      <c r="BM30" s="26">
        <v>59.533333333333331</v>
      </c>
      <c r="BN30" s="26">
        <v>6194.5</v>
      </c>
      <c r="BO30" s="26">
        <v>2026.2</v>
      </c>
      <c r="BP30" s="26">
        <v>-1</v>
      </c>
      <c r="BQ30" s="26">
        <v>3341.3333333333339</v>
      </c>
      <c r="BR30" s="26">
        <v>8860.6666666666661</v>
      </c>
      <c r="BS30" s="26">
        <v>36034</v>
      </c>
    </row>
    <row r="31" spans="1:71">
      <c r="A31" s="55">
        <v>28306</v>
      </c>
      <c r="B31" s="26">
        <v>2055.9</v>
      </c>
      <c r="C31" s="26">
        <v>6197.7</v>
      </c>
      <c r="D31" s="26">
        <v>33.204999999999998</v>
      </c>
      <c r="E31" s="26">
        <v>1256</v>
      </c>
      <c r="F31" s="26">
        <v>3954.6</v>
      </c>
      <c r="G31" s="26">
        <v>31.765999999999998</v>
      </c>
      <c r="H31" s="26">
        <v>31.638999999999999</v>
      </c>
      <c r="I31" s="26">
        <v>23.199000000000002</v>
      </c>
      <c r="J31" s="26">
        <v>21.966000000000001</v>
      </c>
      <c r="K31" s="26">
        <v>29.379000000000001</v>
      </c>
      <c r="L31" s="26">
        <v>21.7</v>
      </c>
      <c r="M31" s="26">
        <v>17.5</v>
      </c>
      <c r="N31" s="26">
        <v>13.3</v>
      </c>
      <c r="O31" s="26">
        <v>186.4</v>
      </c>
      <c r="P31" s="26">
        <v>3.4</v>
      </c>
      <c r="Q31" s="26">
        <v>195.7</v>
      </c>
      <c r="R31" s="26">
        <v>158</v>
      </c>
      <c r="S31" s="26">
        <v>67.099999999999994</v>
      </c>
      <c r="T31" s="26">
        <v>431.4</v>
      </c>
      <c r="U31" s="26">
        <v>112.8</v>
      </c>
      <c r="V31" s="26">
        <v>31.76</v>
      </c>
      <c r="W31" s="26">
        <v>198.9</v>
      </c>
      <c r="X31" s="26">
        <v>232.4</v>
      </c>
      <c r="Y31" s="26">
        <v>628.79999999999995</v>
      </c>
      <c r="Z31" s="26">
        <v>1001.9</v>
      </c>
      <c r="AA31" s="26">
        <v>161</v>
      </c>
      <c r="AB31" s="26">
        <v>22.5</v>
      </c>
      <c r="AC31" s="26">
        <v>55.7</v>
      </c>
      <c r="AD31" s="26">
        <v>110.1</v>
      </c>
      <c r="AE31" s="26">
        <v>148.9</v>
      </c>
      <c r="AF31" s="26">
        <v>53.7</v>
      </c>
      <c r="AG31" s="26">
        <v>34.700000000000003</v>
      </c>
      <c r="AH31" s="26">
        <v>135.5</v>
      </c>
      <c r="AI31" s="26">
        <v>11.4</v>
      </c>
      <c r="AJ31" s="26">
        <v>2.7</v>
      </c>
      <c r="AK31" s="26">
        <v>37.5</v>
      </c>
      <c r="AL31" s="26">
        <v>278.60000000000002</v>
      </c>
      <c r="AO31" s="26">
        <v>10652</v>
      </c>
      <c r="AP31" s="26">
        <v>5.7</v>
      </c>
      <c r="AQ31" s="26">
        <v>0.2</v>
      </c>
      <c r="AR31" s="26">
        <v>5.9</v>
      </c>
      <c r="BL31" s="26">
        <v>60.233333333333327</v>
      </c>
      <c r="BM31" s="26">
        <v>60.6</v>
      </c>
      <c r="BN31" s="26">
        <v>6245.6</v>
      </c>
      <c r="BO31" s="26">
        <v>2071.8000000000002</v>
      </c>
      <c r="BP31" s="26">
        <v>-1</v>
      </c>
      <c r="BQ31" s="26">
        <v>3374.666666666667</v>
      </c>
      <c r="BR31" s="26">
        <v>8907.3333333333339</v>
      </c>
      <c r="BS31" s="26">
        <v>37037.666666666657</v>
      </c>
    </row>
    <row r="32" spans="1:71">
      <c r="A32" s="55">
        <v>28398</v>
      </c>
      <c r="B32" s="26">
        <v>2118.5</v>
      </c>
      <c r="C32" s="26">
        <v>6309.5</v>
      </c>
      <c r="D32" s="26">
        <v>33.661999999999999</v>
      </c>
      <c r="E32" s="26">
        <v>1286.9000000000001</v>
      </c>
      <c r="F32" s="26">
        <v>3992</v>
      </c>
      <c r="G32" s="26">
        <v>32.243000000000002</v>
      </c>
      <c r="H32" s="26">
        <v>31.795000000000002</v>
      </c>
      <c r="I32" s="26">
        <v>23.594000000000001</v>
      </c>
      <c r="J32" s="26">
        <v>22.359000000000002</v>
      </c>
      <c r="K32" s="26">
        <v>29.774000000000001</v>
      </c>
      <c r="L32" s="26">
        <v>22.5</v>
      </c>
      <c r="M32" s="26">
        <v>16.7</v>
      </c>
      <c r="N32" s="26">
        <v>11.9</v>
      </c>
      <c r="O32" s="26">
        <v>191.7</v>
      </c>
      <c r="P32" s="26">
        <v>3.5</v>
      </c>
      <c r="Q32" s="26">
        <v>198.6</v>
      </c>
      <c r="R32" s="26">
        <v>161.5</v>
      </c>
      <c r="S32" s="26">
        <v>69.7</v>
      </c>
      <c r="T32" s="26">
        <v>438</v>
      </c>
      <c r="U32" s="26">
        <v>115.1</v>
      </c>
      <c r="V32" s="26">
        <v>32.237000000000002</v>
      </c>
      <c r="W32" s="26">
        <v>201.9</v>
      </c>
      <c r="X32" s="26">
        <v>236.1</v>
      </c>
      <c r="Y32" s="26">
        <v>635.1</v>
      </c>
      <c r="Z32" s="26">
        <v>1000.8</v>
      </c>
      <c r="AA32" s="26">
        <v>162.6</v>
      </c>
      <c r="AB32" s="26">
        <v>23.2</v>
      </c>
      <c r="AC32" s="26">
        <v>57.9</v>
      </c>
      <c r="AD32" s="26">
        <v>112.2</v>
      </c>
      <c r="AE32" s="26">
        <v>154.4</v>
      </c>
      <c r="AF32" s="26">
        <v>57.3</v>
      </c>
      <c r="AG32" s="26">
        <v>35.9</v>
      </c>
      <c r="AH32" s="26">
        <v>138.30000000000001</v>
      </c>
      <c r="AI32" s="26">
        <v>11.8</v>
      </c>
      <c r="AJ32" s="26">
        <v>2.9</v>
      </c>
      <c r="AK32" s="26">
        <v>37.299999999999997</v>
      </c>
      <c r="AL32" s="26">
        <v>282.3</v>
      </c>
      <c r="AO32" s="26">
        <v>11804</v>
      </c>
      <c r="AP32" s="26">
        <v>6.2</v>
      </c>
      <c r="AQ32" s="26">
        <v>0.2</v>
      </c>
      <c r="AR32" s="26">
        <v>6.4</v>
      </c>
      <c r="BL32" s="26">
        <v>61.066666666666663</v>
      </c>
      <c r="BM32" s="26">
        <v>61.433333333333337</v>
      </c>
      <c r="BN32" s="26">
        <v>6297.4</v>
      </c>
      <c r="BO32" s="26">
        <v>2114.4</v>
      </c>
      <c r="BP32" s="26">
        <v>-1</v>
      </c>
      <c r="BQ32" s="26">
        <v>3385</v>
      </c>
      <c r="BR32" s="26">
        <v>9099.3333333333339</v>
      </c>
      <c r="BS32" s="26">
        <v>35666.333333333343</v>
      </c>
    </row>
    <row r="33" spans="1:71">
      <c r="A33" s="55">
        <v>28490</v>
      </c>
      <c r="B33" s="26">
        <v>2164.3000000000002</v>
      </c>
      <c r="C33" s="26">
        <v>6309.7</v>
      </c>
      <c r="D33" s="26">
        <v>34.225000000000001</v>
      </c>
      <c r="E33" s="26">
        <v>1324.8</v>
      </c>
      <c r="F33" s="26">
        <v>4052</v>
      </c>
      <c r="G33" s="26">
        <v>32.701999999999998</v>
      </c>
      <c r="H33" s="26">
        <v>32.716000000000001</v>
      </c>
      <c r="I33" s="26">
        <v>23.992000000000001</v>
      </c>
      <c r="J33" s="26">
        <v>22.768999999999998</v>
      </c>
      <c r="K33" s="26">
        <v>30.091999999999999</v>
      </c>
      <c r="L33" s="26">
        <v>23.3</v>
      </c>
      <c r="M33" s="26">
        <v>16.5</v>
      </c>
      <c r="N33" s="26">
        <v>11.8</v>
      </c>
      <c r="O33" s="26">
        <v>194.3</v>
      </c>
      <c r="P33" s="26">
        <v>3.6</v>
      </c>
      <c r="Q33" s="26">
        <v>208.5</v>
      </c>
      <c r="R33" s="26">
        <v>164.3</v>
      </c>
      <c r="S33" s="26">
        <v>70.099999999999994</v>
      </c>
      <c r="T33" s="26">
        <v>446.7</v>
      </c>
      <c r="U33" s="26">
        <v>117.5</v>
      </c>
      <c r="V33" s="26">
        <v>32.695</v>
      </c>
      <c r="W33" s="26">
        <v>206.3</v>
      </c>
      <c r="X33" s="26">
        <v>240.5</v>
      </c>
      <c r="Y33" s="26">
        <v>630.70000000000005</v>
      </c>
      <c r="Z33" s="26">
        <v>1002.4</v>
      </c>
      <c r="AA33" s="26">
        <v>171.2</v>
      </c>
      <c r="AB33" s="26">
        <v>23.2</v>
      </c>
      <c r="AC33" s="26">
        <v>58.1</v>
      </c>
      <c r="AD33" s="26">
        <v>114.4</v>
      </c>
      <c r="AE33" s="26">
        <v>156.6</v>
      </c>
      <c r="AF33" s="26">
        <v>57.3</v>
      </c>
      <c r="AG33" s="26">
        <v>37.299999999999997</v>
      </c>
      <c r="AH33" s="26">
        <v>141.1</v>
      </c>
      <c r="AI33" s="26">
        <v>12</v>
      </c>
      <c r="AJ33" s="26">
        <v>3</v>
      </c>
      <c r="AK33" s="26">
        <v>37.700000000000003</v>
      </c>
      <c r="AL33" s="26">
        <v>287.5</v>
      </c>
      <c r="AO33" s="26">
        <v>10700</v>
      </c>
      <c r="AP33" s="26">
        <v>10.1</v>
      </c>
      <c r="AQ33" s="26">
        <v>0.2</v>
      </c>
      <c r="AR33" s="26">
        <v>10.3</v>
      </c>
      <c r="BL33" s="26">
        <v>61.966666666666669</v>
      </c>
      <c r="BM33" s="26">
        <v>62.266666666666659</v>
      </c>
      <c r="BN33" s="26">
        <v>6350.6</v>
      </c>
      <c r="BO33" s="26">
        <v>2178.3000000000002</v>
      </c>
      <c r="BP33" s="26">
        <v>-1</v>
      </c>
      <c r="BQ33" s="26">
        <v>3404.666666666667</v>
      </c>
      <c r="BR33" s="26">
        <v>9231</v>
      </c>
      <c r="BS33" s="26">
        <v>35160</v>
      </c>
    </row>
    <row r="34" spans="1:71">
      <c r="A34" s="55">
        <v>28580</v>
      </c>
      <c r="B34" s="26">
        <v>2202.8000000000002</v>
      </c>
      <c r="C34" s="26">
        <v>6329.8</v>
      </c>
      <c r="D34" s="26">
        <v>34.786000000000001</v>
      </c>
      <c r="E34" s="26">
        <v>1354.1</v>
      </c>
      <c r="F34" s="26">
        <v>4074.8</v>
      </c>
      <c r="G34" s="26">
        <v>33.238</v>
      </c>
      <c r="H34" s="26">
        <v>33.090000000000003</v>
      </c>
      <c r="I34" s="26">
        <v>24.331</v>
      </c>
      <c r="J34" s="26">
        <v>23.1</v>
      </c>
      <c r="K34" s="26">
        <v>30.465</v>
      </c>
      <c r="L34" s="26">
        <v>24.2</v>
      </c>
      <c r="M34" s="26">
        <v>17.5</v>
      </c>
      <c r="N34" s="26">
        <v>10.8</v>
      </c>
      <c r="O34" s="26">
        <v>197.7</v>
      </c>
      <c r="P34" s="26">
        <v>3.7</v>
      </c>
      <c r="Q34" s="26">
        <v>212</v>
      </c>
      <c r="R34" s="26">
        <v>166.9</v>
      </c>
      <c r="S34" s="26">
        <v>65</v>
      </c>
      <c r="T34" s="26">
        <v>452.6</v>
      </c>
      <c r="U34" s="26">
        <v>124.7</v>
      </c>
      <c r="V34" s="26">
        <v>33.229999999999997</v>
      </c>
      <c r="W34" s="26">
        <v>208.8</v>
      </c>
      <c r="X34" s="26">
        <v>243.8</v>
      </c>
      <c r="Y34" s="26">
        <v>631.1</v>
      </c>
      <c r="Z34" s="26">
        <v>1002.2</v>
      </c>
      <c r="AA34" s="26">
        <v>173.4</v>
      </c>
      <c r="AB34" s="26">
        <v>24</v>
      </c>
      <c r="AC34" s="26">
        <v>54.4</v>
      </c>
      <c r="AD34" s="26">
        <v>121.6</v>
      </c>
      <c r="AE34" s="26">
        <v>158.5</v>
      </c>
      <c r="AF34" s="26">
        <v>61.5</v>
      </c>
      <c r="AG34" s="26">
        <v>38.6</v>
      </c>
      <c r="AH34" s="26">
        <v>143</v>
      </c>
      <c r="AI34" s="26">
        <v>10.5</v>
      </c>
      <c r="AJ34" s="26">
        <v>3.2</v>
      </c>
      <c r="AK34" s="26">
        <v>39.200000000000003</v>
      </c>
      <c r="AL34" s="26">
        <v>292.5</v>
      </c>
      <c r="AO34" s="26">
        <v>10968</v>
      </c>
      <c r="AP34" s="26">
        <v>8.5</v>
      </c>
      <c r="AQ34" s="26">
        <v>0.2</v>
      </c>
      <c r="AR34" s="26">
        <v>8.6999999999999993</v>
      </c>
      <c r="BL34" s="26">
        <v>63.033333333333331</v>
      </c>
      <c r="BM34" s="26">
        <v>63.366666666666667</v>
      </c>
      <c r="BN34" s="26">
        <v>6405.2</v>
      </c>
      <c r="BO34" s="26">
        <v>2229</v>
      </c>
      <c r="BP34" s="26">
        <v>-1</v>
      </c>
      <c r="BQ34" s="26">
        <v>3442.3333333333339</v>
      </c>
      <c r="BR34" s="26">
        <v>9348.3333333333339</v>
      </c>
      <c r="BS34" s="26">
        <v>34095.333333333343</v>
      </c>
    </row>
    <row r="35" spans="1:71">
      <c r="A35" s="55">
        <v>28671</v>
      </c>
      <c r="B35" s="26">
        <v>2331.6</v>
      </c>
      <c r="C35" s="26">
        <v>6574.4</v>
      </c>
      <c r="D35" s="26">
        <v>35.479999999999997</v>
      </c>
      <c r="E35" s="26">
        <v>1411.4</v>
      </c>
      <c r="F35" s="26">
        <v>4161.8999999999996</v>
      </c>
      <c r="G35" s="26">
        <v>33.920999999999999</v>
      </c>
      <c r="H35" s="26">
        <v>33.74</v>
      </c>
      <c r="I35" s="26">
        <v>24.736999999999998</v>
      </c>
      <c r="J35" s="26">
        <v>23.471</v>
      </c>
      <c r="K35" s="26">
        <v>31.064</v>
      </c>
      <c r="L35" s="26">
        <v>25</v>
      </c>
      <c r="M35" s="26">
        <v>18.600000000000001</v>
      </c>
      <c r="N35" s="26">
        <v>9.4</v>
      </c>
      <c r="O35" s="26">
        <v>199</v>
      </c>
      <c r="P35" s="26">
        <v>3.8</v>
      </c>
      <c r="Q35" s="26">
        <v>223.1</v>
      </c>
      <c r="R35" s="26">
        <v>173.1</v>
      </c>
      <c r="S35" s="26">
        <v>78.599999999999994</v>
      </c>
      <c r="T35" s="26">
        <v>472.3</v>
      </c>
      <c r="U35" s="26">
        <v>129.9</v>
      </c>
      <c r="V35" s="26">
        <v>33.911999999999999</v>
      </c>
      <c r="W35" s="26">
        <v>217</v>
      </c>
      <c r="X35" s="26">
        <v>255.3</v>
      </c>
      <c r="Y35" s="26">
        <v>643.29999999999995</v>
      </c>
      <c r="Z35" s="26">
        <v>1032.3</v>
      </c>
      <c r="AA35" s="26">
        <v>182.9</v>
      </c>
      <c r="AB35" s="26">
        <v>25.4</v>
      </c>
      <c r="AC35" s="26">
        <v>66.2</v>
      </c>
      <c r="AD35" s="26">
        <v>126.5</v>
      </c>
      <c r="AE35" s="26">
        <v>158</v>
      </c>
      <c r="AF35" s="26">
        <v>64.099999999999994</v>
      </c>
      <c r="AG35" s="26">
        <v>40.1</v>
      </c>
      <c r="AH35" s="26">
        <v>147.69999999999999</v>
      </c>
      <c r="AI35" s="26">
        <v>12.4</v>
      </c>
      <c r="AJ35" s="26">
        <v>3.3</v>
      </c>
      <c r="AK35" s="26">
        <v>41</v>
      </c>
      <c r="AL35" s="26">
        <v>306</v>
      </c>
      <c r="AO35" s="26">
        <v>11528</v>
      </c>
      <c r="AP35" s="26">
        <v>8.1</v>
      </c>
      <c r="AQ35" s="26">
        <v>0.2</v>
      </c>
      <c r="AR35" s="26">
        <v>8.4</v>
      </c>
      <c r="BL35" s="26">
        <v>64.466666666666669</v>
      </c>
      <c r="BM35" s="26">
        <v>64.766666666666666</v>
      </c>
      <c r="BN35" s="26">
        <v>6460.8</v>
      </c>
      <c r="BO35" s="26">
        <v>2291.3000000000002</v>
      </c>
      <c r="BP35" s="26">
        <v>-1</v>
      </c>
      <c r="BQ35" s="26">
        <v>3479</v>
      </c>
      <c r="BR35" s="26">
        <v>9466</v>
      </c>
      <c r="BS35" s="26">
        <v>41889.666666666657</v>
      </c>
    </row>
    <row r="36" spans="1:71">
      <c r="A36" s="55">
        <v>28763</v>
      </c>
      <c r="B36" s="26">
        <v>2395.1</v>
      </c>
      <c r="C36" s="26">
        <v>6640.5</v>
      </c>
      <c r="D36" s="26">
        <v>36.106000000000002</v>
      </c>
      <c r="E36" s="26">
        <v>1442.2</v>
      </c>
      <c r="F36" s="26">
        <v>4179.3999999999996</v>
      </c>
      <c r="G36" s="26">
        <v>34.517000000000003</v>
      </c>
      <c r="H36" s="26">
        <v>34.304000000000002</v>
      </c>
      <c r="I36" s="26">
        <v>25.114000000000001</v>
      </c>
      <c r="J36" s="26">
        <v>23.806000000000001</v>
      </c>
      <c r="K36" s="26">
        <v>31.658000000000001</v>
      </c>
      <c r="L36" s="26">
        <v>26</v>
      </c>
      <c r="M36" s="26">
        <v>18.899999999999999</v>
      </c>
      <c r="N36" s="26">
        <v>9</v>
      </c>
      <c r="O36" s="26">
        <v>207.1</v>
      </c>
      <c r="P36" s="26">
        <v>3.9</v>
      </c>
      <c r="Q36" s="26">
        <v>236.3</v>
      </c>
      <c r="R36" s="26">
        <v>169.7</v>
      </c>
      <c r="S36" s="26">
        <v>79.099999999999994</v>
      </c>
      <c r="T36" s="26">
        <v>484.2</v>
      </c>
      <c r="U36" s="26">
        <v>134.19999999999999</v>
      </c>
      <c r="V36" s="26">
        <v>34.508000000000003</v>
      </c>
      <c r="W36" s="26">
        <v>222.1</v>
      </c>
      <c r="X36" s="26">
        <v>262.2</v>
      </c>
      <c r="Y36" s="26">
        <v>647.5</v>
      </c>
      <c r="Z36" s="26">
        <v>1044.2</v>
      </c>
      <c r="AA36" s="26">
        <v>195.4</v>
      </c>
      <c r="AB36" s="26">
        <v>25.5</v>
      </c>
      <c r="AC36" s="26">
        <v>66.7</v>
      </c>
      <c r="AD36" s="26">
        <v>130.80000000000001</v>
      </c>
      <c r="AE36" s="26">
        <v>165.9</v>
      </c>
      <c r="AF36" s="26">
        <v>63.4</v>
      </c>
      <c r="AG36" s="26">
        <v>40.9</v>
      </c>
      <c r="AH36" s="26">
        <v>144.19999999999999</v>
      </c>
      <c r="AI36" s="26">
        <v>12.5</v>
      </c>
      <c r="AJ36" s="26">
        <v>3.5</v>
      </c>
      <c r="AK36" s="26">
        <v>41.3</v>
      </c>
      <c r="AL36" s="26">
        <v>313.5</v>
      </c>
      <c r="AO36" s="26">
        <v>11908</v>
      </c>
      <c r="AP36" s="26">
        <v>8</v>
      </c>
      <c r="AQ36" s="26">
        <v>0.2</v>
      </c>
      <c r="AR36" s="26">
        <v>8.3000000000000007</v>
      </c>
      <c r="BL36" s="26">
        <v>65.966666666666669</v>
      </c>
      <c r="BM36" s="26">
        <v>66.233333333333334</v>
      </c>
      <c r="BN36" s="26">
        <v>6518</v>
      </c>
      <c r="BO36" s="26">
        <v>2350.9</v>
      </c>
      <c r="BP36" s="26">
        <v>-1</v>
      </c>
      <c r="BQ36" s="26">
        <v>3477.3333333333339</v>
      </c>
      <c r="BR36" s="26">
        <v>9492.3333333333339</v>
      </c>
      <c r="BS36" s="26">
        <v>43760.666666666657</v>
      </c>
    </row>
    <row r="37" spans="1:71">
      <c r="A37" s="55">
        <v>28855</v>
      </c>
      <c r="B37" s="26">
        <v>2476.9</v>
      </c>
      <c r="C37" s="26">
        <v>6729.8</v>
      </c>
      <c r="D37" s="26">
        <v>36.819000000000003</v>
      </c>
      <c r="E37" s="26">
        <v>1481.4</v>
      </c>
      <c r="F37" s="26">
        <v>4213.1000000000004</v>
      </c>
      <c r="G37" s="26">
        <v>35.168999999999997</v>
      </c>
      <c r="H37" s="26">
        <v>34.896000000000001</v>
      </c>
      <c r="I37" s="26">
        <v>25.474</v>
      </c>
      <c r="J37" s="26">
        <v>24.125</v>
      </c>
      <c r="K37" s="26">
        <v>32.223999999999997</v>
      </c>
      <c r="L37" s="26">
        <v>27</v>
      </c>
      <c r="M37" s="26">
        <v>19.5</v>
      </c>
      <c r="N37" s="26">
        <v>8.5</v>
      </c>
      <c r="O37" s="26">
        <v>209.9</v>
      </c>
      <c r="P37" s="26">
        <v>4</v>
      </c>
      <c r="Q37" s="26">
        <v>247.2</v>
      </c>
      <c r="R37" s="26">
        <v>173.9</v>
      </c>
      <c r="S37" s="26">
        <v>83.3</v>
      </c>
      <c r="T37" s="26">
        <v>496.2</v>
      </c>
      <c r="U37" s="26">
        <v>139.6</v>
      </c>
      <c r="V37" s="26">
        <v>35.161000000000001</v>
      </c>
      <c r="W37" s="26">
        <v>227.8</v>
      </c>
      <c r="X37" s="26">
        <v>268.39999999999998</v>
      </c>
      <c r="Y37" s="26">
        <v>653</v>
      </c>
      <c r="Z37" s="26">
        <v>1054.0999999999999</v>
      </c>
      <c r="AA37" s="26">
        <v>205.1</v>
      </c>
      <c r="AB37" s="26">
        <v>26.3</v>
      </c>
      <c r="AC37" s="26">
        <v>70.3</v>
      </c>
      <c r="AD37" s="26">
        <v>136</v>
      </c>
      <c r="AE37" s="26">
        <v>168.3</v>
      </c>
      <c r="AF37" s="26">
        <v>64.900000000000006</v>
      </c>
      <c r="AG37" s="26">
        <v>42.1</v>
      </c>
      <c r="AH37" s="26">
        <v>147.6</v>
      </c>
      <c r="AI37" s="26">
        <v>13.1</v>
      </c>
      <c r="AJ37" s="26">
        <v>3.6</v>
      </c>
      <c r="AK37" s="26">
        <v>41.7</v>
      </c>
      <c r="AL37" s="26">
        <v>320.5</v>
      </c>
      <c r="AO37" s="26">
        <v>12528</v>
      </c>
      <c r="AP37" s="26">
        <v>10.1</v>
      </c>
      <c r="AQ37" s="26">
        <v>0.3</v>
      </c>
      <c r="AR37" s="26">
        <v>10.4</v>
      </c>
      <c r="BL37" s="26">
        <v>67.5</v>
      </c>
      <c r="BM37" s="26">
        <v>67.833333333333329</v>
      </c>
      <c r="BN37" s="26">
        <v>6576.2</v>
      </c>
      <c r="BO37" s="26">
        <v>2420.4</v>
      </c>
      <c r="BP37" s="26">
        <v>-1</v>
      </c>
      <c r="BQ37" s="26">
        <v>3494</v>
      </c>
      <c r="BR37" s="26">
        <v>9482.6666666666661</v>
      </c>
      <c r="BS37" s="26">
        <v>45015.333333333343</v>
      </c>
    </row>
    <row r="38" spans="1:71">
      <c r="A38" s="55">
        <v>28945</v>
      </c>
      <c r="B38" s="26">
        <v>2526.6</v>
      </c>
      <c r="C38" s="26">
        <v>6741.9</v>
      </c>
      <c r="D38" s="26">
        <v>37.506999999999998</v>
      </c>
      <c r="E38" s="26">
        <v>1517.1</v>
      </c>
      <c r="F38" s="26">
        <v>4234.8999999999996</v>
      </c>
      <c r="G38" s="26">
        <v>35.831000000000003</v>
      </c>
      <c r="H38" s="26">
        <v>35.539000000000001</v>
      </c>
      <c r="I38" s="26">
        <v>26.08</v>
      </c>
      <c r="J38" s="26">
        <v>24.718</v>
      </c>
      <c r="K38" s="26">
        <v>32.889000000000003</v>
      </c>
      <c r="L38" s="26">
        <v>28</v>
      </c>
      <c r="M38" s="26">
        <v>20</v>
      </c>
      <c r="N38" s="26">
        <v>9.4</v>
      </c>
      <c r="O38" s="26">
        <v>214.9</v>
      </c>
      <c r="P38" s="26">
        <v>4.0999999999999996</v>
      </c>
      <c r="Q38" s="26">
        <v>253.6</v>
      </c>
      <c r="R38" s="26">
        <v>176.4</v>
      </c>
      <c r="S38" s="26">
        <v>80.3</v>
      </c>
      <c r="T38" s="26">
        <v>501.8</v>
      </c>
      <c r="U38" s="26">
        <v>146.9</v>
      </c>
      <c r="V38" s="26">
        <v>35.825000000000003</v>
      </c>
      <c r="W38" s="26">
        <v>231.7</v>
      </c>
      <c r="X38" s="26">
        <v>270.10000000000002</v>
      </c>
      <c r="Y38" s="26">
        <v>652</v>
      </c>
      <c r="Z38" s="26">
        <v>1036.2</v>
      </c>
      <c r="AA38" s="26">
        <v>211.6</v>
      </c>
      <c r="AB38" s="26">
        <v>25.9</v>
      </c>
      <c r="AC38" s="26">
        <v>66.599999999999994</v>
      </c>
      <c r="AD38" s="26">
        <v>143.1</v>
      </c>
      <c r="AE38" s="26">
        <v>172.5</v>
      </c>
      <c r="AF38" s="26">
        <v>62.1</v>
      </c>
      <c r="AG38" s="26">
        <v>42</v>
      </c>
      <c r="AH38" s="26">
        <v>150.6</v>
      </c>
      <c r="AI38" s="26">
        <v>13.7</v>
      </c>
      <c r="AJ38" s="26">
        <v>3.8</v>
      </c>
      <c r="AK38" s="26">
        <v>42.4</v>
      </c>
      <c r="AL38" s="26">
        <v>323.2</v>
      </c>
      <c r="AO38" s="26">
        <v>13592</v>
      </c>
      <c r="AP38" s="26">
        <v>8.1</v>
      </c>
      <c r="AQ38" s="26">
        <v>0.3</v>
      </c>
      <c r="AR38" s="26">
        <v>8.4</v>
      </c>
      <c r="BL38" s="26">
        <v>69.2</v>
      </c>
      <c r="BM38" s="26">
        <v>69.566666666666663</v>
      </c>
      <c r="BN38" s="26">
        <v>6636</v>
      </c>
      <c r="BO38" s="26">
        <v>2486.9</v>
      </c>
      <c r="BP38" s="26">
        <v>-1</v>
      </c>
      <c r="BQ38" s="26">
        <v>3504.3333333333339</v>
      </c>
      <c r="BR38" s="26">
        <v>9531.3333333333339</v>
      </c>
      <c r="BS38" s="26">
        <v>40794</v>
      </c>
    </row>
    <row r="39" spans="1:71">
      <c r="A39" s="55">
        <v>29036</v>
      </c>
      <c r="B39" s="26">
        <v>2591.1999999999998</v>
      </c>
      <c r="C39" s="26">
        <v>6749.1</v>
      </c>
      <c r="D39" s="26">
        <v>38.412999999999997</v>
      </c>
      <c r="E39" s="26">
        <v>1557.6</v>
      </c>
      <c r="F39" s="26">
        <v>4232.2</v>
      </c>
      <c r="G39" s="26">
        <v>36.81</v>
      </c>
      <c r="H39" s="26">
        <v>36.076000000000001</v>
      </c>
      <c r="I39" s="26">
        <v>26.675999999999998</v>
      </c>
      <c r="J39" s="26">
        <v>25.257000000000001</v>
      </c>
      <c r="K39" s="26">
        <v>33.781999999999996</v>
      </c>
      <c r="L39" s="26">
        <v>29.2</v>
      </c>
      <c r="M39" s="26">
        <v>20.8</v>
      </c>
      <c r="N39" s="26">
        <v>9.1999999999999993</v>
      </c>
      <c r="O39" s="26">
        <v>219.2</v>
      </c>
      <c r="P39" s="26">
        <v>4.3</v>
      </c>
      <c r="Q39" s="26">
        <v>262</v>
      </c>
      <c r="R39" s="26">
        <v>178.5</v>
      </c>
      <c r="S39" s="26">
        <v>80.3</v>
      </c>
      <c r="T39" s="26">
        <v>516.5</v>
      </c>
      <c r="U39" s="26">
        <v>151.19999999999999</v>
      </c>
      <c r="V39" s="26">
        <v>36.805</v>
      </c>
      <c r="W39" s="26">
        <v>237.6</v>
      </c>
      <c r="X39" s="26">
        <v>278.89999999999998</v>
      </c>
      <c r="Y39" s="26">
        <v>658.6</v>
      </c>
      <c r="Z39" s="26">
        <v>1046</v>
      </c>
      <c r="AA39" s="26">
        <v>219.9</v>
      </c>
      <c r="AB39" s="26">
        <v>25.9</v>
      </c>
      <c r="AC39" s="26">
        <v>66.5</v>
      </c>
      <c r="AD39" s="26">
        <v>147.4</v>
      </c>
      <c r="AE39" s="26">
        <v>175.7</v>
      </c>
      <c r="AF39" s="26">
        <v>62.6</v>
      </c>
      <c r="AG39" s="26">
        <v>42.1</v>
      </c>
      <c r="AH39" s="26">
        <v>152.6</v>
      </c>
      <c r="AI39" s="26">
        <v>13.8</v>
      </c>
      <c r="AJ39" s="26">
        <v>3.9</v>
      </c>
      <c r="AK39" s="26">
        <v>43.5</v>
      </c>
      <c r="AL39" s="26">
        <v>333.2</v>
      </c>
      <c r="AO39" s="26">
        <v>13048</v>
      </c>
      <c r="AP39" s="26">
        <v>8.5</v>
      </c>
      <c r="AQ39" s="26">
        <v>0.3</v>
      </c>
      <c r="AR39" s="26">
        <v>8.8000000000000007</v>
      </c>
      <c r="BL39" s="26">
        <v>71.400000000000006</v>
      </c>
      <c r="BM39" s="26">
        <v>71.899999999999991</v>
      </c>
      <c r="BN39" s="26">
        <v>6693.8</v>
      </c>
      <c r="BO39" s="26">
        <v>2570</v>
      </c>
      <c r="BP39" s="26">
        <v>-1</v>
      </c>
      <c r="BQ39" s="26">
        <v>3518</v>
      </c>
      <c r="BR39" s="26">
        <v>9604.3333333333339</v>
      </c>
      <c r="BS39" s="26">
        <v>45875.333333333343</v>
      </c>
    </row>
    <row r="40" spans="1:71">
      <c r="A40" s="55">
        <v>29128</v>
      </c>
      <c r="B40" s="26">
        <v>2667.6</v>
      </c>
      <c r="C40" s="26">
        <v>6799.2</v>
      </c>
      <c r="D40" s="26">
        <v>39.215000000000003</v>
      </c>
      <c r="E40" s="26">
        <v>1611.9</v>
      </c>
      <c r="F40" s="26">
        <v>4273.3</v>
      </c>
      <c r="G40" s="26">
        <v>37.723999999999997</v>
      </c>
      <c r="H40" s="26">
        <v>36.917999999999999</v>
      </c>
      <c r="I40" s="26">
        <v>27.581</v>
      </c>
      <c r="J40" s="26">
        <v>26.145</v>
      </c>
      <c r="K40" s="26">
        <v>34.768000000000001</v>
      </c>
      <c r="L40" s="26">
        <v>30.5</v>
      </c>
      <c r="M40" s="26">
        <v>21.1</v>
      </c>
      <c r="N40" s="26">
        <v>9.6</v>
      </c>
      <c r="O40" s="26">
        <v>234.6</v>
      </c>
      <c r="P40" s="26">
        <v>4.4000000000000004</v>
      </c>
      <c r="Q40" s="26">
        <v>274.8</v>
      </c>
      <c r="R40" s="26">
        <v>180.9</v>
      </c>
      <c r="S40" s="26">
        <v>78.900000000000006</v>
      </c>
      <c r="T40" s="26">
        <v>533.1</v>
      </c>
      <c r="U40" s="26">
        <v>156.30000000000001</v>
      </c>
      <c r="V40" s="26">
        <v>37.719000000000001</v>
      </c>
      <c r="W40" s="26">
        <v>243.7</v>
      </c>
      <c r="X40" s="26">
        <v>289.39999999999998</v>
      </c>
      <c r="Y40" s="26">
        <v>660.2</v>
      </c>
      <c r="Z40" s="26">
        <v>1049.5999999999999</v>
      </c>
      <c r="AA40" s="26">
        <v>229.4</v>
      </c>
      <c r="AB40" s="26">
        <v>25.3</v>
      </c>
      <c r="AC40" s="26">
        <v>65.3</v>
      </c>
      <c r="AD40" s="26">
        <v>152.4</v>
      </c>
      <c r="AE40" s="26">
        <v>190.1</v>
      </c>
      <c r="AF40" s="26">
        <v>65.2</v>
      </c>
      <c r="AG40" s="26">
        <v>45.4</v>
      </c>
      <c r="AH40" s="26">
        <v>155.6</v>
      </c>
      <c r="AI40" s="26">
        <v>13.6</v>
      </c>
      <c r="AJ40" s="26">
        <v>3.9</v>
      </c>
      <c r="AK40" s="26">
        <v>44.5</v>
      </c>
      <c r="AL40" s="26">
        <v>344.8</v>
      </c>
      <c r="AO40" s="26">
        <v>14292</v>
      </c>
      <c r="AP40" s="26">
        <v>7.8</v>
      </c>
      <c r="AQ40" s="26">
        <v>0.3</v>
      </c>
      <c r="AR40" s="26">
        <v>8.1</v>
      </c>
      <c r="BL40" s="26">
        <v>73.7</v>
      </c>
      <c r="BM40" s="26">
        <v>74.233333333333334</v>
      </c>
      <c r="BN40" s="26">
        <v>6748.7</v>
      </c>
      <c r="BO40" s="26">
        <v>2647.8</v>
      </c>
      <c r="BP40" s="26">
        <v>-1</v>
      </c>
      <c r="BQ40" s="26">
        <v>3560.666666666667</v>
      </c>
      <c r="BR40" s="26">
        <v>9710.6666666666661</v>
      </c>
      <c r="BS40" s="26">
        <v>49343.666666666657</v>
      </c>
    </row>
    <row r="41" spans="1:71">
      <c r="A41" s="55">
        <v>29220</v>
      </c>
      <c r="B41" s="26">
        <v>2723.9</v>
      </c>
      <c r="C41" s="26">
        <v>6816.2</v>
      </c>
      <c r="D41" s="26">
        <v>39.93</v>
      </c>
      <c r="E41" s="26">
        <v>1655</v>
      </c>
      <c r="F41" s="26">
        <v>4284</v>
      </c>
      <c r="G41" s="26">
        <v>38.637</v>
      </c>
      <c r="H41" s="26">
        <v>37.731000000000002</v>
      </c>
      <c r="I41" s="26">
        <v>28.119</v>
      </c>
      <c r="J41" s="26">
        <v>26.594000000000001</v>
      </c>
      <c r="K41" s="26">
        <v>35.753999999999998</v>
      </c>
      <c r="L41" s="26">
        <v>32</v>
      </c>
      <c r="M41" s="26">
        <v>22.4</v>
      </c>
      <c r="N41" s="26">
        <v>10.6</v>
      </c>
      <c r="O41" s="26">
        <v>240.7</v>
      </c>
      <c r="P41" s="26">
        <v>4.5</v>
      </c>
      <c r="Q41" s="26">
        <v>285.2</v>
      </c>
      <c r="R41" s="26">
        <v>184.6</v>
      </c>
      <c r="S41" s="26">
        <v>75.3</v>
      </c>
      <c r="T41" s="26">
        <v>547.79999999999995</v>
      </c>
      <c r="U41" s="26">
        <v>160.30000000000001</v>
      </c>
      <c r="V41" s="26">
        <v>38.633000000000003</v>
      </c>
      <c r="W41" s="26">
        <v>249.3</v>
      </c>
      <c r="X41" s="26">
        <v>298.39999999999998</v>
      </c>
      <c r="Y41" s="26">
        <v>660.9</v>
      </c>
      <c r="Z41" s="26">
        <v>1061.4000000000001</v>
      </c>
      <c r="AA41" s="26">
        <v>238.6</v>
      </c>
      <c r="AB41" s="26">
        <v>25.6</v>
      </c>
      <c r="AC41" s="26">
        <v>62.1</v>
      </c>
      <c r="AD41" s="26">
        <v>156.30000000000001</v>
      </c>
      <c r="AE41" s="26">
        <v>193.8</v>
      </c>
      <c r="AF41" s="26">
        <v>65.900000000000006</v>
      </c>
      <c r="AG41" s="26">
        <v>46.6</v>
      </c>
      <c r="AH41" s="26">
        <v>159</v>
      </c>
      <c r="AI41" s="26">
        <v>13.2</v>
      </c>
      <c r="AJ41" s="26">
        <v>4</v>
      </c>
      <c r="AK41" s="26">
        <v>46.9</v>
      </c>
      <c r="AL41" s="26">
        <v>356.1</v>
      </c>
      <c r="AO41" s="26">
        <v>15752</v>
      </c>
      <c r="AP41" s="26">
        <v>8.5</v>
      </c>
      <c r="AQ41" s="26">
        <v>0.3</v>
      </c>
      <c r="AR41" s="26">
        <v>8.9</v>
      </c>
      <c r="BL41" s="26">
        <v>76.033333333333331</v>
      </c>
      <c r="BM41" s="26">
        <v>76.5</v>
      </c>
      <c r="BN41" s="26">
        <v>6800.2</v>
      </c>
      <c r="BO41" s="26">
        <v>2717.5</v>
      </c>
      <c r="BP41" s="26">
        <v>-1</v>
      </c>
      <c r="BQ41" s="26">
        <v>3579.3333333333339</v>
      </c>
      <c r="BR41" s="26">
        <v>9697.3333333333339</v>
      </c>
      <c r="BS41" s="26">
        <v>52609</v>
      </c>
    </row>
    <row r="42" spans="1:71">
      <c r="A42" s="55">
        <v>29311</v>
      </c>
      <c r="B42" s="26">
        <v>2789.8</v>
      </c>
      <c r="C42" s="26">
        <v>6837.6</v>
      </c>
      <c r="D42" s="26">
        <v>40.804000000000002</v>
      </c>
      <c r="E42" s="26">
        <v>1702.3</v>
      </c>
      <c r="F42" s="26">
        <v>4277.8999999999996</v>
      </c>
      <c r="G42" s="26">
        <v>39.796999999999997</v>
      </c>
      <c r="H42" s="26">
        <v>38.476999999999997</v>
      </c>
      <c r="I42" s="26">
        <v>28.850999999999999</v>
      </c>
      <c r="J42" s="26">
        <v>27.277999999999999</v>
      </c>
      <c r="K42" s="26">
        <v>36.731000000000002</v>
      </c>
      <c r="L42" s="26">
        <v>33.6</v>
      </c>
      <c r="M42" s="26">
        <v>23.4</v>
      </c>
      <c r="N42" s="26">
        <v>12</v>
      </c>
      <c r="O42" s="26">
        <v>251.2</v>
      </c>
      <c r="P42" s="26">
        <v>4.5999999999999996</v>
      </c>
      <c r="Q42" s="26">
        <v>284.8</v>
      </c>
      <c r="R42" s="26">
        <v>189.5</v>
      </c>
      <c r="S42" s="26">
        <v>83.1</v>
      </c>
      <c r="T42" s="26">
        <v>568.79999999999995</v>
      </c>
      <c r="U42" s="26">
        <v>162.9</v>
      </c>
      <c r="V42" s="26">
        <v>39.792999999999999</v>
      </c>
      <c r="W42" s="26">
        <v>261.10000000000002</v>
      </c>
      <c r="X42" s="26">
        <v>307.7</v>
      </c>
      <c r="Y42" s="26">
        <v>678.5</v>
      </c>
      <c r="Z42" s="26">
        <v>1066.3</v>
      </c>
      <c r="AA42" s="26">
        <v>238.3</v>
      </c>
      <c r="AB42" s="26">
        <v>27.6</v>
      </c>
      <c r="AC42" s="26">
        <v>67</v>
      </c>
      <c r="AD42" s="26">
        <v>159.30000000000001</v>
      </c>
      <c r="AE42" s="26">
        <v>202.1</v>
      </c>
      <c r="AF42" s="26">
        <v>66.7</v>
      </c>
      <c r="AG42" s="26">
        <v>46.6</v>
      </c>
      <c r="AH42" s="26">
        <v>161.9</v>
      </c>
      <c r="AI42" s="26">
        <v>16.100000000000001</v>
      </c>
      <c r="AJ42" s="26">
        <v>3.6</v>
      </c>
      <c r="AK42" s="26">
        <v>49.1</v>
      </c>
      <c r="AL42" s="26">
        <v>367.6</v>
      </c>
      <c r="AO42" s="26">
        <v>16260</v>
      </c>
      <c r="AP42" s="26">
        <v>8.9</v>
      </c>
      <c r="AQ42" s="26">
        <v>0.3</v>
      </c>
      <c r="AR42" s="26">
        <v>9.1999999999999993</v>
      </c>
      <c r="BL42" s="26">
        <v>79.033333333333331</v>
      </c>
      <c r="BM42" s="26">
        <v>79.5</v>
      </c>
      <c r="BN42" s="26">
        <v>6847.6</v>
      </c>
      <c r="BO42" s="26">
        <v>2793.9</v>
      </c>
      <c r="BP42" s="26">
        <v>1</v>
      </c>
      <c r="BQ42" s="26">
        <v>3582</v>
      </c>
      <c r="BR42" s="26">
        <v>9741.3333333333339</v>
      </c>
      <c r="BS42" s="26">
        <v>55934.333333333343</v>
      </c>
    </row>
    <row r="43" spans="1:71">
      <c r="A43" s="55">
        <v>29402</v>
      </c>
      <c r="B43" s="26">
        <v>2797.4</v>
      </c>
      <c r="C43" s="26">
        <v>6696.8</v>
      </c>
      <c r="D43" s="26">
        <v>41.771000000000001</v>
      </c>
      <c r="E43" s="26">
        <v>1704.7</v>
      </c>
      <c r="F43" s="26">
        <v>4181.5</v>
      </c>
      <c r="G43" s="26">
        <v>40.771000000000001</v>
      </c>
      <c r="H43" s="26">
        <v>39.963999999999999</v>
      </c>
      <c r="I43" s="26">
        <v>29.643999999999998</v>
      </c>
      <c r="J43" s="26">
        <v>28.018000000000001</v>
      </c>
      <c r="K43" s="26">
        <v>37.784999999999997</v>
      </c>
      <c r="L43" s="26">
        <v>35.299999999999997</v>
      </c>
      <c r="M43" s="26">
        <v>22.2</v>
      </c>
      <c r="N43" s="26">
        <v>15.7</v>
      </c>
      <c r="O43" s="26">
        <v>256.2</v>
      </c>
      <c r="P43" s="26">
        <v>4.8</v>
      </c>
      <c r="Q43" s="26">
        <v>292.2</v>
      </c>
      <c r="R43" s="26">
        <v>196.9</v>
      </c>
      <c r="S43" s="26">
        <v>62.6</v>
      </c>
      <c r="T43" s="26">
        <v>588.5</v>
      </c>
      <c r="U43" s="26">
        <v>163.9</v>
      </c>
      <c r="V43" s="26">
        <v>40.768000000000001</v>
      </c>
      <c r="W43" s="26">
        <v>276.5</v>
      </c>
      <c r="X43" s="26">
        <v>312</v>
      </c>
      <c r="Y43" s="26">
        <v>691.9</v>
      </c>
      <c r="Z43" s="26">
        <v>1052.2</v>
      </c>
      <c r="AA43" s="26">
        <v>244.2</v>
      </c>
      <c r="AB43" s="26">
        <v>33.6</v>
      </c>
      <c r="AC43" s="26">
        <v>49.8</v>
      </c>
      <c r="AD43" s="26">
        <v>161</v>
      </c>
      <c r="AE43" s="26">
        <v>207.3</v>
      </c>
      <c r="AF43" s="26">
        <v>68.2</v>
      </c>
      <c r="AG43" s="26">
        <v>48</v>
      </c>
      <c r="AH43" s="26">
        <v>163.30000000000001</v>
      </c>
      <c r="AI43" s="26">
        <v>12.8</v>
      </c>
      <c r="AJ43" s="26">
        <v>2.9</v>
      </c>
      <c r="AK43" s="26">
        <v>49</v>
      </c>
      <c r="AL43" s="26">
        <v>371.7</v>
      </c>
      <c r="AO43" s="26">
        <v>16536</v>
      </c>
      <c r="AP43" s="26">
        <v>9.3000000000000007</v>
      </c>
      <c r="AQ43" s="26">
        <v>0.3</v>
      </c>
      <c r="AR43" s="26">
        <v>9.6</v>
      </c>
      <c r="BL43" s="26">
        <v>81.7</v>
      </c>
      <c r="BM43" s="26">
        <v>82.2</v>
      </c>
      <c r="BN43" s="26">
        <v>6890.3</v>
      </c>
      <c r="BO43" s="26">
        <v>2878.2</v>
      </c>
      <c r="BP43" s="26">
        <v>1</v>
      </c>
      <c r="BQ43" s="26">
        <v>3602.666666666667</v>
      </c>
      <c r="BR43" s="26">
        <v>9749.3333333333339</v>
      </c>
      <c r="BS43" s="26">
        <v>54112</v>
      </c>
    </row>
    <row r="44" spans="1:71">
      <c r="A44" s="55">
        <v>29494</v>
      </c>
      <c r="B44" s="26">
        <v>2856.5</v>
      </c>
      <c r="C44" s="26">
        <v>6688.8</v>
      </c>
      <c r="D44" s="26">
        <v>42.703000000000003</v>
      </c>
      <c r="E44" s="26">
        <v>1763.8</v>
      </c>
      <c r="F44" s="26">
        <v>4227.3999999999996</v>
      </c>
      <c r="G44" s="26">
        <v>41.723999999999997</v>
      </c>
      <c r="H44" s="26">
        <v>40.369</v>
      </c>
      <c r="I44" s="26">
        <v>30.498999999999999</v>
      </c>
      <c r="J44" s="26">
        <v>28.797000000000001</v>
      </c>
      <c r="K44" s="26">
        <v>39.027000000000001</v>
      </c>
      <c r="L44" s="26">
        <v>37</v>
      </c>
      <c r="M44" s="26">
        <v>24.2</v>
      </c>
      <c r="N44" s="26">
        <v>19</v>
      </c>
      <c r="O44" s="26">
        <v>287.89999999999998</v>
      </c>
      <c r="P44" s="26">
        <v>5</v>
      </c>
      <c r="Q44" s="26">
        <v>302.2</v>
      </c>
      <c r="R44" s="26">
        <v>204.3</v>
      </c>
      <c r="S44" s="26">
        <v>69.900000000000006</v>
      </c>
      <c r="T44" s="26">
        <v>592.20000000000005</v>
      </c>
      <c r="U44" s="26">
        <v>168</v>
      </c>
      <c r="V44" s="26">
        <v>41.722999999999999</v>
      </c>
      <c r="W44" s="26">
        <v>276.10000000000002</v>
      </c>
      <c r="X44" s="26">
        <v>316.10000000000002</v>
      </c>
      <c r="Y44" s="26">
        <v>684</v>
      </c>
      <c r="Z44" s="26">
        <v>1035.9000000000001</v>
      </c>
      <c r="AA44" s="26">
        <v>252.8</v>
      </c>
      <c r="AB44" s="26">
        <v>36.1</v>
      </c>
      <c r="AC44" s="26">
        <v>56</v>
      </c>
      <c r="AD44" s="26">
        <v>164.2</v>
      </c>
      <c r="AE44" s="26">
        <v>235.4</v>
      </c>
      <c r="AF44" s="26">
        <v>70.7</v>
      </c>
      <c r="AG44" s="26">
        <v>49.4</v>
      </c>
      <c r="AH44" s="26">
        <v>168.2</v>
      </c>
      <c r="AI44" s="26">
        <v>14</v>
      </c>
      <c r="AJ44" s="26">
        <v>3.8</v>
      </c>
      <c r="AK44" s="26">
        <v>52.4</v>
      </c>
      <c r="AL44" s="26">
        <v>379.1</v>
      </c>
      <c r="AO44" s="26">
        <v>15916</v>
      </c>
      <c r="AP44" s="26">
        <v>9.6999999999999993</v>
      </c>
      <c r="AQ44" s="26">
        <v>0.4</v>
      </c>
      <c r="AR44" s="26">
        <v>10.1</v>
      </c>
      <c r="BL44" s="26">
        <v>83.233333333333334</v>
      </c>
      <c r="BM44" s="26">
        <v>83.733333333333334</v>
      </c>
      <c r="BN44" s="26">
        <v>6928.3</v>
      </c>
      <c r="BO44" s="26">
        <v>2958.8</v>
      </c>
      <c r="BP44" s="26">
        <v>1</v>
      </c>
      <c r="BQ44" s="26">
        <v>3624</v>
      </c>
      <c r="BR44" s="26">
        <v>9782.3333333333339</v>
      </c>
      <c r="BS44" s="26">
        <v>52797</v>
      </c>
    </row>
    <row r="45" spans="1:71">
      <c r="A45" s="55">
        <v>29586</v>
      </c>
      <c r="B45" s="26">
        <v>2985.6</v>
      </c>
      <c r="C45" s="26">
        <v>6813.5</v>
      </c>
      <c r="D45" s="26">
        <v>43.835000000000001</v>
      </c>
      <c r="E45" s="26">
        <v>1831.9</v>
      </c>
      <c r="F45" s="26">
        <v>4284.5</v>
      </c>
      <c r="G45" s="26">
        <v>42.756999999999998</v>
      </c>
      <c r="H45" s="26">
        <v>41.584000000000003</v>
      </c>
      <c r="I45" s="26">
        <v>31.329000000000001</v>
      </c>
      <c r="J45" s="26">
        <v>29.562999999999999</v>
      </c>
      <c r="K45" s="26">
        <v>40.182000000000002</v>
      </c>
      <c r="L45" s="26">
        <v>38.799999999999997</v>
      </c>
      <c r="M45" s="26">
        <v>25.6</v>
      </c>
      <c r="N45" s="26">
        <v>17.8</v>
      </c>
      <c r="O45" s="26">
        <v>290.7</v>
      </c>
      <c r="P45" s="26">
        <v>5.3</v>
      </c>
      <c r="Q45" s="26">
        <v>318.89999999999998</v>
      </c>
      <c r="R45" s="26">
        <v>210.6</v>
      </c>
      <c r="S45" s="26">
        <v>76.8</v>
      </c>
      <c r="T45" s="26">
        <v>608.9</v>
      </c>
      <c r="U45" s="26">
        <v>174</v>
      </c>
      <c r="V45" s="26">
        <v>42.756</v>
      </c>
      <c r="W45" s="26">
        <v>285.8</v>
      </c>
      <c r="X45" s="26">
        <v>323.10000000000002</v>
      </c>
      <c r="Y45" s="26">
        <v>687.4</v>
      </c>
      <c r="Z45" s="26">
        <v>1030.8</v>
      </c>
      <c r="AA45" s="26">
        <v>267.2</v>
      </c>
      <c r="AB45" s="26">
        <v>37.299999999999997</v>
      </c>
      <c r="AC45" s="26">
        <v>61.7</v>
      </c>
      <c r="AD45" s="26">
        <v>170.1</v>
      </c>
      <c r="AE45" s="26">
        <v>236.4</v>
      </c>
      <c r="AF45" s="26">
        <v>73.099999999999994</v>
      </c>
      <c r="AG45" s="26">
        <v>51.6</v>
      </c>
      <c r="AH45" s="26">
        <v>173.3</v>
      </c>
      <c r="AI45" s="26">
        <v>15.1</v>
      </c>
      <c r="AJ45" s="26">
        <v>4</v>
      </c>
      <c r="AK45" s="26">
        <v>54.3</v>
      </c>
      <c r="AL45" s="26">
        <v>388.1</v>
      </c>
      <c r="AO45" s="26">
        <v>16628</v>
      </c>
      <c r="AP45" s="26">
        <v>9.9</v>
      </c>
      <c r="AQ45" s="26">
        <v>0.4</v>
      </c>
      <c r="AR45" s="26">
        <v>10.3</v>
      </c>
      <c r="BL45" s="26">
        <v>85.566666666666663</v>
      </c>
      <c r="BM45" s="26">
        <v>86.166666666666671</v>
      </c>
      <c r="BN45" s="26">
        <v>6968.3</v>
      </c>
      <c r="BO45" s="26">
        <v>3053.4</v>
      </c>
      <c r="BP45" s="26">
        <v>-1</v>
      </c>
      <c r="BQ45" s="26">
        <v>3630.666666666667</v>
      </c>
      <c r="BR45" s="26">
        <v>9793</v>
      </c>
      <c r="BS45" s="26">
        <v>54381</v>
      </c>
    </row>
    <row r="46" spans="1:71">
      <c r="A46" s="55">
        <v>29676</v>
      </c>
      <c r="B46" s="26">
        <v>3124.2</v>
      </c>
      <c r="C46" s="26">
        <v>6947</v>
      </c>
      <c r="D46" s="26">
        <v>44.997</v>
      </c>
      <c r="E46" s="26">
        <v>1885.7</v>
      </c>
      <c r="F46" s="26">
        <v>4298.8</v>
      </c>
      <c r="G46" s="26">
        <v>43.866</v>
      </c>
      <c r="H46" s="26">
        <v>42.414999999999999</v>
      </c>
      <c r="I46" s="26">
        <v>32.347000000000001</v>
      </c>
      <c r="J46" s="26">
        <v>30.553999999999998</v>
      </c>
      <c r="K46" s="26">
        <v>41.32</v>
      </c>
      <c r="L46" s="26">
        <v>40.700000000000003</v>
      </c>
      <c r="M46" s="26">
        <v>26.5</v>
      </c>
      <c r="N46" s="26">
        <v>16.399999999999999</v>
      </c>
      <c r="O46" s="26">
        <v>296.10000000000002</v>
      </c>
      <c r="P46" s="26">
        <v>5.6</v>
      </c>
      <c r="Q46" s="26">
        <v>330.9</v>
      </c>
      <c r="R46" s="26">
        <v>230.8</v>
      </c>
      <c r="S46" s="26">
        <v>75.400000000000006</v>
      </c>
      <c r="T46" s="26">
        <v>633.4</v>
      </c>
      <c r="U46" s="26">
        <v>191</v>
      </c>
      <c r="V46" s="26">
        <v>43.866</v>
      </c>
      <c r="W46" s="26">
        <v>297.2</v>
      </c>
      <c r="X46" s="26">
        <v>336.1</v>
      </c>
      <c r="Y46" s="26">
        <v>700.9</v>
      </c>
      <c r="Z46" s="26">
        <v>1038.9000000000001</v>
      </c>
      <c r="AA46" s="26">
        <v>278.39999999999998</v>
      </c>
      <c r="AB46" s="26">
        <v>50.7</v>
      </c>
      <c r="AC46" s="26">
        <v>58.5</v>
      </c>
      <c r="AD46" s="26">
        <v>187.3</v>
      </c>
      <c r="AE46" s="26">
        <v>240.5</v>
      </c>
      <c r="AF46" s="26">
        <v>71.5</v>
      </c>
      <c r="AG46" s="26">
        <v>52.5</v>
      </c>
      <c r="AH46" s="26">
        <v>180.2</v>
      </c>
      <c r="AI46" s="26">
        <v>16.8</v>
      </c>
      <c r="AJ46" s="26">
        <v>3.7</v>
      </c>
      <c r="AK46" s="26">
        <v>55.6</v>
      </c>
      <c r="AL46" s="26">
        <v>402.6</v>
      </c>
      <c r="AO46" s="26">
        <v>16092</v>
      </c>
      <c r="AP46" s="26">
        <v>10.199999999999999</v>
      </c>
      <c r="AQ46" s="26">
        <v>0.4</v>
      </c>
      <c r="AR46" s="26">
        <v>10.6</v>
      </c>
      <c r="BL46" s="26">
        <v>87.933333333333337</v>
      </c>
      <c r="BM46" s="26">
        <v>88.466666666666654</v>
      </c>
      <c r="BN46" s="26">
        <v>7012.5</v>
      </c>
      <c r="BO46" s="26">
        <v>3153.6</v>
      </c>
      <c r="BP46" s="26">
        <v>-1</v>
      </c>
      <c r="BQ46" s="26">
        <v>3636</v>
      </c>
      <c r="BR46" s="26">
        <v>9750.3333333333339</v>
      </c>
      <c r="BS46" s="26">
        <v>60484</v>
      </c>
    </row>
    <row r="47" spans="1:71">
      <c r="A47" s="55">
        <v>29767</v>
      </c>
      <c r="B47" s="26">
        <v>3162.5</v>
      </c>
      <c r="C47" s="26">
        <v>6895.6</v>
      </c>
      <c r="D47" s="26">
        <v>45.841999999999999</v>
      </c>
      <c r="E47" s="26">
        <v>1917.5</v>
      </c>
      <c r="F47" s="26">
        <v>4299.2</v>
      </c>
      <c r="G47" s="26">
        <v>44.600999999999999</v>
      </c>
      <c r="H47" s="26">
        <v>43.402000000000001</v>
      </c>
      <c r="I47" s="26">
        <v>33.043999999999997</v>
      </c>
      <c r="J47" s="26">
        <v>31.193000000000001</v>
      </c>
      <c r="K47" s="26">
        <v>42.308</v>
      </c>
      <c r="L47" s="26">
        <v>42.6</v>
      </c>
      <c r="M47" s="26">
        <v>28.1</v>
      </c>
      <c r="N47" s="26">
        <v>15.5</v>
      </c>
      <c r="O47" s="26">
        <v>299</v>
      </c>
      <c r="P47" s="26">
        <v>5.9</v>
      </c>
      <c r="Q47" s="26">
        <v>342.7</v>
      </c>
      <c r="R47" s="26">
        <v>235.5</v>
      </c>
      <c r="S47" s="26">
        <v>65.900000000000006</v>
      </c>
      <c r="T47" s="26">
        <v>648.70000000000005</v>
      </c>
      <c r="U47" s="26">
        <v>194.8</v>
      </c>
      <c r="V47" s="26">
        <v>44.601999999999997</v>
      </c>
      <c r="W47" s="26">
        <v>311.89999999999998</v>
      </c>
      <c r="X47" s="26">
        <v>336.8</v>
      </c>
      <c r="Y47" s="26">
        <v>718.9</v>
      </c>
      <c r="Z47" s="26">
        <v>1019</v>
      </c>
      <c r="AA47" s="26">
        <v>289</v>
      </c>
      <c r="AB47" s="26">
        <v>51.8</v>
      </c>
      <c r="AC47" s="26">
        <v>50.7</v>
      </c>
      <c r="AD47" s="26">
        <v>190.9</v>
      </c>
      <c r="AE47" s="26">
        <v>241.6</v>
      </c>
      <c r="AF47" s="26">
        <v>71.400000000000006</v>
      </c>
      <c r="AG47" s="26">
        <v>53.7</v>
      </c>
      <c r="AH47" s="26">
        <v>183.7</v>
      </c>
      <c r="AI47" s="26">
        <v>15.2</v>
      </c>
      <c r="AJ47" s="26">
        <v>3.8</v>
      </c>
      <c r="AK47" s="26">
        <v>57.4</v>
      </c>
      <c r="AL47" s="26">
        <v>405.3</v>
      </c>
      <c r="AO47" s="26">
        <v>15716</v>
      </c>
      <c r="AP47" s="26">
        <v>10.3</v>
      </c>
      <c r="AQ47" s="26">
        <v>0.4</v>
      </c>
      <c r="AR47" s="26">
        <v>10.7</v>
      </c>
      <c r="BL47" s="26">
        <v>89.766666666666666</v>
      </c>
      <c r="BM47" s="26">
        <v>90.233333333333348</v>
      </c>
      <c r="BN47" s="26">
        <v>7059.7</v>
      </c>
      <c r="BO47" s="26">
        <v>3237.8</v>
      </c>
      <c r="BP47" s="26">
        <v>-1</v>
      </c>
      <c r="BQ47" s="26">
        <v>3631.666666666667</v>
      </c>
      <c r="BR47" s="26">
        <v>9665</v>
      </c>
      <c r="BS47" s="26">
        <v>53862</v>
      </c>
    </row>
    <row r="48" spans="1:71">
      <c r="A48" s="55">
        <v>29859</v>
      </c>
      <c r="B48" s="26">
        <v>3260.6</v>
      </c>
      <c r="C48" s="26">
        <v>6978.1</v>
      </c>
      <c r="D48" s="26">
        <v>46.732999999999997</v>
      </c>
      <c r="E48" s="26">
        <v>1958.1</v>
      </c>
      <c r="F48" s="26">
        <v>4319</v>
      </c>
      <c r="G48" s="26">
        <v>45.335999999999999</v>
      </c>
      <c r="H48" s="26">
        <v>44.353999999999999</v>
      </c>
      <c r="I48" s="26">
        <v>33.491999999999997</v>
      </c>
      <c r="J48" s="26">
        <v>31.565000000000001</v>
      </c>
      <c r="K48" s="26">
        <v>43.174999999999997</v>
      </c>
      <c r="L48" s="26">
        <v>44.4</v>
      </c>
      <c r="M48" s="26">
        <v>28.3</v>
      </c>
      <c r="N48" s="26">
        <v>15</v>
      </c>
      <c r="O48" s="26">
        <v>317</v>
      </c>
      <c r="P48" s="26">
        <v>6.1</v>
      </c>
      <c r="Q48" s="26">
        <v>356.9</v>
      </c>
      <c r="R48" s="26">
        <v>237.5</v>
      </c>
      <c r="S48" s="26">
        <v>68.400000000000006</v>
      </c>
      <c r="T48" s="26">
        <v>657.8</v>
      </c>
      <c r="U48" s="26">
        <v>199.5</v>
      </c>
      <c r="V48" s="26">
        <v>45.335999999999999</v>
      </c>
      <c r="W48" s="26">
        <v>317.39999999999998</v>
      </c>
      <c r="X48" s="26">
        <v>340.3</v>
      </c>
      <c r="Y48" s="26">
        <v>715.9</v>
      </c>
      <c r="Z48" s="26">
        <v>1016.1</v>
      </c>
      <c r="AA48" s="26">
        <v>301.39999999999998</v>
      </c>
      <c r="AB48" s="26">
        <v>49.1</v>
      </c>
      <c r="AC48" s="26">
        <v>52.7</v>
      </c>
      <c r="AD48" s="26">
        <v>195.6</v>
      </c>
      <c r="AE48" s="26">
        <v>259.3</v>
      </c>
      <c r="AF48" s="26">
        <v>68.8</v>
      </c>
      <c r="AG48" s="26">
        <v>55.5</v>
      </c>
      <c r="AH48" s="26">
        <v>188.3</v>
      </c>
      <c r="AI48" s="26">
        <v>15.7</v>
      </c>
      <c r="AJ48" s="26">
        <v>3.9</v>
      </c>
      <c r="AK48" s="26">
        <v>57.7</v>
      </c>
      <c r="AL48" s="26">
        <v>409.8</v>
      </c>
      <c r="AO48" s="26">
        <v>14828</v>
      </c>
      <c r="AP48" s="26">
        <v>10.7</v>
      </c>
      <c r="AQ48" s="26">
        <v>0.4</v>
      </c>
      <c r="AR48" s="26">
        <v>11.1</v>
      </c>
      <c r="BL48" s="26">
        <v>92.266666666666666</v>
      </c>
      <c r="BM48" s="26">
        <v>92.733333333333334</v>
      </c>
      <c r="BN48" s="26">
        <v>7109.5</v>
      </c>
      <c r="BO48" s="26">
        <v>3322</v>
      </c>
      <c r="BP48" s="26">
        <v>1</v>
      </c>
      <c r="BQ48" s="26">
        <v>3640</v>
      </c>
      <c r="BR48" s="26">
        <v>9547.6666666666661</v>
      </c>
      <c r="BS48" s="26">
        <v>52044</v>
      </c>
    </row>
    <row r="49" spans="1:71">
      <c r="A49" s="55">
        <v>29951</v>
      </c>
      <c r="B49" s="26">
        <v>3280.8</v>
      </c>
      <c r="C49" s="26">
        <v>6902.1</v>
      </c>
      <c r="D49" s="26">
        <v>47.505000000000003</v>
      </c>
      <c r="E49" s="26">
        <v>1974.4</v>
      </c>
      <c r="F49" s="26">
        <v>4289.5</v>
      </c>
      <c r="G49" s="26">
        <v>46.030999999999999</v>
      </c>
      <c r="H49" s="26">
        <v>45.203000000000003</v>
      </c>
      <c r="I49" s="26">
        <v>34.021999999999998</v>
      </c>
      <c r="J49" s="26">
        <v>32.049999999999997</v>
      </c>
      <c r="K49" s="26">
        <v>43.944000000000003</v>
      </c>
      <c r="L49" s="26">
        <v>46.3</v>
      </c>
      <c r="M49" s="26">
        <v>28</v>
      </c>
      <c r="N49" s="26">
        <v>16.600000000000001</v>
      </c>
      <c r="O49" s="26">
        <v>319.2</v>
      </c>
      <c r="P49" s="26">
        <v>6.3</v>
      </c>
      <c r="Q49" s="26">
        <v>352.7</v>
      </c>
      <c r="R49" s="26">
        <v>238.8</v>
      </c>
      <c r="S49" s="26">
        <v>58.9</v>
      </c>
      <c r="T49" s="26">
        <v>677.7</v>
      </c>
      <c r="U49" s="26">
        <v>202.2</v>
      </c>
      <c r="V49" s="26">
        <v>46.03</v>
      </c>
      <c r="W49" s="26">
        <v>329.3</v>
      </c>
      <c r="X49" s="26">
        <v>348.4</v>
      </c>
      <c r="Y49" s="26">
        <v>728.8</v>
      </c>
      <c r="Z49" s="26">
        <v>1024</v>
      </c>
      <c r="AA49" s="26">
        <v>295.89999999999998</v>
      </c>
      <c r="AB49" s="26">
        <v>48.1</v>
      </c>
      <c r="AC49" s="26">
        <v>44.8</v>
      </c>
      <c r="AD49" s="26">
        <v>198.2</v>
      </c>
      <c r="AE49" s="26">
        <v>261.5</v>
      </c>
      <c r="AF49" s="26">
        <v>66</v>
      </c>
      <c r="AG49" s="26">
        <v>56.8</v>
      </c>
      <c r="AH49" s="26">
        <v>190.7</v>
      </c>
      <c r="AI49" s="26">
        <v>14.1</v>
      </c>
      <c r="AJ49" s="26">
        <v>4</v>
      </c>
      <c r="AK49" s="26">
        <v>57.7</v>
      </c>
      <c r="AL49" s="26">
        <v>418.5</v>
      </c>
      <c r="AO49" s="26">
        <v>15012</v>
      </c>
      <c r="AP49" s="26">
        <v>13.1</v>
      </c>
      <c r="AQ49" s="26">
        <v>0.4</v>
      </c>
      <c r="AR49" s="26">
        <v>13.5</v>
      </c>
      <c r="BL49" s="26">
        <v>93.766666666666666</v>
      </c>
      <c r="BM49" s="26">
        <v>94.166666666666671</v>
      </c>
      <c r="BN49" s="26">
        <v>7161.9</v>
      </c>
      <c r="BO49" s="26">
        <v>3404.3</v>
      </c>
      <c r="BP49" s="26">
        <v>1</v>
      </c>
      <c r="BQ49" s="26">
        <v>3653</v>
      </c>
      <c r="BR49" s="26">
        <v>9507</v>
      </c>
      <c r="BS49" s="26">
        <v>54313.666666666657</v>
      </c>
    </row>
    <row r="50" spans="1:71">
      <c r="A50" s="55">
        <v>30041</v>
      </c>
      <c r="B50" s="26">
        <v>3274.3</v>
      </c>
      <c r="C50" s="26">
        <v>6794.9</v>
      </c>
      <c r="D50" s="26">
        <v>48.186</v>
      </c>
      <c r="E50" s="26">
        <v>2014.2</v>
      </c>
      <c r="F50" s="26">
        <v>4321.1000000000004</v>
      </c>
      <c r="G50" s="26">
        <v>46.616</v>
      </c>
      <c r="H50" s="26">
        <v>45.924999999999997</v>
      </c>
      <c r="I50" s="26">
        <v>34.594000000000001</v>
      </c>
      <c r="J50" s="26">
        <v>32.612000000000002</v>
      </c>
      <c r="K50" s="26">
        <v>44.56</v>
      </c>
      <c r="L50" s="26">
        <v>48.2</v>
      </c>
      <c r="M50" s="26">
        <v>28.8</v>
      </c>
      <c r="N50" s="26">
        <v>19.100000000000001</v>
      </c>
      <c r="O50" s="26">
        <v>324.3</v>
      </c>
      <c r="P50" s="26">
        <v>6.7</v>
      </c>
      <c r="Q50" s="26">
        <v>352.5</v>
      </c>
      <c r="R50" s="26">
        <v>237.4</v>
      </c>
      <c r="S50" s="26">
        <v>47.6</v>
      </c>
      <c r="T50" s="26">
        <v>688.1</v>
      </c>
      <c r="U50" s="26">
        <v>207.2</v>
      </c>
      <c r="V50" s="26">
        <v>46.612000000000002</v>
      </c>
      <c r="W50" s="26">
        <v>334.9</v>
      </c>
      <c r="X50" s="26">
        <v>353.2</v>
      </c>
      <c r="Y50" s="26">
        <v>729.3</v>
      </c>
      <c r="Z50" s="26">
        <v>1021.2</v>
      </c>
      <c r="AA50" s="26">
        <v>295.2</v>
      </c>
      <c r="AB50" s="26">
        <v>43.5</v>
      </c>
      <c r="AC50" s="26">
        <v>33.5</v>
      </c>
      <c r="AD50" s="26">
        <v>203.2</v>
      </c>
      <c r="AE50" s="26">
        <v>265.2</v>
      </c>
      <c r="AF50" s="26">
        <v>65.8</v>
      </c>
      <c r="AG50" s="26">
        <v>57.3</v>
      </c>
      <c r="AH50" s="26">
        <v>193.9</v>
      </c>
      <c r="AI50" s="26">
        <v>14.1</v>
      </c>
      <c r="AJ50" s="26">
        <v>4</v>
      </c>
      <c r="AK50" s="26">
        <v>59</v>
      </c>
      <c r="AL50" s="26">
        <v>425.5</v>
      </c>
      <c r="AO50" s="26">
        <v>13852</v>
      </c>
      <c r="AP50" s="26">
        <v>13.6</v>
      </c>
      <c r="AQ50" s="26">
        <v>0.4</v>
      </c>
      <c r="AR50" s="26">
        <v>14</v>
      </c>
      <c r="BL50" s="26">
        <v>94.600000000000009</v>
      </c>
      <c r="BM50" s="26">
        <v>94.966666666666654</v>
      </c>
      <c r="BN50" s="26">
        <v>7216.2</v>
      </c>
      <c r="BO50" s="26">
        <v>3477.3</v>
      </c>
      <c r="BP50" s="26">
        <v>1</v>
      </c>
      <c r="BQ50" s="26">
        <v>3645.666666666667</v>
      </c>
      <c r="BR50" s="26">
        <v>9484.3333333333339</v>
      </c>
      <c r="BS50" s="26">
        <v>51944</v>
      </c>
    </row>
    <row r="51" spans="1:71">
      <c r="A51" s="55">
        <v>30132</v>
      </c>
      <c r="B51" s="26">
        <v>3332</v>
      </c>
      <c r="C51" s="26">
        <v>6825.9</v>
      </c>
      <c r="D51" s="26">
        <v>48.826000000000001</v>
      </c>
      <c r="E51" s="26">
        <v>2039.6</v>
      </c>
      <c r="F51" s="26">
        <v>4334.3</v>
      </c>
      <c r="G51" s="26">
        <v>47.064</v>
      </c>
      <c r="H51" s="26">
        <v>46.835000000000001</v>
      </c>
      <c r="I51" s="26">
        <v>35.15</v>
      </c>
      <c r="J51" s="26">
        <v>33.131</v>
      </c>
      <c r="K51" s="26">
        <v>45.305</v>
      </c>
      <c r="L51" s="26">
        <v>50.1</v>
      </c>
      <c r="M51" s="26">
        <v>30.2</v>
      </c>
      <c r="N51" s="26">
        <v>23.9</v>
      </c>
      <c r="O51" s="26">
        <v>333.2</v>
      </c>
      <c r="P51" s="26">
        <v>6.9</v>
      </c>
      <c r="Q51" s="26">
        <v>359.7</v>
      </c>
      <c r="R51" s="26">
        <v>238.3</v>
      </c>
      <c r="S51" s="26">
        <v>49</v>
      </c>
      <c r="T51" s="26">
        <v>703.1</v>
      </c>
      <c r="U51" s="26">
        <v>209.2</v>
      </c>
      <c r="V51" s="26">
        <v>47.058999999999997</v>
      </c>
      <c r="W51" s="26">
        <v>342.9</v>
      </c>
      <c r="X51" s="26">
        <v>360.2</v>
      </c>
      <c r="Y51" s="26">
        <v>732.3</v>
      </c>
      <c r="Z51" s="26">
        <v>1024.8</v>
      </c>
      <c r="AA51" s="26">
        <v>301.7</v>
      </c>
      <c r="AB51" s="26">
        <v>40</v>
      </c>
      <c r="AC51" s="26">
        <v>34.700000000000003</v>
      </c>
      <c r="AD51" s="26">
        <v>205.2</v>
      </c>
      <c r="AE51" s="26">
        <v>272.2</v>
      </c>
      <c r="AF51" s="26">
        <v>67.3</v>
      </c>
      <c r="AG51" s="26">
        <v>58.1</v>
      </c>
      <c r="AH51" s="26">
        <v>198.3</v>
      </c>
      <c r="AI51" s="26">
        <v>14.3</v>
      </c>
      <c r="AJ51" s="26">
        <v>4</v>
      </c>
      <c r="AK51" s="26">
        <v>61</v>
      </c>
      <c r="AL51" s="26">
        <v>435.4</v>
      </c>
      <c r="AO51" s="26">
        <v>14552</v>
      </c>
      <c r="AP51" s="26">
        <v>13.2</v>
      </c>
      <c r="AQ51" s="26">
        <v>0.5</v>
      </c>
      <c r="AR51" s="26">
        <v>13.6</v>
      </c>
      <c r="BL51" s="26">
        <v>95.966666666666669</v>
      </c>
      <c r="BM51" s="26">
        <v>96.233333333333334</v>
      </c>
      <c r="BN51" s="26">
        <v>7271.9</v>
      </c>
      <c r="BO51" s="26">
        <v>3549.7</v>
      </c>
      <c r="BP51" s="26">
        <v>1</v>
      </c>
      <c r="BQ51" s="26">
        <v>3647.3333333333339</v>
      </c>
      <c r="BR51" s="26">
        <v>9495.6666666666661</v>
      </c>
      <c r="BS51" s="26">
        <v>52182.666666666657</v>
      </c>
    </row>
    <row r="52" spans="1:71">
      <c r="A52" s="55">
        <v>30224</v>
      </c>
      <c r="B52" s="26">
        <v>3366.3</v>
      </c>
      <c r="C52" s="26">
        <v>6799.8</v>
      </c>
      <c r="D52" s="26">
        <v>49.503999999999998</v>
      </c>
      <c r="E52" s="26">
        <v>2085.6999999999998</v>
      </c>
      <c r="F52" s="26">
        <v>4363.3</v>
      </c>
      <c r="G52" s="26">
        <v>47.808</v>
      </c>
      <c r="H52" s="26">
        <v>47.228000000000002</v>
      </c>
      <c r="I52" s="26">
        <v>35.703000000000003</v>
      </c>
      <c r="J52" s="26">
        <v>33.682000000000002</v>
      </c>
      <c r="K52" s="26">
        <v>45.84</v>
      </c>
      <c r="L52" s="26">
        <v>51.8</v>
      </c>
      <c r="M52" s="26">
        <v>30.8</v>
      </c>
      <c r="N52" s="26">
        <v>26.1</v>
      </c>
      <c r="O52" s="26">
        <v>349.7</v>
      </c>
      <c r="P52" s="26">
        <v>7.2</v>
      </c>
      <c r="Q52" s="26">
        <v>350.1</v>
      </c>
      <c r="R52" s="26">
        <v>241.8</v>
      </c>
      <c r="S52" s="26">
        <v>49.8</v>
      </c>
      <c r="T52" s="26">
        <v>717.3</v>
      </c>
      <c r="U52" s="26">
        <v>211.5</v>
      </c>
      <c r="V52" s="26">
        <v>47.8</v>
      </c>
      <c r="W52" s="26">
        <v>351.5</v>
      </c>
      <c r="X52" s="26">
        <v>365.8</v>
      </c>
      <c r="Y52" s="26">
        <v>744.3</v>
      </c>
      <c r="Z52" s="26">
        <v>1024.8</v>
      </c>
      <c r="AA52" s="26">
        <v>289.7</v>
      </c>
      <c r="AB52" s="26">
        <v>40.1</v>
      </c>
      <c r="AC52" s="26">
        <v>35.4</v>
      </c>
      <c r="AD52" s="26">
        <v>207.5</v>
      </c>
      <c r="AE52" s="26">
        <v>287.5</v>
      </c>
      <c r="AF52" s="26">
        <v>65.599999999999994</v>
      </c>
      <c r="AG52" s="26">
        <v>60.4</v>
      </c>
      <c r="AH52" s="26">
        <v>201.7</v>
      </c>
      <c r="AI52" s="26">
        <v>14.4</v>
      </c>
      <c r="AJ52" s="26">
        <v>4.0999999999999996</v>
      </c>
      <c r="AK52" s="26">
        <v>62.1</v>
      </c>
      <c r="AL52" s="26">
        <v>443.4</v>
      </c>
      <c r="AO52" s="26">
        <v>14544</v>
      </c>
      <c r="AP52" s="26">
        <v>12.6</v>
      </c>
      <c r="AQ52" s="26">
        <v>0.5</v>
      </c>
      <c r="AR52" s="26">
        <v>13</v>
      </c>
      <c r="BL52" s="26">
        <v>97.63333333333334</v>
      </c>
      <c r="BM52" s="26">
        <v>98</v>
      </c>
      <c r="BN52" s="26">
        <v>7328.5</v>
      </c>
      <c r="BO52" s="26">
        <v>3628</v>
      </c>
      <c r="BP52" s="26">
        <v>1</v>
      </c>
      <c r="BQ52" s="26">
        <v>3625.666666666667</v>
      </c>
      <c r="BR52" s="26">
        <v>9409.6666666666661</v>
      </c>
      <c r="BS52" s="26">
        <v>52486.333333333343</v>
      </c>
    </row>
    <row r="53" spans="1:71">
      <c r="A53" s="55">
        <v>30316</v>
      </c>
      <c r="B53" s="26">
        <v>3402.6</v>
      </c>
      <c r="C53" s="26">
        <v>6802.5</v>
      </c>
      <c r="D53" s="26">
        <v>50.005000000000003</v>
      </c>
      <c r="E53" s="26">
        <v>2145.6</v>
      </c>
      <c r="F53" s="26">
        <v>4439.7</v>
      </c>
      <c r="G53" s="26">
        <v>48.335000000000001</v>
      </c>
      <c r="H53" s="26">
        <v>47.784999999999997</v>
      </c>
      <c r="I53" s="26">
        <v>36.155999999999999</v>
      </c>
      <c r="J53" s="26">
        <v>34.188000000000002</v>
      </c>
      <c r="K53" s="26">
        <v>45.956000000000003</v>
      </c>
      <c r="L53" s="26">
        <v>53.6</v>
      </c>
      <c r="M53" s="26">
        <v>30.8</v>
      </c>
      <c r="N53" s="26">
        <v>31.8</v>
      </c>
      <c r="O53" s="26">
        <v>365.2</v>
      </c>
      <c r="P53" s="26">
        <v>7.5</v>
      </c>
      <c r="Q53" s="26">
        <v>356.6</v>
      </c>
      <c r="R53" s="26">
        <v>246.3</v>
      </c>
      <c r="S53" s="26">
        <v>45.1</v>
      </c>
      <c r="T53" s="26">
        <v>737.4</v>
      </c>
      <c r="U53" s="26">
        <v>212.4</v>
      </c>
      <c r="V53" s="26">
        <v>48.326000000000001</v>
      </c>
      <c r="W53" s="26">
        <v>364.1</v>
      </c>
      <c r="X53" s="26">
        <v>373.3</v>
      </c>
      <c r="Y53" s="26">
        <v>761.9</v>
      </c>
      <c r="Z53" s="26">
        <v>1032.5</v>
      </c>
      <c r="AA53" s="26">
        <v>295.8</v>
      </c>
      <c r="AB53" s="26">
        <v>40.299999999999997</v>
      </c>
      <c r="AC53" s="26">
        <v>31.7</v>
      </c>
      <c r="AD53" s="26">
        <v>208.3</v>
      </c>
      <c r="AE53" s="26">
        <v>302.60000000000002</v>
      </c>
      <c r="AF53" s="26">
        <v>66.3</v>
      </c>
      <c r="AG53" s="26">
        <v>60.8</v>
      </c>
      <c r="AH53" s="26">
        <v>206</v>
      </c>
      <c r="AI53" s="26">
        <v>13.3</v>
      </c>
      <c r="AJ53" s="26">
        <v>4.0999999999999996</v>
      </c>
      <c r="AK53" s="26">
        <v>62.6</v>
      </c>
      <c r="AL53" s="26">
        <v>452.9</v>
      </c>
      <c r="AO53" s="26">
        <v>14484</v>
      </c>
      <c r="AP53" s="26">
        <v>19</v>
      </c>
      <c r="AQ53" s="26">
        <v>0.5</v>
      </c>
      <c r="AR53" s="26">
        <v>19.399999999999999</v>
      </c>
      <c r="BL53" s="26">
        <v>97.933333333333337</v>
      </c>
      <c r="BM53" s="26">
        <v>98.333333333333329</v>
      </c>
      <c r="BN53" s="26">
        <v>7386.2</v>
      </c>
      <c r="BO53" s="26">
        <v>3694.6</v>
      </c>
      <c r="BP53" s="26">
        <v>1</v>
      </c>
      <c r="BQ53" s="26">
        <v>3640.3333333333339</v>
      </c>
      <c r="BR53" s="26">
        <v>9437</v>
      </c>
      <c r="BS53" s="26">
        <v>54765.333333333343</v>
      </c>
    </row>
    <row r="54" spans="1:71">
      <c r="A54" s="55">
        <v>30406</v>
      </c>
      <c r="B54" s="26">
        <v>3473.4</v>
      </c>
      <c r="C54" s="26">
        <v>6892.1</v>
      </c>
      <c r="D54" s="26">
        <v>50.404000000000003</v>
      </c>
      <c r="E54" s="26">
        <v>2184.6</v>
      </c>
      <c r="F54" s="26">
        <v>4483.6000000000004</v>
      </c>
      <c r="G54" s="26">
        <v>48.734999999999999</v>
      </c>
      <c r="H54" s="26">
        <v>47.875</v>
      </c>
      <c r="I54" s="26">
        <v>36.415999999999997</v>
      </c>
      <c r="J54" s="26">
        <v>34.481000000000002</v>
      </c>
      <c r="K54" s="26">
        <v>45.999000000000002</v>
      </c>
      <c r="L54" s="26">
        <v>55.2</v>
      </c>
      <c r="M54" s="26">
        <v>33.200000000000003</v>
      </c>
      <c r="N54" s="26">
        <v>30.3</v>
      </c>
      <c r="O54" s="26">
        <v>368</v>
      </c>
      <c r="P54" s="26">
        <v>7.7</v>
      </c>
      <c r="Q54" s="26">
        <v>350.9</v>
      </c>
      <c r="R54" s="26">
        <v>250.7</v>
      </c>
      <c r="S54" s="26">
        <v>47.1</v>
      </c>
      <c r="T54" s="26">
        <v>747.9</v>
      </c>
      <c r="U54" s="26">
        <v>220.2</v>
      </c>
      <c r="V54" s="26">
        <v>48.723999999999997</v>
      </c>
      <c r="W54" s="26">
        <v>370.5</v>
      </c>
      <c r="X54" s="26">
        <v>377.4</v>
      </c>
      <c r="Y54" s="26">
        <v>773.9</v>
      </c>
      <c r="Z54" s="26">
        <v>1036.3</v>
      </c>
      <c r="AA54" s="26">
        <v>289.5</v>
      </c>
      <c r="AB54" s="26">
        <v>41.1</v>
      </c>
      <c r="AC54" s="26">
        <v>34.299999999999997</v>
      </c>
      <c r="AD54" s="26">
        <v>216.1</v>
      </c>
      <c r="AE54" s="26">
        <v>302.2</v>
      </c>
      <c r="AF54" s="26">
        <v>67.2</v>
      </c>
      <c r="AG54" s="26">
        <v>61.3</v>
      </c>
      <c r="AH54" s="26">
        <v>209.6</v>
      </c>
      <c r="AI54" s="26">
        <v>12.8</v>
      </c>
      <c r="AJ54" s="26">
        <v>4</v>
      </c>
      <c r="AK54" s="26">
        <v>65.8</v>
      </c>
      <c r="AL54" s="26">
        <v>461.9</v>
      </c>
      <c r="AO54" s="26">
        <v>15900</v>
      </c>
      <c r="AP54" s="26">
        <v>19.399999999999999</v>
      </c>
      <c r="AQ54" s="26">
        <v>0.5</v>
      </c>
      <c r="AR54" s="26">
        <v>19.899999999999999</v>
      </c>
      <c r="BL54" s="26">
        <v>98</v>
      </c>
      <c r="BM54" s="26">
        <v>98.3</v>
      </c>
      <c r="BN54" s="26">
        <v>7443.9</v>
      </c>
      <c r="BO54" s="26">
        <v>3751.5</v>
      </c>
      <c r="BP54" s="26">
        <v>-1</v>
      </c>
      <c r="BQ54" s="26">
        <v>3650.3333333333339</v>
      </c>
      <c r="BR54" s="26">
        <v>9447.3333333333339</v>
      </c>
      <c r="BS54" s="26">
        <v>52678.333333333343</v>
      </c>
    </row>
    <row r="55" spans="1:71">
      <c r="A55" s="55">
        <v>30497</v>
      </c>
      <c r="B55" s="26">
        <v>3578.8</v>
      </c>
      <c r="C55" s="26">
        <v>7049</v>
      </c>
      <c r="D55" s="26">
        <v>50.777999999999999</v>
      </c>
      <c r="E55" s="26">
        <v>2249.4</v>
      </c>
      <c r="F55" s="26">
        <v>4574.8999999999996</v>
      </c>
      <c r="G55" s="26">
        <v>49.18</v>
      </c>
      <c r="H55" s="26">
        <v>48.244999999999997</v>
      </c>
      <c r="I55" s="26">
        <v>36.814999999999998</v>
      </c>
      <c r="J55" s="26">
        <v>34.951999999999998</v>
      </c>
      <c r="K55" s="26">
        <v>45.936999999999998</v>
      </c>
      <c r="L55" s="26">
        <v>56.9</v>
      </c>
      <c r="M55" s="26">
        <v>33.4</v>
      </c>
      <c r="N55" s="26">
        <v>32.1</v>
      </c>
      <c r="O55" s="26">
        <v>373.7</v>
      </c>
      <c r="P55" s="26">
        <v>8</v>
      </c>
      <c r="Q55" s="26">
        <v>359.6</v>
      </c>
      <c r="R55" s="26">
        <v>261.2</v>
      </c>
      <c r="S55" s="26">
        <v>61.9</v>
      </c>
      <c r="T55" s="26">
        <v>761.1</v>
      </c>
      <c r="U55" s="26">
        <v>224.2</v>
      </c>
      <c r="V55" s="26">
        <v>49.168999999999997</v>
      </c>
      <c r="W55" s="26">
        <v>380.3</v>
      </c>
      <c r="X55" s="26">
        <v>380.7</v>
      </c>
      <c r="Y55" s="26">
        <v>788.3</v>
      </c>
      <c r="Z55" s="26">
        <v>1034.2</v>
      </c>
      <c r="AA55" s="26">
        <v>295.3</v>
      </c>
      <c r="AB55" s="26">
        <v>45.3</v>
      </c>
      <c r="AC55" s="26">
        <v>46.3</v>
      </c>
      <c r="AD55" s="26">
        <v>220.2</v>
      </c>
      <c r="AE55" s="26">
        <v>307.39999999999998</v>
      </c>
      <c r="AF55" s="26">
        <v>69.2</v>
      </c>
      <c r="AG55" s="26">
        <v>64.3</v>
      </c>
      <c r="AH55" s="26">
        <v>216</v>
      </c>
      <c r="AI55" s="26">
        <v>15.7</v>
      </c>
      <c r="AJ55" s="26">
        <v>4.0999999999999996</v>
      </c>
      <c r="AK55" s="26">
        <v>66.3</v>
      </c>
      <c r="AL55" s="26">
        <v>467.5</v>
      </c>
      <c r="AO55" s="26">
        <v>14200</v>
      </c>
      <c r="AP55" s="26">
        <v>21.1</v>
      </c>
      <c r="AQ55" s="26">
        <v>0.4</v>
      </c>
      <c r="AR55" s="26">
        <v>21.6</v>
      </c>
      <c r="BL55" s="26">
        <v>99.13333333333334</v>
      </c>
      <c r="BM55" s="26">
        <v>99.433333333333337</v>
      </c>
      <c r="BN55" s="26">
        <v>7502.9</v>
      </c>
      <c r="BO55" s="26">
        <v>3809.3</v>
      </c>
      <c r="BP55" s="26">
        <v>-1</v>
      </c>
      <c r="BQ55" s="26">
        <v>3656</v>
      </c>
      <c r="BR55" s="26">
        <v>9445.3333333333339</v>
      </c>
      <c r="BS55" s="26">
        <v>51386</v>
      </c>
    </row>
    <row r="56" spans="1:71">
      <c r="A56" s="55">
        <v>30589</v>
      </c>
      <c r="B56" s="26">
        <v>3689.2</v>
      </c>
      <c r="C56" s="26">
        <v>7189.9</v>
      </c>
      <c r="D56" s="26">
        <v>51.317999999999998</v>
      </c>
      <c r="E56" s="26">
        <v>2319.9</v>
      </c>
      <c r="F56" s="26">
        <v>4657</v>
      </c>
      <c r="G56" s="26">
        <v>49.826999999999998</v>
      </c>
      <c r="H56" s="26">
        <v>48.78</v>
      </c>
      <c r="I56" s="26">
        <v>37.170999999999999</v>
      </c>
      <c r="J56" s="26">
        <v>35.36</v>
      </c>
      <c r="K56" s="26">
        <v>45.963000000000001</v>
      </c>
      <c r="L56" s="26">
        <v>58.7</v>
      </c>
      <c r="M56" s="26">
        <v>34</v>
      </c>
      <c r="N56" s="26">
        <v>23.3</v>
      </c>
      <c r="O56" s="26">
        <v>368.5</v>
      </c>
      <c r="P56" s="26">
        <v>8.3000000000000007</v>
      </c>
      <c r="Q56" s="26">
        <v>345.4</v>
      </c>
      <c r="R56" s="26">
        <v>267.5</v>
      </c>
      <c r="S56" s="26">
        <v>70.7</v>
      </c>
      <c r="T56" s="26">
        <v>782.2</v>
      </c>
      <c r="U56" s="26">
        <v>228.9</v>
      </c>
      <c r="V56" s="26">
        <v>49.814999999999998</v>
      </c>
      <c r="W56" s="26">
        <v>394.4</v>
      </c>
      <c r="X56" s="26">
        <v>387.8</v>
      </c>
      <c r="Y56" s="26">
        <v>808.7</v>
      </c>
      <c r="Z56" s="26">
        <v>1043.2</v>
      </c>
      <c r="AA56" s="26">
        <v>277.3</v>
      </c>
      <c r="AB56" s="26">
        <v>45.5</v>
      </c>
      <c r="AC56" s="26">
        <v>53.3</v>
      </c>
      <c r="AD56" s="26">
        <v>224.8</v>
      </c>
      <c r="AE56" s="26">
        <v>301.3</v>
      </c>
      <c r="AF56" s="26">
        <v>68.400000000000006</v>
      </c>
      <c r="AG56" s="26">
        <v>68.099999999999994</v>
      </c>
      <c r="AH56" s="26">
        <v>222</v>
      </c>
      <c r="AI56" s="26">
        <v>17.399999999999999</v>
      </c>
      <c r="AJ56" s="26">
        <v>4.0999999999999996</v>
      </c>
      <c r="AK56" s="26">
        <v>67.2</v>
      </c>
      <c r="AL56" s="26">
        <v>476.7</v>
      </c>
      <c r="AO56" s="26">
        <v>15904</v>
      </c>
      <c r="AP56" s="26">
        <v>21.8</v>
      </c>
      <c r="AQ56" s="26">
        <v>0.4</v>
      </c>
      <c r="AR56" s="26">
        <v>22.2</v>
      </c>
      <c r="BL56" s="26">
        <v>100.1</v>
      </c>
      <c r="BM56" s="26">
        <v>100.4</v>
      </c>
      <c r="BN56" s="26">
        <v>7563.6</v>
      </c>
      <c r="BO56" s="26">
        <v>3881</v>
      </c>
      <c r="BP56" s="26">
        <v>-1</v>
      </c>
      <c r="BQ56" s="26">
        <v>3671.3333333333339</v>
      </c>
      <c r="BR56" s="26">
        <v>9433</v>
      </c>
      <c r="BS56" s="26">
        <v>53662.333333333343</v>
      </c>
    </row>
    <row r="57" spans="1:71">
      <c r="A57" s="55">
        <v>30681</v>
      </c>
      <c r="B57" s="26">
        <v>3794.7</v>
      </c>
      <c r="C57" s="26">
        <v>7339.9</v>
      </c>
      <c r="D57" s="26">
        <v>51.701999999999998</v>
      </c>
      <c r="E57" s="26">
        <v>2372.5</v>
      </c>
      <c r="F57" s="26">
        <v>4731.2</v>
      </c>
      <c r="G57" s="26">
        <v>50.155999999999999</v>
      </c>
      <c r="H57" s="26">
        <v>49.097999999999999</v>
      </c>
      <c r="I57" s="26">
        <v>37.454000000000001</v>
      </c>
      <c r="J57" s="26">
        <v>35.692</v>
      </c>
      <c r="K57" s="26">
        <v>45.95</v>
      </c>
      <c r="L57" s="26">
        <v>60.4</v>
      </c>
      <c r="M57" s="26">
        <v>34.9</v>
      </c>
      <c r="N57" s="26">
        <v>20</v>
      </c>
      <c r="O57" s="26">
        <v>371.8</v>
      </c>
      <c r="P57" s="26">
        <v>8.5</v>
      </c>
      <c r="Q57" s="26">
        <v>355.7</v>
      </c>
      <c r="R57" s="26">
        <v>273.7</v>
      </c>
      <c r="S57" s="26">
        <v>72.400000000000006</v>
      </c>
      <c r="T57" s="26">
        <v>775.1</v>
      </c>
      <c r="U57" s="26">
        <v>235.5</v>
      </c>
      <c r="V57" s="26">
        <v>50.146000000000001</v>
      </c>
      <c r="W57" s="26">
        <v>384.2</v>
      </c>
      <c r="X57" s="26">
        <v>390.9</v>
      </c>
      <c r="Y57" s="26">
        <v>782.5</v>
      </c>
      <c r="Z57" s="26">
        <v>1043.9000000000001</v>
      </c>
      <c r="AA57" s="26">
        <v>284.89999999999998</v>
      </c>
      <c r="AB57" s="26">
        <v>45.8</v>
      </c>
      <c r="AC57" s="26">
        <v>54.6</v>
      </c>
      <c r="AD57" s="26">
        <v>231.2</v>
      </c>
      <c r="AE57" s="26">
        <v>303.5</v>
      </c>
      <c r="AF57" s="26">
        <v>67</v>
      </c>
      <c r="AG57" s="26">
        <v>70.7</v>
      </c>
      <c r="AH57" s="26">
        <v>228</v>
      </c>
      <c r="AI57" s="26">
        <v>17.7</v>
      </c>
      <c r="AJ57" s="26">
        <v>4.3</v>
      </c>
      <c r="AK57" s="26">
        <v>68.3</v>
      </c>
      <c r="AL57" s="26">
        <v>482.1</v>
      </c>
      <c r="AO57" s="26">
        <v>15768</v>
      </c>
      <c r="AP57" s="26">
        <v>21.1</v>
      </c>
      <c r="AQ57" s="26">
        <v>0.4</v>
      </c>
      <c r="AR57" s="26">
        <v>21.5</v>
      </c>
      <c r="BL57" s="26">
        <v>101.1</v>
      </c>
      <c r="BM57" s="26">
        <v>101.1666666666667</v>
      </c>
      <c r="BN57" s="26">
        <v>7626.8</v>
      </c>
      <c r="BO57" s="26">
        <v>3943</v>
      </c>
      <c r="BP57" s="26">
        <v>-1</v>
      </c>
      <c r="BQ57" s="26">
        <v>3671.666666666667</v>
      </c>
      <c r="BR57" s="26">
        <v>9401.6666666666661</v>
      </c>
      <c r="BS57" s="26">
        <v>53249</v>
      </c>
    </row>
    <row r="58" spans="1:71">
      <c r="A58" s="55">
        <v>30772</v>
      </c>
      <c r="B58" s="26">
        <v>3908.1</v>
      </c>
      <c r="C58" s="26">
        <v>7483.4</v>
      </c>
      <c r="D58" s="26">
        <v>52.212000000000003</v>
      </c>
      <c r="E58" s="26">
        <v>2418.1999999999998</v>
      </c>
      <c r="F58" s="26">
        <v>4770.5</v>
      </c>
      <c r="G58" s="26">
        <v>50.698</v>
      </c>
      <c r="H58" s="26">
        <v>49.734999999999999</v>
      </c>
      <c r="I58" s="26">
        <v>37.997</v>
      </c>
      <c r="J58" s="26">
        <v>36.317</v>
      </c>
      <c r="K58" s="26">
        <v>46</v>
      </c>
      <c r="L58" s="26">
        <v>62.5</v>
      </c>
      <c r="M58" s="26">
        <v>35.700000000000003</v>
      </c>
      <c r="N58" s="26">
        <v>17.3</v>
      </c>
      <c r="O58" s="26">
        <v>376.3</v>
      </c>
      <c r="P58" s="26">
        <v>8.8000000000000007</v>
      </c>
      <c r="Q58" s="26">
        <v>361.2</v>
      </c>
      <c r="R58" s="26">
        <v>281.60000000000002</v>
      </c>
      <c r="S58" s="26">
        <v>84.9</v>
      </c>
      <c r="T58" s="26">
        <v>794</v>
      </c>
      <c r="U58" s="26">
        <v>250.8</v>
      </c>
      <c r="V58" s="26">
        <v>50.69</v>
      </c>
      <c r="W58" s="26">
        <v>392.4</v>
      </c>
      <c r="X58" s="26">
        <v>401.6</v>
      </c>
      <c r="Y58" s="26">
        <v>789.2</v>
      </c>
      <c r="Z58" s="26">
        <v>1057.0999999999999</v>
      </c>
      <c r="AA58" s="26">
        <v>287.89999999999998</v>
      </c>
      <c r="AB58" s="26">
        <v>47</v>
      </c>
      <c r="AC58" s="26">
        <v>64.8</v>
      </c>
      <c r="AD58" s="26">
        <v>246.3</v>
      </c>
      <c r="AE58" s="26">
        <v>306.39999999999998</v>
      </c>
      <c r="AF58" s="26">
        <v>71.3</v>
      </c>
      <c r="AG58" s="26">
        <v>73.3</v>
      </c>
      <c r="AH58" s="26">
        <v>234.7</v>
      </c>
      <c r="AI58" s="26">
        <v>20.100000000000001</v>
      </c>
      <c r="AJ58" s="26">
        <v>4.5</v>
      </c>
      <c r="AK58" s="26">
        <v>69.900000000000006</v>
      </c>
      <c r="AL58" s="26">
        <v>495.1</v>
      </c>
      <c r="AO58" s="26">
        <v>16556</v>
      </c>
      <c r="AP58" s="26">
        <v>20.8</v>
      </c>
      <c r="AQ58" s="26">
        <v>0.4</v>
      </c>
      <c r="AR58" s="26">
        <v>21.2</v>
      </c>
      <c r="BL58" s="26">
        <v>102.5333333333333</v>
      </c>
      <c r="BM58" s="26">
        <v>101.93333333333329</v>
      </c>
      <c r="BN58" s="26">
        <v>7692.5</v>
      </c>
      <c r="BO58" s="26">
        <v>4017.3</v>
      </c>
      <c r="BP58" s="26">
        <v>-1</v>
      </c>
      <c r="BQ58" s="26">
        <v>3687</v>
      </c>
      <c r="BR58" s="26">
        <v>9412</v>
      </c>
      <c r="BS58" s="26">
        <v>55752.333333333343</v>
      </c>
    </row>
    <row r="59" spans="1:71">
      <c r="A59" s="55">
        <v>30863</v>
      </c>
      <c r="B59" s="26">
        <v>4009.6</v>
      </c>
      <c r="C59" s="26">
        <v>7612.7</v>
      </c>
      <c r="D59" s="26">
        <v>52.680999999999997</v>
      </c>
      <c r="E59" s="26">
        <v>2475.9</v>
      </c>
      <c r="F59" s="26">
        <v>4837.3</v>
      </c>
      <c r="G59" s="26">
        <v>51.189</v>
      </c>
      <c r="H59" s="26">
        <v>50.23</v>
      </c>
      <c r="I59" s="26">
        <v>38.359000000000002</v>
      </c>
      <c r="J59" s="26">
        <v>36.713000000000001</v>
      </c>
      <c r="K59" s="26">
        <v>46.162999999999997</v>
      </c>
      <c r="L59" s="26">
        <v>64.099999999999994</v>
      </c>
      <c r="M59" s="26">
        <v>36.200000000000003</v>
      </c>
      <c r="N59" s="26">
        <v>15.7</v>
      </c>
      <c r="O59" s="26">
        <v>379</v>
      </c>
      <c r="P59" s="26">
        <v>9.1</v>
      </c>
      <c r="Q59" s="26">
        <v>370.4</v>
      </c>
      <c r="R59" s="26">
        <v>287.7</v>
      </c>
      <c r="S59" s="26">
        <v>83.7</v>
      </c>
      <c r="T59" s="26">
        <v>819.1</v>
      </c>
      <c r="U59" s="26">
        <v>256.8</v>
      </c>
      <c r="V59" s="26">
        <v>51.183</v>
      </c>
      <c r="W59" s="26">
        <v>408.3</v>
      </c>
      <c r="X59" s="26">
        <v>410.8</v>
      </c>
      <c r="Y59" s="26">
        <v>813.1</v>
      </c>
      <c r="Z59" s="26">
        <v>1071.2</v>
      </c>
      <c r="AA59" s="26">
        <v>294.60000000000002</v>
      </c>
      <c r="AB59" s="26">
        <v>47.5</v>
      </c>
      <c r="AC59" s="26">
        <v>63.8</v>
      </c>
      <c r="AD59" s="26">
        <v>252.1</v>
      </c>
      <c r="AE59" s="26">
        <v>308.39999999999998</v>
      </c>
      <c r="AF59" s="26">
        <v>73.099999999999994</v>
      </c>
      <c r="AG59" s="26">
        <v>75.8</v>
      </c>
      <c r="AH59" s="26">
        <v>240.3</v>
      </c>
      <c r="AI59" s="26">
        <v>19.899999999999999</v>
      </c>
      <c r="AJ59" s="26">
        <v>4.7</v>
      </c>
      <c r="AK59" s="26">
        <v>70.599999999999994</v>
      </c>
      <c r="AL59" s="26">
        <v>505.9</v>
      </c>
      <c r="AO59" s="26">
        <v>17236</v>
      </c>
      <c r="AP59" s="26">
        <v>20.6</v>
      </c>
      <c r="AQ59" s="26">
        <v>0.4</v>
      </c>
      <c r="AR59" s="26">
        <v>21</v>
      </c>
      <c r="BL59" s="26">
        <v>103.5</v>
      </c>
      <c r="BM59" s="26">
        <v>102.4666666666667</v>
      </c>
      <c r="BN59" s="26">
        <v>7760.5</v>
      </c>
      <c r="BO59" s="26">
        <v>4087.5</v>
      </c>
      <c r="BP59" s="26">
        <v>-1</v>
      </c>
      <c r="BQ59" s="26">
        <v>3720</v>
      </c>
      <c r="BR59" s="26">
        <v>9445.3333333333339</v>
      </c>
      <c r="BS59" s="26">
        <v>57382.666666666657</v>
      </c>
    </row>
    <row r="60" spans="1:71">
      <c r="A60" s="55">
        <v>30955</v>
      </c>
      <c r="B60" s="26">
        <v>4084.3</v>
      </c>
      <c r="C60" s="26">
        <v>7686.1</v>
      </c>
      <c r="D60" s="26">
        <v>53.156999999999996</v>
      </c>
      <c r="E60" s="26">
        <v>2513.5</v>
      </c>
      <c r="F60" s="26">
        <v>4873.2</v>
      </c>
      <c r="G60" s="26">
        <v>51.584000000000003</v>
      </c>
      <c r="H60" s="26">
        <v>50.976999999999997</v>
      </c>
      <c r="I60" s="26">
        <v>38.716999999999999</v>
      </c>
      <c r="J60" s="26">
        <v>37.107999999999997</v>
      </c>
      <c r="K60" s="26">
        <v>46.311999999999998</v>
      </c>
      <c r="L60" s="26">
        <v>65.599999999999994</v>
      </c>
      <c r="M60" s="26">
        <v>36.799999999999997</v>
      </c>
      <c r="N60" s="26">
        <v>15.1</v>
      </c>
      <c r="O60" s="26">
        <v>380.4</v>
      </c>
      <c r="P60" s="26">
        <v>9.3000000000000007</v>
      </c>
      <c r="Q60" s="26">
        <v>384.1</v>
      </c>
      <c r="R60" s="26">
        <v>292.2</v>
      </c>
      <c r="S60" s="26">
        <v>71.3</v>
      </c>
      <c r="T60" s="26">
        <v>835.7</v>
      </c>
      <c r="U60" s="26">
        <v>261.8</v>
      </c>
      <c r="V60" s="26">
        <v>51.579000000000001</v>
      </c>
      <c r="W60" s="26">
        <v>414</v>
      </c>
      <c r="X60" s="26">
        <v>421.7</v>
      </c>
      <c r="Y60" s="26">
        <v>812.3</v>
      </c>
      <c r="Z60" s="26">
        <v>1089.5</v>
      </c>
      <c r="AA60" s="26">
        <v>307.3</v>
      </c>
      <c r="AB60" s="26">
        <v>47.4</v>
      </c>
      <c r="AC60" s="26">
        <v>53.8</v>
      </c>
      <c r="AD60" s="26">
        <v>257.10000000000002</v>
      </c>
      <c r="AE60" s="26">
        <v>309.10000000000002</v>
      </c>
      <c r="AF60" s="26">
        <v>70.7</v>
      </c>
      <c r="AG60" s="26">
        <v>76.8</v>
      </c>
      <c r="AH60" s="26">
        <v>244.7</v>
      </c>
      <c r="AI60" s="26">
        <v>17.5</v>
      </c>
      <c r="AJ60" s="26">
        <v>4.8</v>
      </c>
      <c r="AK60" s="26">
        <v>71.3</v>
      </c>
      <c r="AL60" s="26">
        <v>518.29999999999995</v>
      </c>
      <c r="AO60" s="26">
        <v>18092</v>
      </c>
      <c r="AP60" s="26">
        <v>20.5</v>
      </c>
      <c r="AQ60" s="26">
        <v>0.4</v>
      </c>
      <c r="AR60" s="26">
        <v>20.9</v>
      </c>
      <c r="BL60" s="26">
        <v>104.4</v>
      </c>
      <c r="BM60" s="26">
        <v>103.93333333333329</v>
      </c>
      <c r="BN60" s="26">
        <v>7830.2</v>
      </c>
      <c r="BO60" s="26">
        <v>4160.8999999999996</v>
      </c>
      <c r="BP60" s="26">
        <v>-1</v>
      </c>
      <c r="BQ60" s="26">
        <v>3758</v>
      </c>
      <c r="BR60" s="26">
        <v>9509</v>
      </c>
      <c r="BS60" s="26">
        <v>59910.333333333343</v>
      </c>
    </row>
    <row r="61" spans="1:71">
      <c r="A61" s="55">
        <v>31047</v>
      </c>
      <c r="B61" s="26">
        <v>4148.6000000000004</v>
      </c>
      <c r="C61" s="26">
        <v>7749.2</v>
      </c>
      <c r="D61" s="26">
        <v>53.527999999999999</v>
      </c>
      <c r="E61" s="26">
        <v>2561.8000000000002</v>
      </c>
      <c r="F61" s="26">
        <v>4936.3</v>
      </c>
      <c r="G61" s="26">
        <v>51.902000000000001</v>
      </c>
      <c r="H61" s="26">
        <v>51.604999999999997</v>
      </c>
      <c r="I61" s="26">
        <v>39.100999999999999</v>
      </c>
      <c r="J61" s="26">
        <v>37.545000000000002</v>
      </c>
      <c r="K61" s="26">
        <v>46.405999999999999</v>
      </c>
      <c r="L61" s="26">
        <v>66.900000000000006</v>
      </c>
      <c r="M61" s="26">
        <v>37.6</v>
      </c>
      <c r="N61" s="26">
        <v>15.9</v>
      </c>
      <c r="O61" s="26">
        <v>387.9</v>
      </c>
      <c r="P61" s="26">
        <v>9.5</v>
      </c>
      <c r="Q61" s="26">
        <v>395.9</v>
      </c>
      <c r="R61" s="26">
        <v>297.5</v>
      </c>
      <c r="S61" s="26">
        <v>72.099999999999994</v>
      </c>
      <c r="T61" s="26">
        <v>862.8</v>
      </c>
      <c r="U61" s="26">
        <v>265.8</v>
      </c>
      <c r="V61" s="26">
        <v>51.896999999999998</v>
      </c>
      <c r="W61" s="26">
        <v>432.5</v>
      </c>
      <c r="X61" s="26">
        <v>430.2</v>
      </c>
      <c r="Y61" s="26">
        <v>838.4</v>
      </c>
      <c r="Z61" s="26">
        <v>1100.5</v>
      </c>
      <c r="AA61" s="26">
        <v>317.7</v>
      </c>
      <c r="AB61" s="26">
        <v>47.3</v>
      </c>
      <c r="AC61" s="26">
        <v>54.3</v>
      </c>
      <c r="AD61" s="26">
        <v>261.10000000000002</v>
      </c>
      <c r="AE61" s="26">
        <v>315.10000000000002</v>
      </c>
      <c r="AF61" s="26">
        <v>74.3</v>
      </c>
      <c r="AG61" s="26">
        <v>78.2</v>
      </c>
      <c r="AH61" s="26">
        <v>250.2</v>
      </c>
      <c r="AI61" s="26">
        <v>17.7</v>
      </c>
      <c r="AJ61" s="26">
        <v>4.8</v>
      </c>
      <c r="AK61" s="26">
        <v>72.8</v>
      </c>
      <c r="AL61" s="26">
        <v>529.29999999999995</v>
      </c>
      <c r="AO61" s="26">
        <v>18824</v>
      </c>
      <c r="AP61" s="26">
        <v>20.8</v>
      </c>
      <c r="AQ61" s="26">
        <v>0.4</v>
      </c>
      <c r="AR61" s="26">
        <v>21.2</v>
      </c>
      <c r="BL61" s="26">
        <v>105.3</v>
      </c>
      <c r="BM61" s="26">
        <v>104.8</v>
      </c>
      <c r="BN61" s="26">
        <v>7901.2</v>
      </c>
      <c r="BO61" s="26">
        <v>4230</v>
      </c>
      <c r="BP61" s="26">
        <v>-1</v>
      </c>
      <c r="BQ61" s="26">
        <v>3773</v>
      </c>
      <c r="BR61" s="26">
        <v>9555</v>
      </c>
      <c r="BS61" s="26">
        <v>60890.666666666657</v>
      </c>
    </row>
    <row r="62" spans="1:71">
      <c r="A62" s="55">
        <v>31137</v>
      </c>
      <c r="B62" s="26">
        <v>4230.2</v>
      </c>
      <c r="C62" s="26">
        <v>7824.2</v>
      </c>
      <c r="D62" s="26">
        <v>54.076000000000001</v>
      </c>
      <c r="E62" s="26">
        <v>2636</v>
      </c>
      <c r="F62" s="26">
        <v>5020.2</v>
      </c>
      <c r="G62" s="26">
        <v>52.514000000000003</v>
      </c>
      <c r="H62" s="26">
        <v>51.399000000000001</v>
      </c>
      <c r="I62" s="26">
        <v>39.561999999999998</v>
      </c>
      <c r="J62" s="26">
        <v>38.040999999999997</v>
      </c>
      <c r="K62" s="26">
        <v>46.664000000000001</v>
      </c>
      <c r="L62" s="26">
        <v>67.900000000000006</v>
      </c>
      <c r="M62" s="26">
        <v>38.4</v>
      </c>
      <c r="N62" s="26">
        <v>16.899999999999999</v>
      </c>
      <c r="O62" s="26">
        <v>398.1</v>
      </c>
      <c r="P62" s="26">
        <v>9.9</v>
      </c>
      <c r="Q62" s="26">
        <v>432.3</v>
      </c>
      <c r="R62" s="26">
        <v>301</v>
      </c>
      <c r="S62" s="26">
        <v>77.7</v>
      </c>
      <c r="T62" s="26">
        <v>875.6</v>
      </c>
      <c r="U62" s="26">
        <v>275.7</v>
      </c>
      <c r="V62" s="26">
        <v>52.508000000000003</v>
      </c>
      <c r="W62" s="26">
        <v>434.8</v>
      </c>
      <c r="X62" s="26">
        <v>440.8</v>
      </c>
      <c r="Y62" s="26">
        <v>846</v>
      </c>
      <c r="Z62" s="26">
        <v>1114.4000000000001</v>
      </c>
      <c r="AA62" s="26">
        <v>353</v>
      </c>
      <c r="AB62" s="26">
        <v>46.4</v>
      </c>
      <c r="AC62" s="26">
        <v>57.7</v>
      </c>
      <c r="AD62" s="26">
        <v>271</v>
      </c>
      <c r="AE62" s="26">
        <v>323.2</v>
      </c>
      <c r="AF62" s="26">
        <v>74.8</v>
      </c>
      <c r="AG62" s="26">
        <v>79.3</v>
      </c>
      <c r="AH62" s="26">
        <v>254.7</v>
      </c>
      <c r="AI62" s="26">
        <v>20</v>
      </c>
      <c r="AJ62" s="26">
        <v>4.7</v>
      </c>
      <c r="AK62" s="26">
        <v>74.900000000000006</v>
      </c>
      <c r="AL62" s="26">
        <v>542.70000000000005</v>
      </c>
      <c r="AO62" s="26">
        <v>17044</v>
      </c>
      <c r="AP62" s="26">
        <v>20.8</v>
      </c>
      <c r="AQ62" s="26">
        <v>0.3</v>
      </c>
      <c r="AR62" s="26">
        <v>21.1</v>
      </c>
      <c r="BL62" s="26">
        <v>106.26666666666669</v>
      </c>
      <c r="BM62" s="26">
        <v>105.6666666666667</v>
      </c>
      <c r="BN62" s="26">
        <v>7972.5</v>
      </c>
      <c r="BO62" s="26">
        <v>4310.3999999999996</v>
      </c>
      <c r="BP62" s="26">
        <v>-1</v>
      </c>
      <c r="BQ62" s="26">
        <v>3798.3333333333339</v>
      </c>
      <c r="BR62" s="26">
        <v>9595.6666666666661</v>
      </c>
      <c r="BS62" s="26">
        <v>62514.666666666657</v>
      </c>
    </row>
    <row r="63" spans="1:71">
      <c r="A63" s="55">
        <v>31228</v>
      </c>
      <c r="B63" s="26">
        <v>4294.8999999999996</v>
      </c>
      <c r="C63" s="26">
        <v>7893.1</v>
      </c>
      <c r="D63" s="26">
        <v>54.396000000000001</v>
      </c>
      <c r="E63" s="26">
        <v>2681.8</v>
      </c>
      <c r="F63" s="26">
        <v>5066.3</v>
      </c>
      <c r="G63" s="26">
        <v>52.94</v>
      </c>
      <c r="H63" s="26">
        <v>51.52</v>
      </c>
      <c r="I63" s="26">
        <v>39.951999999999998</v>
      </c>
      <c r="J63" s="26">
        <v>38.475999999999999</v>
      </c>
      <c r="K63" s="26">
        <v>46.808</v>
      </c>
      <c r="L63" s="26">
        <v>69.099999999999994</v>
      </c>
      <c r="M63" s="26">
        <v>39.200000000000003</v>
      </c>
      <c r="N63" s="26">
        <v>16</v>
      </c>
      <c r="O63" s="26">
        <v>400.5</v>
      </c>
      <c r="P63" s="26">
        <v>10.199999999999999</v>
      </c>
      <c r="Q63" s="26">
        <v>388.5</v>
      </c>
      <c r="R63" s="26">
        <v>305.7</v>
      </c>
      <c r="S63" s="26">
        <v>76</v>
      </c>
      <c r="T63" s="26">
        <v>900.5</v>
      </c>
      <c r="U63" s="26">
        <v>279.8</v>
      </c>
      <c r="V63" s="26">
        <v>52.933999999999997</v>
      </c>
      <c r="W63" s="26">
        <v>447.3</v>
      </c>
      <c r="X63" s="26">
        <v>453.2</v>
      </c>
      <c r="Y63" s="26">
        <v>868.3</v>
      </c>
      <c r="Z63" s="26">
        <v>1134.5999999999999</v>
      </c>
      <c r="AA63" s="26">
        <v>307.60000000000002</v>
      </c>
      <c r="AB63" s="26">
        <v>45.7</v>
      </c>
      <c r="AC63" s="26">
        <v>56.3</v>
      </c>
      <c r="AD63" s="26">
        <v>275</v>
      </c>
      <c r="AE63" s="26">
        <v>324.2</v>
      </c>
      <c r="AF63" s="26">
        <v>75.3</v>
      </c>
      <c r="AG63" s="26">
        <v>80.900000000000006</v>
      </c>
      <c r="AH63" s="26">
        <v>260</v>
      </c>
      <c r="AI63" s="26">
        <v>19.600000000000001</v>
      </c>
      <c r="AJ63" s="26">
        <v>4.8</v>
      </c>
      <c r="AK63" s="26">
        <v>76.3</v>
      </c>
      <c r="AL63" s="26">
        <v>557.70000000000005</v>
      </c>
      <c r="AO63" s="26">
        <v>19408</v>
      </c>
      <c r="AP63" s="26">
        <v>20.7</v>
      </c>
      <c r="AQ63" s="26">
        <v>0.3</v>
      </c>
      <c r="AR63" s="26">
        <v>21</v>
      </c>
      <c r="BL63" s="26">
        <v>107.23333333333331</v>
      </c>
      <c r="BM63" s="26">
        <v>106.6333333333333</v>
      </c>
      <c r="BN63" s="26">
        <v>8044.2</v>
      </c>
      <c r="BO63" s="26">
        <v>4377.1000000000004</v>
      </c>
      <c r="BP63" s="26">
        <v>-1</v>
      </c>
      <c r="BQ63" s="26">
        <v>3819.3333333333339</v>
      </c>
      <c r="BR63" s="26">
        <v>9640.3333333333339</v>
      </c>
      <c r="BS63" s="26">
        <v>65739.333333333328</v>
      </c>
    </row>
    <row r="64" spans="1:71">
      <c r="A64" s="55">
        <v>31320</v>
      </c>
      <c r="B64" s="26">
        <v>4386.8</v>
      </c>
      <c r="C64" s="26">
        <v>8013.7</v>
      </c>
      <c r="D64" s="26">
        <v>54.756999999999998</v>
      </c>
      <c r="E64" s="26">
        <v>2754.1</v>
      </c>
      <c r="F64" s="26">
        <v>5162.5</v>
      </c>
      <c r="G64" s="26">
        <v>53.354999999999997</v>
      </c>
      <c r="H64" s="26">
        <v>51.795000000000002</v>
      </c>
      <c r="I64" s="26">
        <v>40.283000000000001</v>
      </c>
      <c r="J64" s="26">
        <v>38.834000000000003</v>
      </c>
      <c r="K64" s="26">
        <v>47</v>
      </c>
      <c r="L64" s="26">
        <v>70.3</v>
      </c>
      <c r="M64" s="26">
        <v>40.1</v>
      </c>
      <c r="N64" s="26">
        <v>15</v>
      </c>
      <c r="O64" s="26">
        <v>405.6</v>
      </c>
      <c r="P64" s="26">
        <v>10.6</v>
      </c>
      <c r="Q64" s="26">
        <v>421.5</v>
      </c>
      <c r="R64" s="26">
        <v>311.89999999999998</v>
      </c>
      <c r="S64" s="26">
        <v>81.7</v>
      </c>
      <c r="T64" s="26">
        <v>927.4</v>
      </c>
      <c r="U64" s="26">
        <v>284.60000000000002</v>
      </c>
      <c r="V64" s="26">
        <v>53.348999999999997</v>
      </c>
      <c r="W64" s="26">
        <v>463.1</v>
      </c>
      <c r="X64" s="26">
        <v>464.3</v>
      </c>
      <c r="Y64" s="26">
        <v>894.2</v>
      </c>
      <c r="Z64" s="26">
        <v>1152.7</v>
      </c>
      <c r="AA64" s="26">
        <v>340</v>
      </c>
      <c r="AB64" s="26">
        <v>46.8</v>
      </c>
      <c r="AC64" s="26">
        <v>60.8</v>
      </c>
      <c r="AD64" s="26">
        <v>279.7</v>
      </c>
      <c r="AE64" s="26">
        <v>327.5</v>
      </c>
      <c r="AF64" s="26">
        <v>76.400000000000006</v>
      </c>
      <c r="AG64" s="26">
        <v>81.5</v>
      </c>
      <c r="AH64" s="26">
        <v>265.10000000000002</v>
      </c>
      <c r="AI64" s="26">
        <v>20.9</v>
      </c>
      <c r="AJ64" s="26">
        <v>4.9000000000000004</v>
      </c>
      <c r="AK64" s="26">
        <v>78.099999999999994</v>
      </c>
      <c r="AL64" s="26">
        <v>571.6</v>
      </c>
      <c r="AO64" s="26">
        <v>20036</v>
      </c>
      <c r="AP64" s="26">
        <v>21</v>
      </c>
      <c r="AQ64" s="26">
        <v>0.3</v>
      </c>
      <c r="AR64" s="26">
        <v>21.3</v>
      </c>
      <c r="BL64" s="26">
        <v>107.9</v>
      </c>
      <c r="BM64" s="26">
        <v>107.1333333333333</v>
      </c>
      <c r="BN64" s="26">
        <v>8115.9</v>
      </c>
      <c r="BO64" s="26">
        <v>4442.8</v>
      </c>
      <c r="BP64" s="26">
        <v>-1</v>
      </c>
      <c r="BQ64" s="26">
        <v>3844.3333333333339</v>
      </c>
      <c r="BR64" s="26">
        <v>9746.6666666666661</v>
      </c>
      <c r="BS64" s="26">
        <v>67220</v>
      </c>
    </row>
    <row r="65" spans="1:71">
      <c r="A65" s="55">
        <v>31412</v>
      </c>
      <c r="B65" s="26">
        <v>4444.1000000000004</v>
      </c>
      <c r="C65" s="26">
        <v>8073.2</v>
      </c>
      <c r="D65" s="26">
        <v>55.042000000000002</v>
      </c>
      <c r="E65" s="26">
        <v>2779.4</v>
      </c>
      <c r="F65" s="26">
        <v>5173.6000000000004</v>
      </c>
      <c r="G65" s="26">
        <v>53.726999999999997</v>
      </c>
      <c r="H65" s="26">
        <v>52.134999999999998</v>
      </c>
      <c r="I65" s="26">
        <v>40.655999999999999</v>
      </c>
      <c r="J65" s="26">
        <v>39.223999999999997</v>
      </c>
      <c r="K65" s="26">
        <v>47.28</v>
      </c>
      <c r="L65" s="26">
        <v>71.599999999999994</v>
      </c>
      <c r="M65" s="26">
        <v>41.1</v>
      </c>
      <c r="N65" s="26">
        <v>15.6</v>
      </c>
      <c r="O65" s="26">
        <v>408.3</v>
      </c>
      <c r="P65" s="26">
        <v>11</v>
      </c>
      <c r="Q65" s="26">
        <v>428.9</v>
      </c>
      <c r="R65" s="26">
        <v>313.89999999999998</v>
      </c>
      <c r="S65" s="26">
        <v>79.5</v>
      </c>
      <c r="T65" s="26">
        <v>938.6</v>
      </c>
      <c r="U65" s="26">
        <v>291.10000000000002</v>
      </c>
      <c r="V65" s="26">
        <v>53.722000000000001</v>
      </c>
      <c r="W65" s="26">
        <v>466.4</v>
      </c>
      <c r="X65" s="26">
        <v>472.1</v>
      </c>
      <c r="Y65" s="26">
        <v>894.7</v>
      </c>
      <c r="Z65" s="26">
        <v>1161.5</v>
      </c>
      <c r="AA65" s="26">
        <v>345.2</v>
      </c>
      <c r="AB65" s="26">
        <v>45.4</v>
      </c>
      <c r="AC65" s="26">
        <v>59</v>
      </c>
      <c r="AD65" s="26">
        <v>285.89999999999998</v>
      </c>
      <c r="AE65" s="26">
        <v>328.5</v>
      </c>
      <c r="AF65" s="26">
        <v>78.099999999999994</v>
      </c>
      <c r="AG65" s="26">
        <v>83.7</v>
      </c>
      <c r="AH65" s="26">
        <v>268.5</v>
      </c>
      <c r="AI65" s="26">
        <v>20.5</v>
      </c>
      <c r="AJ65" s="26">
        <v>5.2</v>
      </c>
      <c r="AK65" s="26">
        <v>79.8</v>
      </c>
      <c r="AL65" s="26">
        <v>582.20000000000005</v>
      </c>
      <c r="AO65" s="26">
        <v>21184</v>
      </c>
      <c r="AP65" s="26">
        <v>21.7</v>
      </c>
      <c r="AQ65" s="26">
        <v>0.3</v>
      </c>
      <c r="AR65" s="26">
        <v>22</v>
      </c>
      <c r="BL65" s="26">
        <v>109</v>
      </c>
      <c r="BM65" s="26">
        <v>108.2</v>
      </c>
      <c r="BN65" s="26">
        <v>8187.2</v>
      </c>
      <c r="BO65" s="26">
        <v>4506.8</v>
      </c>
      <c r="BP65" s="26">
        <v>-1</v>
      </c>
      <c r="BQ65" s="26">
        <v>3864.3333333333339</v>
      </c>
      <c r="BR65" s="26">
        <v>9764.3333333333339</v>
      </c>
      <c r="BS65" s="26">
        <v>66558.333333333328</v>
      </c>
    </row>
    <row r="66" spans="1:71">
      <c r="A66" s="55">
        <v>31502</v>
      </c>
      <c r="B66" s="26">
        <v>4507.8999999999996</v>
      </c>
      <c r="C66" s="26">
        <v>8148.6</v>
      </c>
      <c r="D66" s="26">
        <v>55.313000000000002</v>
      </c>
      <c r="E66" s="26">
        <v>2823.6</v>
      </c>
      <c r="F66" s="26">
        <v>5218.8999999999996</v>
      </c>
      <c r="G66" s="26">
        <v>54.107999999999997</v>
      </c>
      <c r="H66" s="26">
        <v>52.003</v>
      </c>
      <c r="I66" s="26">
        <v>40.825000000000003</v>
      </c>
      <c r="J66" s="26">
        <v>39.368000000000002</v>
      </c>
      <c r="K66" s="26">
        <v>47.573999999999998</v>
      </c>
      <c r="L66" s="26">
        <v>73</v>
      </c>
      <c r="M66" s="26">
        <v>42.1</v>
      </c>
      <c r="N66" s="26">
        <v>15.6</v>
      </c>
      <c r="O66" s="26">
        <v>419.9</v>
      </c>
      <c r="P66" s="26">
        <v>11.3</v>
      </c>
      <c r="Q66" s="26">
        <v>426.3</v>
      </c>
      <c r="R66" s="26">
        <v>317.5</v>
      </c>
      <c r="S66" s="26">
        <v>84.4</v>
      </c>
      <c r="T66" s="26">
        <v>946.8</v>
      </c>
      <c r="U66" s="26">
        <v>298.2</v>
      </c>
      <c r="V66" s="26">
        <v>54.104999999999997</v>
      </c>
      <c r="W66" s="26">
        <v>464</v>
      </c>
      <c r="X66" s="26">
        <v>482.8</v>
      </c>
      <c r="Y66" s="26">
        <v>892.2</v>
      </c>
      <c r="Z66" s="26">
        <v>1182.9000000000001</v>
      </c>
      <c r="AA66" s="26">
        <v>341.8</v>
      </c>
      <c r="AB66" s="26">
        <v>44.5</v>
      </c>
      <c r="AC66" s="26">
        <v>63</v>
      </c>
      <c r="AD66" s="26">
        <v>292.7</v>
      </c>
      <c r="AE66" s="26">
        <v>338.3</v>
      </c>
      <c r="AF66" s="26">
        <v>79.7</v>
      </c>
      <c r="AG66" s="26">
        <v>84.5</v>
      </c>
      <c r="AH66" s="26">
        <v>273</v>
      </c>
      <c r="AI66" s="26">
        <v>21.4</v>
      </c>
      <c r="AJ66" s="26">
        <v>5.5</v>
      </c>
      <c r="AK66" s="26">
        <v>81.599999999999994</v>
      </c>
      <c r="AL66" s="26">
        <v>595.9</v>
      </c>
      <c r="AO66" s="26">
        <v>19720</v>
      </c>
      <c r="AP66" s="26">
        <v>22.8</v>
      </c>
      <c r="AQ66" s="26">
        <v>0.3</v>
      </c>
      <c r="AR66" s="26">
        <v>23.1</v>
      </c>
      <c r="BL66" s="26">
        <v>109.56666666666671</v>
      </c>
      <c r="BM66" s="26">
        <v>108.6666666666667</v>
      </c>
      <c r="BN66" s="26">
        <v>8257.9</v>
      </c>
      <c r="BO66" s="26">
        <v>4568.3999999999996</v>
      </c>
      <c r="BP66" s="26">
        <v>-1</v>
      </c>
      <c r="BQ66" s="26">
        <v>3872.3333333333339</v>
      </c>
      <c r="BR66" s="26">
        <v>9815.3333333333339</v>
      </c>
      <c r="BS66" s="26">
        <v>70815.333333333328</v>
      </c>
    </row>
    <row r="67" spans="1:71">
      <c r="A67" s="55">
        <v>31593</v>
      </c>
      <c r="B67" s="26">
        <v>4545.3</v>
      </c>
      <c r="C67" s="26">
        <v>8185.3</v>
      </c>
      <c r="D67" s="26">
        <v>55.506999999999998</v>
      </c>
      <c r="E67" s="26">
        <v>2851.5</v>
      </c>
      <c r="F67" s="26">
        <v>5275.7</v>
      </c>
      <c r="G67" s="26">
        <v>54.051000000000002</v>
      </c>
      <c r="H67" s="26">
        <v>51.872999999999998</v>
      </c>
      <c r="I67" s="26">
        <v>41.005000000000003</v>
      </c>
      <c r="J67" s="26">
        <v>39.485999999999997</v>
      </c>
      <c r="K67" s="26">
        <v>48.063000000000002</v>
      </c>
      <c r="L67" s="26">
        <v>74.5</v>
      </c>
      <c r="M67" s="26">
        <v>43.1</v>
      </c>
      <c r="N67" s="26">
        <v>16.399999999999999</v>
      </c>
      <c r="O67" s="26">
        <v>425.6</v>
      </c>
      <c r="P67" s="26">
        <v>11.7</v>
      </c>
      <c r="Q67" s="26">
        <v>429.4</v>
      </c>
      <c r="R67" s="26">
        <v>319.5</v>
      </c>
      <c r="S67" s="26">
        <v>85.5</v>
      </c>
      <c r="T67" s="26">
        <v>967.5</v>
      </c>
      <c r="U67" s="26">
        <v>301.89999999999998</v>
      </c>
      <c r="V67" s="26">
        <v>54.048999999999999</v>
      </c>
      <c r="W67" s="26">
        <v>477.8</v>
      </c>
      <c r="X67" s="26">
        <v>489.7</v>
      </c>
      <c r="Y67" s="26">
        <v>921.1</v>
      </c>
      <c r="Z67" s="26">
        <v>1194.4000000000001</v>
      </c>
      <c r="AA67" s="26">
        <v>344.4</v>
      </c>
      <c r="AB67" s="26">
        <v>42.9</v>
      </c>
      <c r="AC67" s="26">
        <v>63.4</v>
      </c>
      <c r="AD67" s="26">
        <v>296.10000000000002</v>
      </c>
      <c r="AE67" s="26">
        <v>342</v>
      </c>
      <c r="AF67" s="26">
        <v>83.8</v>
      </c>
      <c r="AG67" s="26">
        <v>85</v>
      </c>
      <c r="AH67" s="26">
        <v>276.60000000000002</v>
      </c>
      <c r="AI67" s="26">
        <v>22</v>
      </c>
      <c r="AJ67" s="26">
        <v>5.8</v>
      </c>
      <c r="AK67" s="26">
        <v>83.6</v>
      </c>
      <c r="AL67" s="26">
        <v>605.5</v>
      </c>
      <c r="AO67" s="26">
        <v>20556</v>
      </c>
      <c r="AP67" s="26">
        <v>23.9</v>
      </c>
      <c r="AQ67" s="26">
        <v>0.3</v>
      </c>
      <c r="AR67" s="26">
        <v>24.2</v>
      </c>
      <c r="BL67" s="26">
        <v>109.0333333333333</v>
      </c>
      <c r="BM67" s="26">
        <v>107.93333333333329</v>
      </c>
      <c r="BN67" s="26">
        <v>8328.2999999999993</v>
      </c>
      <c r="BO67" s="26">
        <v>4624.7</v>
      </c>
      <c r="BP67" s="26">
        <v>-1</v>
      </c>
      <c r="BQ67" s="26">
        <v>3883</v>
      </c>
      <c r="BR67" s="26">
        <v>9854.3333333333339</v>
      </c>
      <c r="BS67" s="26">
        <v>72215.333333333328</v>
      </c>
    </row>
    <row r="68" spans="1:71">
      <c r="A68" s="55">
        <v>31685</v>
      </c>
      <c r="B68" s="26">
        <v>4607.7</v>
      </c>
      <c r="C68" s="26">
        <v>8263.6</v>
      </c>
      <c r="D68" s="26">
        <v>55.771000000000001</v>
      </c>
      <c r="E68" s="26">
        <v>2917.2</v>
      </c>
      <c r="F68" s="26">
        <v>5369</v>
      </c>
      <c r="G68" s="26">
        <v>54.335999999999999</v>
      </c>
      <c r="H68" s="26">
        <v>51.947000000000003</v>
      </c>
      <c r="I68" s="26">
        <v>41.36</v>
      </c>
      <c r="J68" s="26">
        <v>39.823999999999998</v>
      </c>
      <c r="K68" s="26">
        <v>48.500999999999998</v>
      </c>
      <c r="L68" s="26">
        <v>76</v>
      </c>
      <c r="M68" s="26">
        <v>44.1</v>
      </c>
      <c r="N68" s="26">
        <v>17</v>
      </c>
      <c r="O68" s="26">
        <v>433.1</v>
      </c>
      <c r="P68" s="26">
        <v>12.1</v>
      </c>
      <c r="Q68" s="26">
        <v>439.5</v>
      </c>
      <c r="R68" s="26">
        <v>326.2</v>
      </c>
      <c r="S68" s="26">
        <v>86.9</v>
      </c>
      <c r="T68" s="26">
        <v>993.6</v>
      </c>
      <c r="U68" s="26">
        <v>306.89999999999998</v>
      </c>
      <c r="V68" s="26">
        <v>54.334000000000003</v>
      </c>
      <c r="W68" s="26">
        <v>495.1</v>
      </c>
      <c r="X68" s="26">
        <v>498.5</v>
      </c>
      <c r="Y68" s="26">
        <v>953</v>
      </c>
      <c r="Z68" s="26">
        <v>1205.5</v>
      </c>
      <c r="AA68" s="26">
        <v>352</v>
      </c>
      <c r="AB68" s="26">
        <v>43.8</v>
      </c>
      <c r="AC68" s="26">
        <v>64.599999999999994</v>
      </c>
      <c r="AD68" s="26">
        <v>300.8</v>
      </c>
      <c r="AE68" s="26">
        <v>347.8</v>
      </c>
      <c r="AF68" s="26">
        <v>86.7</v>
      </c>
      <c r="AG68" s="26">
        <v>87.5</v>
      </c>
      <c r="AH68" s="26">
        <v>282.3</v>
      </c>
      <c r="AI68" s="26">
        <v>22.4</v>
      </c>
      <c r="AJ68" s="26">
        <v>6.1</v>
      </c>
      <c r="AK68" s="26">
        <v>85.3</v>
      </c>
      <c r="AL68" s="26">
        <v>616.5</v>
      </c>
      <c r="AO68" s="26">
        <v>21284</v>
      </c>
      <c r="AP68" s="26">
        <v>25.1</v>
      </c>
      <c r="AQ68" s="26">
        <v>0.3</v>
      </c>
      <c r="AR68" s="26">
        <v>25.5</v>
      </c>
      <c r="BL68" s="26">
        <v>109.7</v>
      </c>
      <c r="BM68" s="26">
        <v>108.5</v>
      </c>
      <c r="BN68" s="26">
        <v>8398.5</v>
      </c>
      <c r="BO68" s="26">
        <v>4682.8999999999996</v>
      </c>
      <c r="BP68" s="26">
        <v>-1</v>
      </c>
      <c r="BQ68" s="26">
        <v>3889.3333333333339</v>
      </c>
      <c r="BR68" s="26">
        <v>9906.6666666666661</v>
      </c>
      <c r="BS68" s="26">
        <v>73843.333333333328</v>
      </c>
    </row>
    <row r="69" spans="1:71">
      <c r="A69" s="55">
        <v>31777</v>
      </c>
      <c r="B69" s="26">
        <v>4657.6000000000004</v>
      </c>
      <c r="C69" s="26">
        <v>8308</v>
      </c>
      <c r="D69" s="26">
        <v>56.101999999999997</v>
      </c>
      <c r="E69" s="26">
        <v>2952.8</v>
      </c>
      <c r="F69" s="26">
        <v>5402</v>
      </c>
      <c r="G69" s="26">
        <v>54.664999999999999</v>
      </c>
      <c r="H69" s="26">
        <v>52.006</v>
      </c>
      <c r="I69" s="26">
        <v>41.886000000000003</v>
      </c>
      <c r="J69" s="26">
        <v>40.348999999999997</v>
      </c>
      <c r="K69" s="26">
        <v>49.026000000000003</v>
      </c>
      <c r="L69" s="26">
        <v>77.599999999999994</v>
      </c>
      <c r="M69" s="26">
        <v>45.2</v>
      </c>
      <c r="N69" s="26">
        <v>16.899999999999999</v>
      </c>
      <c r="O69" s="26">
        <v>435.8</v>
      </c>
      <c r="P69" s="26">
        <v>12.7</v>
      </c>
      <c r="Q69" s="26">
        <v>456</v>
      </c>
      <c r="R69" s="26">
        <v>330.4</v>
      </c>
      <c r="S69" s="26">
        <v>97.9</v>
      </c>
      <c r="T69" s="26">
        <v>996.4</v>
      </c>
      <c r="U69" s="26">
        <v>312.60000000000002</v>
      </c>
      <c r="V69" s="26">
        <v>54.661999999999999</v>
      </c>
      <c r="W69" s="26">
        <v>489.8</v>
      </c>
      <c r="X69" s="26">
        <v>506.6</v>
      </c>
      <c r="Y69" s="26">
        <v>941.8</v>
      </c>
      <c r="Z69" s="26">
        <v>1209.5</v>
      </c>
      <c r="AA69" s="26">
        <v>364.2</v>
      </c>
      <c r="AB69" s="26">
        <v>43.6</v>
      </c>
      <c r="AC69" s="26">
        <v>73.099999999999994</v>
      </c>
      <c r="AD69" s="26">
        <v>306.2</v>
      </c>
      <c r="AE69" s="26">
        <v>348.9</v>
      </c>
      <c r="AF69" s="26">
        <v>79.5</v>
      </c>
      <c r="AG69" s="26">
        <v>91.8</v>
      </c>
      <c r="AH69" s="26">
        <v>286.8</v>
      </c>
      <c r="AI69" s="26">
        <v>24.8</v>
      </c>
      <c r="AJ69" s="26">
        <v>6.4</v>
      </c>
      <c r="AK69" s="26">
        <v>86.9</v>
      </c>
      <c r="AL69" s="26">
        <v>626.29999999999995</v>
      </c>
      <c r="AO69" s="26">
        <v>18320</v>
      </c>
      <c r="AP69" s="26">
        <v>26.5</v>
      </c>
      <c r="AQ69" s="26">
        <v>0.3</v>
      </c>
      <c r="AR69" s="26">
        <v>26.8</v>
      </c>
      <c r="BL69" s="26">
        <v>110.4666666666667</v>
      </c>
      <c r="BM69" s="26">
        <v>109.2</v>
      </c>
      <c r="BN69" s="26">
        <v>8468.4</v>
      </c>
      <c r="BO69" s="26">
        <v>4747.5</v>
      </c>
      <c r="BP69" s="26">
        <v>-1</v>
      </c>
      <c r="BQ69" s="26">
        <v>3926.666666666667</v>
      </c>
      <c r="BR69" s="26">
        <v>10024.33333333333</v>
      </c>
      <c r="BS69" s="26">
        <v>71122.666666666672</v>
      </c>
    </row>
    <row r="70" spans="1:71">
      <c r="A70" s="55">
        <v>31867</v>
      </c>
      <c r="B70" s="26">
        <v>4722.2</v>
      </c>
      <c r="C70" s="26">
        <v>8369.9</v>
      </c>
      <c r="D70" s="26">
        <v>56.427</v>
      </c>
      <c r="E70" s="26">
        <v>2983.5</v>
      </c>
      <c r="F70" s="26">
        <v>5407.4</v>
      </c>
      <c r="G70" s="26">
        <v>55.179000000000002</v>
      </c>
      <c r="H70" s="26">
        <v>51.917000000000002</v>
      </c>
      <c r="I70" s="26">
        <v>42.484999999999999</v>
      </c>
      <c r="J70" s="26">
        <v>41.003</v>
      </c>
      <c r="K70" s="26">
        <v>49.34</v>
      </c>
      <c r="L70" s="26">
        <v>79.599999999999994</v>
      </c>
      <c r="M70" s="26">
        <v>46.2</v>
      </c>
      <c r="N70" s="26">
        <v>15.5</v>
      </c>
      <c r="O70" s="26">
        <v>441.9</v>
      </c>
      <c r="P70" s="26">
        <v>12.7</v>
      </c>
      <c r="Q70" s="26">
        <v>450.7</v>
      </c>
      <c r="R70" s="26">
        <v>336</v>
      </c>
      <c r="S70" s="26">
        <v>98.7</v>
      </c>
      <c r="T70" s="26">
        <v>1008.7</v>
      </c>
      <c r="U70" s="26">
        <v>317.39999999999998</v>
      </c>
      <c r="V70" s="26">
        <v>55.174999999999997</v>
      </c>
      <c r="W70" s="26">
        <v>492.1</v>
      </c>
      <c r="X70" s="26">
        <v>516.5</v>
      </c>
      <c r="Y70" s="26">
        <v>947.9</v>
      </c>
      <c r="Z70" s="26">
        <v>1215.9000000000001</v>
      </c>
      <c r="AA70" s="26">
        <v>358.3</v>
      </c>
      <c r="AB70" s="26">
        <v>44.1</v>
      </c>
      <c r="AC70" s="26">
        <v>76</v>
      </c>
      <c r="AD70" s="26">
        <v>310.7</v>
      </c>
      <c r="AE70" s="26">
        <v>353.6</v>
      </c>
      <c r="AF70" s="26">
        <v>76.900000000000006</v>
      </c>
      <c r="AG70" s="26">
        <v>92.4</v>
      </c>
      <c r="AH70" s="26">
        <v>291.89999999999998</v>
      </c>
      <c r="AI70" s="26">
        <v>22.7</v>
      </c>
      <c r="AJ70" s="26">
        <v>6.7</v>
      </c>
      <c r="AK70" s="26">
        <v>88.3</v>
      </c>
      <c r="AL70" s="26">
        <v>637.79999999999995</v>
      </c>
      <c r="AO70" s="26">
        <v>18760</v>
      </c>
      <c r="AP70" s="26">
        <v>28</v>
      </c>
      <c r="AQ70" s="26">
        <v>0.3</v>
      </c>
      <c r="AR70" s="26">
        <v>28.3</v>
      </c>
      <c r="BL70" s="26">
        <v>111.8</v>
      </c>
      <c r="BM70" s="26">
        <v>110.6666666666667</v>
      </c>
      <c r="BN70" s="26">
        <v>8537.9</v>
      </c>
      <c r="BO70" s="26">
        <v>4817</v>
      </c>
      <c r="BP70" s="26">
        <v>-1</v>
      </c>
      <c r="BQ70" s="26">
        <v>3943.666666666667</v>
      </c>
      <c r="BR70" s="26">
        <v>10039.33333333333</v>
      </c>
      <c r="BS70" s="26">
        <v>75290</v>
      </c>
    </row>
    <row r="71" spans="1:71">
      <c r="A71" s="55">
        <v>31958</v>
      </c>
      <c r="B71" s="26">
        <v>4806.2</v>
      </c>
      <c r="C71" s="26">
        <v>8460.2000000000007</v>
      </c>
      <c r="D71" s="26">
        <v>56.81</v>
      </c>
      <c r="E71" s="26">
        <v>3053.3</v>
      </c>
      <c r="F71" s="26">
        <v>5481.2</v>
      </c>
      <c r="G71" s="26">
        <v>55.710999999999999</v>
      </c>
      <c r="H71" s="26">
        <v>52.164000000000001</v>
      </c>
      <c r="I71" s="26">
        <v>43.003999999999998</v>
      </c>
      <c r="J71" s="26">
        <v>41.542000000000002</v>
      </c>
      <c r="K71" s="26">
        <v>49.755000000000003</v>
      </c>
      <c r="L71" s="26">
        <v>81.099999999999994</v>
      </c>
      <c r="M71" s="26">
        <v>47.3</v>
      </c>
      <c r="N71" s="26">
        <v>15.1</v>
      </c>
      <c r="O71" s="26">
        <v>447.5</v>
      </c>
      <c r="P71" s="26">
        <v>12.9</v>
      </c>
      <c r="Q71" s="26">
        <v>511.7</v>
      </c>
      <c r="R71" s="26">
        <v>344.4</v>
      </c>
      <c r="S71" s="26">
        <v>111.8</v>
      </c>
      <c r="T71" s="26">
        <v>1025.2</v>
      </c>
      <c r="U71" s="26">
        <v>321.5</v>
      </c>
      <c r="V71" s="26">
        <v>55.706000000000003</v>
      </c>
      <c r="W71" s="26">
        <v>501.2</v>
      </c>
      <c r="X71" s="26">
        <v>524</v>
      </c>
      <c r="Y71" s="26">
        <v>960.8</v>
      </c>
      <c r="Z71" s="26">
        <v>1218.5999999999999</v>
      </c>
      <c r="AA71" s="26">
        <v>410.2</v>
      </c>
      <c r="AB71" s="26">
        <v>45.8</v>
      </c>
      <c r="AC71" s="26">
        <v>87.3</v>
      </c>
      <c r="AD71" s="26">
        <v>314.5</v>
      </c>
      <c r="AE71" s="26">
        <v>357.6</v>
      </c>
      <c r="AF71" s="26">
        <v>80.2</v>
      </c>
      <c r="AG71" s="26">
        <v>101.5</v>
      </c>
      <c r="AH71" s="26">
        <v>298.5</v>
      </c>
      <c r="AI71" s="26">
        <v>24.5</v>
      </c>
      <c r="AJ71" s="26">
        <v>7</v>
      </c>
      <c r="AK71" s="26">
        <v>89.9</v>
      </c>
      <c r="AL71" s="26">
        <v>646.9</v>
      </c>
      <c r="AO71" s="26">
        <v>19560</v>
      </c>
      <c r="AP71" s="26">
        <v>30.2</v>
      </c>
      <c r="AQ71" s="26">
        <v>0.3</v>
      </c>
      <c r="AR71" s="26">
        <v>30.4</v>
      </c>
      <c r="BL71" s="26">
        <v>113.06666666666671</v>
      </c>
      <c r="BM71" s="26">
        <v>111.9666666666667</v>
      </c>
      <c r="BN71" s="26">
        <v>8606.7000000000007</v>
      </c>
      <c r="BO71" s="26">
        <v>4889.3999999999996</v>
      </c>
      <c r="BP71" s="26">
        <v>-1</v>
      </c>
      <c r="BQ71" s="26">
        <v>3953</v>
      </c>
      <c r="BR71" s="26">
        <v>10083.33333333333</v>
      </c>
      <c r="BS71" s="26">
        <v>75025.666666666672</v>
      </c>
    </row>
    <row r="72" spans="1:71">
      <c r="A72" s="55">
        <v>32050</v>
      </c>
      <c r="B72" s="26">
        <v>4884.6000000000004</v>
      </c>
      <c r="C72" s="26">
        <v>8533.6</v>
      </c>
      <c r="D72" s="26">
        <v>57.247999999999998</v>
      </c>
      <c r="E72" s="26">
        <v>3117.4</v>
      </c>
      <c r="F72" s="26">
        <v>5543.7</v>
      </c>
      <c r="G72" s="26">
        <v>56.238999999999997</v>
      </c>
      <c r="H72" s="26">
        <v>52.540999999999997</v>
      </c>
      <c r="I72" s="26">
        <v>43.518000000000001</v>
      </c>
      <c r="J72" s="26">
        <v>42.069000000000003</v>
      </c>
      <c r="K72" s="26">
        <v>50.198</v>
      </c>
      <c r="L72" s="26">
        <v>82.3</v>
      </c>
      <c r="M72" s="26">
        <v>48.4</v>
      </c>
      <c r="N72" s="26">
        <v>14.4</v>
      </c>
      <c r="O72" s="26">
        <v>449.4</v>
      </c>
      <c r="P72" s="26">
        <v>13.5</v>
      </c>
      <c r="Q72" s="26">
        <v>489</v>
      </c>
      <c r="R72" s="26">
        <v>352.4</v>
      </c>
      <c r="S72" s="26">
        <v>116.2</v>
      </c>
      <c r="T72" s="26">
        <v>1036.2</v>
      </c>
      <c r="U72" s="26">
        <v>326.3</v>
      </c>
      <c r="V72" s="26">
        <v>56.231999999999999</v>
      </c>
      <c r="W72" s="26">
        <v>504.1</v>
      </c>
      <c r="X72" s="26">
        <v>532.1</v>
      </c>
      <c r="Y72" s="26">
        <v>959.5</v>
      </c>
      <c r="Z72" s="26">
        <v>1222.8</v>
      </c>
      <c r="AA72" s="26">
        <v>394.9</v>
      </c>
      <c r="AB72" s="26">
        <v>46.4</v>
      </c>
      <c r="AC72" s="26">
        <v>91.3</v>
      </c>
      <c r="AD72" s="26">
        <v>319</v>
      </c>
      <c r="AE72" s="26">
        <v>357.9</v>
      </c>
      <c r="AF72" s="26">
        <v>78.2</v>
      </c>
      <c r="AG72" s="26">
        <v>94.1</v>
      </c>
      <c r="AH72" s="26">
        <v>306</v>
      </c>
      <c r="AI72" s="26">
        <v>24.8</v>
      </c>
      <c r="AJ72" s="26">
        <v>7.3</v>
      </c>
      <c r="AK72" s="26">
        <v>91.6</v>
      </c>
      <c r="AL72" s="26">
        <v>656.4</v>
      </c>
      <c r="AO72" s="26">
        <v>18828</v>
      </c>
      <c r="AP72" s="26">
        <v>31</v>
      </c>
      <c r="AQ72" s="26">
        <v>0.3</v>
      </c>
      <c r="AR72" s="26">
        <v>31.3</v>
      </c>
      <c r="BL72" s="26">
        <v>114.26666666666669</v>
      </c>
      <c r="BM72" s="26">
        <v>113.1666666666667</v>
      </c>
      <c r="BN72" s="26">
        <v>8675.1</v>
      </c>
      <c r="BO72" s="26">
        <v>4965.6000000000004</v>
      </c>
      <c r="BP72" s="26">
        <v>-1</v>
      </c>
      <c r="BQ72" s="26">
        <v>3969</v>
      </c>
      <c r="BR72" s="26">
        <v>10092.33333333333</v>
      </c>
      <c r="BS72" s="26">
        <v>77047</v>
      </c>
    </row>
    <row r="73" spans="1:71">
      <c r="A73" s="55">
        <v>32142</v>
      </c>
      <c r="B73" s="26">
        <v>5008</v>
      </c>
      <c r="C73" s="26">
        <v>8680.2000000000007</v>
      </c>
      <c r="D73" s="26">
        <v>57.677999999999997</v>
      </c>
      <c r="E73" s="26">
        <v>3150.9</v>
      </c>
      <c r="F73" s="26">
        <v>5555.5</v>
      </c>
      <c r="G73" s="26">
        <v>56.725000000000001</v>
      </c>
      <c r="H73" s="26">
        <v>52.651000000000003</v>
      </c>
      <c r="I73" s="26">
        <v>43.777999999999999</v>
      </c>
      <c r="J73" s="26">
        <v>42.326000000000001</v>
      </c>
      <c r="K73" s="26">
        <v>50.463999999999999</v>
      </c>
      <c r="L73" s="26">
        <v>83.3</v>
      </c>
      <c r="M73" s="26">
        <v>49.4</v>
      </c>
      <c r="N73" s="26">
        <v>13.5</v>
      </c>
      <c r="O73" s="26">
        <v>452.8</v>
      </c>
      <c r="P73" s="26">
        <v>13.7</v>
      </c>
      <c r="Q73" s="26">
        <v>507</v>
      </c>
      <c r="R73" s="26">
        <v>357.4</v>
      </c>
      <c r="S73" s="26">
        <v>110.7</v>
      </c>
      <c r="T73" s="26">
        <v>1056</v>
      </c>
      <c r="U73" s="26">
        <v>333.3</v>
      </c>
      <c r="V73" s="26">
        <v>56.718000000000004</v>
      </c>
      <c r="W73" s="26">
        <v>513.70000000000005</v>
      </c>
      <c r="X73" s="26">
        <v>542.29999999999995</v>
      </c>
      <c r="Y73" s="26">
        <v>975.7</v>
      </c>
      <c r="Z73" s="26">
        <v>1238.9000000000001</v>
      </c>
      <c r="AA73" s="26">
        <v>408.5</v>
      </c>
      <c r="AB73" s="26">
        <v>47.4</v>
      </c>
      <c r="AC73" s="26">
        <v>87.1</v>
      </c>
      <c r="AD73" s="26">
        <v>325.60000000000002</v>
      </c>
      <c r="AE73" s="26">
        <v>359.7</v>
      </c>
      <c r="AF73" s="26">
        <v>78.2</v>
      </c>
      <c r="AG73" s="26">
        <v>98.4</v>
      </c>
      <c r="AH73" s="26">
        <v>310</v>
      </c>
      <c r="AI73" s="26">
        <v>23.6</v>
      </c>
      <c r="AJ73" s="26">
        <v>7.7</v>
      </c>
      <c r="AK73" s="26">
        <v>93.1</v>
      </c>
      <c r="AL73" s="26">
        <v>668.1</v>
      </c>
      <c r="AO73" s="26">
        <v>18696</v>
      </c>
      <c r="AP73" s="26">
        <v>30.8</v>
      </c>
      <c r="AQ73" s="26">
        <v>0.3</v>
      </c>
      <c r="AR73" s="26">
        <v>31.1</v>
      </c>
      <c r="BL73" s="26">
        <v>115.3333333333333</v>
      </c>
      <c r="BM73" s="26">
        <v>114.1666666666667</v>
      </c>
      <c r="BN73" s="26">
        <v>8743.5</v>
      </c>
      <c r="BO73" s="26">
        <v>5044.5</v>
      </c>
      <c r="BP73" s="26">
        <v>-1</v>
      </c>
      <c r="BQ73" s="26">
        <v>4000.666666666667</v>
      </c>
      <c r="BR73" s="26">
        <v>10184.66666666667</v>
      </c>
      <c r="BS73" s="26">
        <v>78058</v>
      </c>
    </row>
    <row r="74" spans="1:71">
      <c r="A74" s="55">
        <v>32233</v>
      </c>
      <c r="B74" s="26">
        <v>5073.3999999999996</v>
      </c>
      <c r="C74" s="26">
        <v>8725</v>
      </c>
      <c r="D74" s="26">
        <v>58.124000000000002</v>
      </c>
      <c r="E74" s="26">
        <v>3231.9</v>
      </c>
      <c r="F74" s="26">
        <v>5653.6</v>
      </c>
      <c r="G74" s="26">
        <v>57.173000000000002</v>
      </c>
      <c r="H74" s="26">
        <v>53.369</v>
      </c>
      <c r="I74" s="26">
        <v>44.003</v>
      </c>
      <c r="J74" s="26">
        <v>42.514000000000003</v>
      </c>
      <c r="K74" s="26">
        <v>50.87</v>
      </c>
      <c r="L74" s="26">
        <v>83.4</v>
      </c>
      <c r="M74" s="26">
        <v>50.9</v>
      </c>
      <c r="N74" s="26">
        <v>13.9</v>
      </c>
      <c r="O74" s="26">
        <v>470.3</v>
      </c>
      <c r="P74" s="26">
        <v>14.2</v>
      </c>
      <c r="Q74" s="26">
        <v>502.1</v>
      </c>
      <c r="R74" s="26">
        <v>365.2</v>
      </c>
      <c r="S74" s="26">
        <v>108</v>
      </c>
      <c r="T74" s="26">
        <v>1056.9000000000001</v>
      </c>
      <c r="U74" s="26">
        <v>352.7</v>
      </c>
      <c r="V74" s="26">
        <v>57.164999999999999</v>
      </c>
      <c r="W74" s="26">
        <v>505.8</v>
      </c>
      <c r="X74" s="26">
        <v>551.1</v>
      </c>
      <c r="Y74" s="26">
        <v>947.7</v>
      </c>
      <c r="Z74" s="26">
        <v>1252.5999999999999</v>
      </c>
      <c r="AA74" s="26">
        <v>402.6</v>
      </c>
      <c r="AB74" s="26">
        <v>49.6</v>
      </c>
      <c r="AC74" s="26">
        <v>84.5</v>
      </c>
      <c r="AD74" s="26">
        <v>344.7</v>
      </c>
      <c r="AE74" s="26">
        <v>375</v>
      </c>
      <c r="AF74" s="26">
        <v>84.1</v>
      </c>
      <c r="AG74" s="26">
        <v>99.4</v>
      </c>
      <c r="AH74" s="26">
        <v>315.7</v>
      </c>
      <c r="AI74" s="26">
        <v>23.4</v>
      </c>
      <c r="AJ74" s="26">
        <v>8</v>
      </c>
      <c r="AK74" s="26">
        <v>95.3</v>
      </c>
      <c r="AL74" s="26">
        <v>678.6</v>
      </c>
      <c r="AO74" s="26">
        <v>18972</v>
      </c>
      <c r="AP74" s="26">
        <v>30</v>
      </c>
      <c r="AQ74" s="26">
        <v>0.3</v>
      </c>
      <c r="AR74" s="26">
        <v>30.4</v>
      </c>
      <c r="BL74" s="26">
        <v>116.23333333333331</v>
      </c>
      <c r="BM74" s="26">
        <v>114.93333333333329</v>
      </c>
      <c r="BN74" s="26">
        <v>8811.2000000000007</v>
      </c>
      <c r="BO74" s="26">
        <v>5123.5</v>
      </c>
      <c r="BP74" s="26">
        <v>-1</v>
      </c>
      <c r="BQ74" s="26">
        <v>4030.666666666667</v>
      </c>
      <c r="BR74" s="26">
        <v>10250.66666666667</v>
      </c>
      <c r="BS74" s="26">
        <v>79349.666666666672</v>
      </c>
    </row>
    <row r="75" spans="1:71">
      <c r="A75" s="55">
        <v>32324</v>
      </c>
      <c r="B75" s="26">
        <v>5190</v>
      </c>
      <c r="C75" s="26">
        <v>8839.6</v>
      </c>
      <c r="D75" s="26">
        <v>58.704000000000001</v>
      </c>
      <c r="E75" s="26">
        <v>3291.7</v>
      </c>
      <c r="F75" s="26">
        <v>5695.3</v>
      </c>
      <c r="G75" s="26">
        <v>57.805</v>
      </c>
      <c r="H75" s="26">
        <v>53.893000000000001</v>
      </c>
      <c r="I75" s="26">
        <v>44.432000000000002</v>
      </c>
      <c r="J75" s="26">
        <v>42.972000000000001</v>
      </c>
      <c r="K75" s="26">
        <v>51.151000000000003</v>
      </c>
      <c r="L75" s="26">
        <v>85</v>
      </c>
      <c r="M75" s="26">
        <v>52.2</v>
      </c>
      <c r="N75" s="26">
        <v>13.2</v>
      </c>
      <c r="O75" s="26">
        <v>473.4</v>
      </c>
      <c r="P75" s="26">
        <v>14.8</v>
      </c>
      <c r="Q75" s="26">
        <v>497.8</v>
      </c>
      <c r="R75" s="26">
        <v>372.5</v>
      </c>
      <c r="S75" s="26">
        <v>115.3</v>
      </c>
      <c r="T75" s="26">
        <v>1070.4000000000001</v>
      </c>
      <c r="U75" s="26">
        <v>360</v>
      </c>
      <c r="V75" s="26">
        <v>57.796999999999997</v>
      </c>
      <c r="W75" s="26">
        <v>506.9</v>
      </c>
      <c r="X75" s="26">
        <v>563.5</v>
      </c>
      <c r="Y75" s="26">
        <v>940.6</v>
      </c>
      <c r="Z75" s="26">
        <v>1268.4000000000001</v>
      </c>
      <c r="AA75" s="26">
        <v>400.6</v>
      </c>
      <c r="AB75" s="26">
        <v>49.3</v>
      </c>
      <c r="AC75" s="26">
        <v>90</v>
      </c>
      <c r="AD75" s="26">
        <v>351.7</v>
      </c>
      <c r="AE75" s="26">
        <v>376.1</v>
      </c>
      <c r="AF75" s="26">
        <v>84.1</v>
      </c>
      <c r="AG75" s="26">
        <v>97.2</v>
      </c>
      <c r="AH75" s="26">
        <v>323.2</v>
      </c>
      <c r="AI75" s="26">
        <v>25.2</v>
      </c>
      <c r="AJ75" s="26">
        <v>8.3000000000000007</v>
      </c>
      <c r="AK75" s="26">
        <v>97.3</v>
      </c>
      <c r="AL75" s="26">
        <v>693.1</v>
      </c>
      <c r="AO75" s="26">
        <v>19836</v>
      </c>
      <c r="AP75" s="26">
        <v>29.5</v>
      </c>
      <c r="AQ75" s="26">
        <v>0.3</v>
      </c>
      <c r="AR75" s="26">
        <v>29.8</v>
      </c>
      <c r="BL75" s="26">
        <v>117.56666666666671</v>
      </c>
      <c r="BM75" s="26">
        <v>116.2</v>
      </c>
      <c r="BN75" s="26">
        <v>8878.9</v>
      </c>
      <c r="BO75" s="26">
        <v>5213.1000000000004</v>
      </c>
      <c r="BP75" s="26">
        <v>-1</v>
      </c>
      <c r="BQ75" s="26">
        <v>4065.3333333333339</v>
      </c>
      <c r="BR75" s="26">
        <v>10315.33333333333</v>
      </c>
      <c r="BS75" s="26">
        <v>83348</v>
      </c>
    </row>
    <row r="76" spans="1:71">
      <c r="A76" s="55">
        <v>32416</v>
      </c>
      <c r="B76" s="26">
        <v>5282.8</v>
      </c>
      <c r="C76" s="26">
        <v>8891.4</v>
      </c>
      <c r="D76" s="26">
        <v>59.423000000000002</v>
      </c>
      <c r="E76" s="26">
        <v>3361.9</v>
      </c>
      <c r="F76" s="26">
        <v>5745.9</v>
      </c>
      <c r="G76" s="26">
        <v>58.517000000000003</v>
      </c>
      <c r="H76" s="26">
        <v>54.201000000000001</v>
      </c>
      <c r="I76" s="26">
        <v>44.805999999999997</v>
      </c>
      <c r="J76" s="26">
        <v>43.353999999999999</v>
      </c>
      <c r="K76" s="26">
        <v>51.481000000000002</v>
      </c>
      <c r="L76" s="26">
        <v>87</v>
      </c>
      <c r="M76" s="26">
        <v>53.7</v>
      </c>
      <c r="N76" s="26">
        <v>13.2</v>
      </c>
      <c r="O76" s="26">
        <v>478.8</v>
      </c>
      <c r="P76" s="26">
        <v>15.1</v>
      </c>
      <c r="Q76" s="26">
        <v>506.7</v>
      </c>
      <c r="R76" s="26">
        <v>377.5</v>
      </c>
      <c r="S76" s="26">
        <v>125.1</v>
      </c>
      <c r="T76" s="26">
        <v>1078.2</v>
      </c>
      <c r="U76" s="26">
        <v>366.2</v>
      </c>
      <c r="V76" s="26">
        <v>58.509</v>
      </c>
      <c r="W76" s="26">
        <v>507.4</v>
      </c>
      <c r="X76" s="26">
        <v>570.79999999999995</v>
      </c>
      <c r="Y76" s="26">
        <v>936.1</v>
      </c>
      <c r="Z76" s="26">
        <v>1274.0999999999999</v>
      </c>
      <c r="AA76" s="26">
        <v>402.5</v>
      </c>
      <c r="AB76" s="26">
        <v>50.2</v>
      </c>
      <c r="AC76" s="26">
        <v>97.8</v>
      </c>
      <c r="AD76" s="26">
        <v>357.7</v>
      </c>
      <c r="AE76" s="26">
        <v>379.3</v>
      </c>
      <c r="AF76" s="26">
        <v>87</v>
      </c>
      <c r="AG76" s="26">
        <v>104.1</v>
      </c>
      <c r="AH76" s="26">
        <v>327.3</v>
      </c>
      <c r="AI76" s="26">
        <v>27.3</v>
      </c>
      <c r="AJ76" s="26">
        <v>8.5</v>
      </c>
      <c r="AK76" s="26">
        <v>99.5</v>
      </c>
      <c r="AL76" s="26">
        <v>703.2</v>
      </c>
      <c r="AO76" s="26">
        <v>20388</v>
      </c>
      <c r="AP76" s="26">
        <v>28.9</v>
      </c>
      <c r="AQ76" s="26">
        <v>0.4</v>
      </c>
      <c r="AR76" s="26">
        <v>29.2</v>
      </c>
      <c r="BL76" s="26">
        <v>119</v>
      </c>
      <c r="BM76" s="26">
        <v>117.73333333333331</v>
      </c>
      <c r="BN76" s="26">
        <v>8946.2999999999993</v>
      </c>
      <c r="BO76" s="26">
        <v>5315.4</v>
      </c>
      <c r="BP76" s="26">
        <v>-1</v>
      </c>
      <c r="BQ76" s="26">
        <v>4094.3333333333339</v>
      </c>
      <c r="BR76" s="26">
        <v>10341.66666666667</v>
      </c>
      <c r="BS76" s="26">
        <v>82022.666666666672</v>
      </c>
    </row>
    <row r="77" spans="1:71">
      <c r="A77" s="55">
        <v>32508</v>
      </c>
      <c r="B77" s="26">
        <v>5399.5</v>
      </c>
      <c r="C77" s="26">
        <v>9009.9</v>
      </c>
      <c r="D77" s="26">
        <v>59.97</v>
      </c>
      <c r="E77" s="26">
        <v>3434.5</v>
      </c>
      <c r="F77" s="26">
        <v>5811.3</v>
      </c>
      <c r="G77" s="26">
        <v>59.107999999999997</v>
      </c>
      <c r="H77" s="26">
        <v>54.637999999999998</v>
      </c>
      <c r="I77" s="26">
        <v>45.319000000000003</v>
      </c>
      <c r="J77" s="26">
        <v>43.915999999999997</v>
      </c>
      <c r="K77" s="26">
        <v>51.753</v>
      </c>
      <c r="L77" s="26">
        <v>89.7</v>
      </c>
      <c r="M77" s="26">
        <v>55.4</v>
      </c>
      <c r="N77" s="26">
        <v>13</v>
      </c>
      <c r="O77" s="26">
        <v>484.9</v>
      </c>
      <c r="P77" s="26">
        <v>15.4</v>
      </c>
      <c r="Q77" s="26">
        <v>517.20000000000005</v>
      </c>
      <c r="R77" s="26">
        <v>382.6</v>
      </c>
      <c r="S77" s="26">
        <v>130.9</v>
      </c>
      <c r="T77" s="26">
        <v>1109.9000000000001</v>
      </c>
      <c r="U77" s="26">
        <v>373.7</v>
      </c>
      <c r="V77" s="26">
        <v>59.100999999999999</v>
      </c>
      <c r="W77" s="26">
        <v>525.6</v>
      </c>
      <c r="X77" s="26">
        <v>584.29999999999995</v>
      </c>
      <c r="Y77" s="26">
        <v>962.1</v>
      </c>
      <c r="Z77" s="26">
        <v>1289.4000000000001</v>
      </c>
      <c r="AA77" s="26">
        <v>409.6</v>
      </c>
      <c r="AB77" s="26">
        <v>50.2</v>
      </c>
      <c r="AC77" s="26">
        <v>102.7</v>
      </c>
      <c r="AD77" s="26">
        <v>365</v>
      </c>
      <c r="AE77" s="26">
        <v>383</v>
      </c>
      <c r="AF77" s="26">
        <v>87.7</v>
      </c>
      <c r="AG77" s="26">
        <v>107.6</v>
      </c>
      <c r="AH77" s="26">
        <v>332.4</v>
      </c>
      <c r="AI77" s="26">
        <v>28.2</v>
      </c>
      <c r="AJ77" s="26">
        <v>8.6999999999999993</v>
      </c>
      <c r="AK77" s="26">
        <v>101.9</v>
      </c>
      <c r="AL77" s="26">
        <v>720.1</v>
      </c>
      <c r="AO77" s="26">
        <v>19284</v>
      </c>
      <c r="AP77" s="26">
        <v>28.2</v>
      </c>
      <c r="AQ77" s="26">
        <v>0.4</v>
      </c>
      <c r="AR77" s="26">
        <v>28.6</v>
      </c>
      <c r="BL77" s="26">
        <v>120.3</v>
      </c>
      <c r="BM77" s="26">
        <v>118.93333333333329</v>
      </c>
      <c r="BN77" s="26">
        <v>9013.7000000000007</v>
      </c>
      <c r="BO77" s="26">
        <v>5401.8</v>
      </c>
      <c r="BP77" s="26">
        <v>-1</v>
      </c>
      <c r="BQ77" s="26">
        <v>4114.666666666667</v>
      </c>
      <c r="BR77" s="26">
        <v>10446.66666666667</v>
      </c>
      <c r="BS77" s="26">
        <v>84604</v>
      </c>
    </row>
    <row r="78" spans="1:71">
      <c r="A78" s="55">
        <v>32598</v>
      </c>
      <c r="B78" s="26">
        <v>5511.3</v>
      </c>
      <c r="C78" s="26">
        <v>9101.5</v>
      </c>
      <c r="D78" s="26">
        <v>60.546999999999997</v>
      </c>
      <c r="E78" s="26">
        <v>3490.2</v>
      </c>
      <c r="F78" s="26">
        <v>5838.2</v>
      </c>
      <c r="G78" s="26">
        <v>59.786999999999999</v>
      </c>
      <c r="H78" s="26">
        <v>55.042999999999999</v>
      </c>
      <c r="I78" s="26">
        <v>45.914999999999999</v>
      </c>
      <c r="J78" s="26">
        <v>44.582000000000001</v>
      </c>
      <c r="K78" s="26">
        <v>52.003</v>
      </c>
      <c r="L78" s="26">
        <v>93.8</v>
      </c>
      <c r="M78" s="26">
        <v>57.4</v>
      </c>
      <c r="N78" s="26">
        <v>13.6</v>
      </c>
      <c r="O78" s="26">
        <v>508.2</v>
      </c>
      <c r="P78" s="26">
        <v>15.9</v>
      </c>
      <c r="Q78" s="26">
        <v>552.9</v>
      </c>
      <c r="R78" s="26">
        <v>391</v>
      </c>
      <c r="S78" s="26">
        <v>132.69999999999999</v>
      </c>
      <c r="T78" s="26">
        <v>1116.5999999999999</v>
      </c>
      <c r="U78" s="26">
        <v>379.7</v>
      </c>
      <c r="V78" s="26">
        <v>59.780999999999999</v>
      </c>
      <c r="W78" s="26">
        <v>519.9</v>
      </c>
      <c r="X78" s="26">
        <v>596.70000000000005</v>
      </c>
      <c r="Y78" s="26">
        <v>944.5</v>
      </c>
      <c r="Z78" s="26">
        <v>1299.8</v>
      </c>
      <c r="AA78" s="26">
        <v>439.5</v>
      </c>
      <c r="AB78" s="26">
        <v>50.8</v>
      </c>
      <c r="AC78" s="26">
        <v>104.9</v>
      </c>
      <c r="AD78" s="26">
        <v>370.9</v>
      </c>
      <c r="AE78" s="26">
        <v>403.9</v>
      </c>
      <c r="AF78" s="26">
        <v>88.7</v>
      </c>
      <c r="AG78" s="26">
        <v>113.4</v>
      </c>
      <c r="AH78" s="26">
        <v>340.2</v>
      </c>
      <c r="AI78" s="26">
        <v>27.8</v>
      </c>
      <c r="AJ78" s="26">
        <v>8.8000000000000007</v>
      </c>
      <c r="AK78" s="26">
        <v>104.2</v>
      </c>
      <c r="AL78" s="26">
        <v>736.6</v>
      </c>
      <c r="AO78" s="26">
        <v>20192</v>
      </c>
      <c r="AP78" s="26">
        <v>27.6</v>
      </c>
      <c r="AQ78" s="26">
        <v>0.4</v>
      </c>
      <c r="AR78" s="26">
        <v>28</v>
      </c>
      <c r="BL78" s="26">
        <v>121.6666666666667</v>
      </c>
      <c r="BM78" s="26">
        <v>120.3666666666667</v>
      </c>
      <c r="BN78" s="26">
        <v>9080.7000000000007</v>
      </c>
      <c r="BO78" s="26">
        <v>5498.7</v>
      </c>
      <c r="BP78" s="26">
        <v>-1</v>
      </c>
      <c r="BQ78" s="26">
        <v>4135.666666666667</v>
      </c>
      <c r="BR78" s="26">
        <v>10510.66666666667</v>
      </c>
      <c r="BS78" s="26">
        <v>83566.666666666672</v>
      </c>
    </row>
    <row r="79" spans="1:71">
      <c r="A79" s="55">
        <v>32689</v>
      </c>
      <c r="B79" s="26">
        <v>5612.5</v>
      </c>
      <c r="C79" s="26">
        <v>9171</v>
      </c>
      <c r="D79" s="26">
        <v>61.201999999999998</v>
      </c>
      <c r="E79" s="26">
        <v>3553.8</v>
      </c>
      <c r="F79" s="26">
        <v>5865.5</v>
      </c>
      <c r="G79" s="26">
        <v>60.593000000000004</v>
      </c>
      <c r="H79" s="26">
        <v>55.447000000000003</v>
      </c>
      <c r="I79" s="26">
        <v>46.537999999999997</v>
      </c>
      <c r="J79" s="26">
        <v>45.244999999999997</v>
      </c>
      <c r="K79" s="26">
        <v>52.424999999999997</v>
      </c>
      <c r="L79" s="26">
        <v>96.9</v>
      </c>
      <c r="M79" s="26">
        <v>59.6</v>
      </c>
      <c r="N79" s="26">
        <v>13.7</v>
      </c>
      <c r="O79" s="26">
        <v>515.70000000000005</v>
      </c>
      <c r="P79" s="26">
        <v>16.3</v>
      </c>
      <c r="Q79" s="26">
        <v>566.70000000000005</v>
      </c>
      <c r="R79" s="26">
        <v>397.5</v>
      </c>
      <c r="S79" s="26">
        <v>118.7</v>
      </c>
      <c r="T79" s="26">
        <v>1145.8</v>
      </c>
      <c r="U79" s="26">
        <v>384.3</v>
      </c>
      <c r="V79" s="26">
        <v>60.588000000000001</v>
      </c>
      <c r="W79" s="26">
        <v>534.29999999999995</v>
      </c>
      <c r="X79" s="26">
        <v>611.5</v>
      </c>
      <c r="Y79" s="26">
        <v>963.7</v>
      </c>
      <c r="Z79" s="26">
        <v>1314.2</v>
      </c>
      <c r="AA79" s="26">
        <v>448.4</v>
      </c>
      <c r="AB79" s="26">
        <v>49.2</v>
      </c>
      <c r="AC79" s="26">
        <v>94.4</v>
      </c>
      <c r="AD79" s="26">
        <v>375.4</v>
      </c>
      <c r="AE79" s="26">
        <v>408.3</v>
      </c>
      <c r="AF79" s="26">
        <v>89.1</v>
      </c>
      <c r="AG79" s="26">
        <v>118.3</v>
      </c>
      <c r="AH79" s="26">
        <v>348.2</v>
      </c>
      <c r="AI79" s="26">
        <v>24.2</v>
      </c>
      <c r="AJ79" s="26">
        <v>8.9</v>
      </c>
      <c r="AK79" s="26">
        <v>107.3</v>
      </c>
      <c r="AL79" s="26">
        <v>755.1</v>
      </c>
      <c r="AO79" s="26">
        <v>19936</v>
      </c>
      <c r="AP79" s="26">
        <v>27</v>
      </c>
      <c r="AQ79" s="26">
        <v>0.4</v>
      </c>
      <c r="AR79" s="26">
        <v>27.4</v>
      </c>
      <c r="BL79" s="26">
        <v>123.6333333333333</v>
      </c>
      <c r="BM79" s="26">
        <v>122.4</v>
      </c>
      <c r="BN79" s="26">
        <v>9147.6</v>
      </c>
      <c r="BO79" s="26">
        <v>5598.2</v>
      </c>
      <c r="BP79" s="26">
        <v>-1</v>
      </c>
      <c r="BQ79" s="26">
        <v>4169</v>
      </c>
      <c r="BR79" s="26">
        <v>10566.33333333333</v>
      </c>
      <c r="BS79" s="26">
        <v>85684</v>
      </c>
    </row>
    <row r="80" spans="1:71">
      <c r="A80" s="55">
        <v>32781</v>
      </c>
      <c r="B80" s="26">
        <v>5695.4</v>
      </c>
      <c r="C80" s="26">
        <v>9238.9</v>
      </c>
      <c r="D80" s="26">
        <v>61.655999999999999</v>
      </c>
      <c r="E80" s="26">
        <v>3609.4</v>
      </c>
      <c r="F80" s="26">
        <v>5922.3</v>
      </c>
      <c r="G80" s="26">
        <v>60.95</v>
      </c>
      <c r="H80" s="26">
        <v>55.722999999999999</v>
      </c>
      <c r="I80" s="26">
        <v>46.973999999999997</v>
      </c>
      <c r="J80" s="26">
        <v>45.69</v>
      </c>
      <c r="K80" s="26">
        <v>52.814</v>
      </c>
      <c r="L80" s="26">
        <v>99.7</v>
      </c>
      <c r="M80" s="26">
        <v>61.9</v>
      </c>
      <c r="N80" s="26">
        <v>14.6</v>
      </c>
      <c r="O80" s="26">
        <v>524.70000000000005</v>
      </c>
      <c r="P80" s="26">
        <v>16.7</v>
      </c>
      <c r="Q80" s="26">
        <v>571.6</v>
      </c>
      <c r="R80" s="26">
        <v>403.9</v>
      </c>
      <c r="S80" s="26">
        <v>114.4</v>
      </c>
      <c r="T80" s="26">
        <v>1164.5999999999999</v>
      </c>
      <c r="U80" s="26">
        <v>388.9</v>
      </c>
      <c r="V80" s="26">
        <v>60.945999999999998</v>
      </c>
      <c r="W80" s="26">
        <v>541.4</v>
      </c>
      <c r="X80" s="26">
        <v>623.20000000000005</v>
      </c>
      <c r="Y80" s="26">
        <v>971.6</v>
      </c>
      <c r="Z80" s="26">
        <v>1326.9</v>
      </c>
      <c r="AA80" s="26">
        <v>457.1</v>
      </c>
      <c r="AB80" s="26">
        <v>50</v>
      </c>
      <c r="AC80" s="26">
        <v>91.6</v>
      </c>
      <c r="AD80" s="26">
        <v>379.8</v>
      </c>
      <c r="AE80" s="26">
        <v>413.7</v>
      </c>
      <c r="AF80" s="26">
        <v>95</v>
      </c>
      <c r="AG80" s="26">
        <v>114.5</v>
      </c>
      <c r="AH80" s="26">
        <v>353.9</v>
      </c>
      <c r="AI80" s="26">
        <v>22.8</v>
      </c>
      <c r="AJ80" s="26">
        <v>9</v>
      </c>
      <c r="AK80" s="26">
        <v>111</v>
      </c>
      <c r="AL80" s="26">
        <v>770.4</v>
      </c>
      <c r="AO80" s="26">
        <v>18832</v>
      </c>
      <c r="AP80" s="26">
        <v>26.7</v>
      </c>
      <c r="AQ80" s="26">
        <v>0.4</v>
      </c>
      <c r="AR80" s="26">
        <v>27.1</v>
      </c>
      <c r="BL80" s="26">
        <v>124.6</v>
      </c>
      <c r="BM80" s="26">
        <v>123.26666666666669</v>
      </c>
      <c r="BN80" s="26">
        <v>9214.2000000000007</v>
      </c>
      <c r="BO80" s="26">
        <v>5680.2</v>
      </c>
      <c r="BP80" s="26">
        <v>-1</v>
      </c>
      <c r="BQ80" s="26">
        <v>4201.333333333333</v>
      </c>
      <c r="BR80" s="26">
        <v>10640.66666666667</v>
      </c>
      <c r="BS80" s="26">
        <v>85730.333333333328</v>
      </c>
    </row>
    <row r="81" spans="1:71">
      <c r="A81" s="55">
        <v>32873</v>
      </c>
      <c r="B81" s="26">
        <v>5747.2</v>
      </c>
      <c r="C81" s="26">
        <v>9257.1</v>
      </c>
      <c r="D81" s="26">
        <v>62.076999999999998</v>
      </c>
      <c r="E81" s="26">
        <v>3653.7</v>
      </c>
      <c r="F81" s="26">
        <v>5948</v>
      </c>
      <c r="G81" s="26">
        <v>61.43</v>
      </c>
      <c r="H81" s="26">
        <v>55.923000000000002</v>
      </c>
      <c r="I81" s="26">
        <v>47.581000000000003</v>
      </c>
      <c r="J81" s="26">
        <v>46.360999999999997</v>
      </c>
      <c r="K81" s="26">
        <v>53.104999999999997</v>
      </c>
      <c r="L81" s="26">
        <v>102.3</v>
      </c>
      <c r="M81" s="26">
        <v>64.400000000000006</v>
      </c>
      <c r="N81" s="26">
        <v>15.8</v>
      </c>
      <c r="O81" s="26">
        <v>535.79999999999995</v>
      </c>
      <c r="P81" s="26">
        <v>17.100000000000001</v>
      </c>
      <c r="Q81" s="26">
        <v>579.79999999999995</v>
      </c>
      <c r="R81" s="26">
        <v>403</v>
      </c>
      <c r="S81" s="26">
        <v>113.5</v>
      </c>
      <c r="T81" s="26">
        <v>1180.5</v>
      </c>
      <c r="U81" s="26">
        <v>394.9</v>
      </c>
      <c r="V81" s="26">
        <v>61.427</v>
      </c>
      <c r="W81" s="26">
        <v>540.79999999999995</v>
      </c>
      <c r="X81" s="26">
        <v>639.70000000000005</v>
      </c>
      <c r="Y81" s="26">
        <v>967.1</v>
      </c>
      <c r="Z81" s="26">
        <v>1344.6</v>
      </c>
      <c r="AA81" s="26">
        <v>467.4</v>
      </c>
      <c r="AB81" s="26">
        <v>48.9</v>
      </c>
      <c r="AC81" s="26">
        <v>91.4</v>
      </c>
      <c r="AD81" s="26">
        <v>385.6</v>
      </c>
      <c r="AE81" s="26">
        <v>420.9</v>
      </c>
      <c r="AF81" s="26">
        <v>94.5</v>
      </c>
      <c r="AG81" s="26">
        <v>112.4</v>
      </c>
      <c r="AH81" s="26">
        <v>354.2</v>
      </c>
      <c r="AI81" s="26">
        <v>22.1</v>
      </c>
      <c r="AJ81" s="26">
        <v>9.3000000000000007</v>
      </c>
      <c r="AK81" s="26">
        <v>114.8</v>
      </c>
      <c r="AL81" s="26">
        <v>790</v>
      </c>
      <c r="AO81" s="26">
        <v>20492</v>
      </c>
      <c r="AP81" s="26">
        <v>26.9</v>
      </c>
      <c r="AQ81" s="26">
        <v>0.4</v>
      </c>
      <c r="AR81" s="26">
        <v>27.3</v>
      </c>
      <c r="BL81" s="26">
        <v>125.8666666666667</v>
      </c>
      <c r="BM81" s="26">
        <v>124.4</v>
      </c>
      <c r="BN81" s="26">
        <v>9280.7000000000007</v>
      </c>
      <c r="BO81" s="26">
        <v>5761.9</v>
      </c>
      <c r="BP81" s="26">
        <v>-1</v>
      </c>
      <c r="BQ81" s="26">
        <v>4221</v>
      </c>
      <c r="BR81" s="26">
        <v>10719.66666666667</v>
      </c>
      <c r="BS81" s="26">
        <v>89358.333333333328</v>
      </c>
    </row>
    <row r="82" spans="1:71">
      <c r="A82" s="55">
        <v>32963</v>
      </c>
      <c r="B82" s="26">
        <v>5872.7</v>
      </c>
      <c r="C82" s="26">
        <v>9358.2999999999993</v>
      </c>
      <c r="D82" s="26">
        <v>62.753</v>
      </c>
      <c r="E82" s="26">
        <v>3737.9</v>
      </c>
      <c r="F82" s="26">
        <v>5998.1</v>
      </c>
      <c r="G82" s="26">
        <v>62.32</v>
      </c>
      <c r="H82" s="26">
        <v>56.314999999999998</v>
      </c>
      <c r="I82" s="26">
        <v>48.253999999999998</v>
      </c>
      <c r="J82" s="26">
        <v>47.095999999999997</v>
      </c>
      <c r="K82" s="26">
        <v>53.487000000000002</v>
      </c>
      <c r="L82" s="26">
        <v>104.3</v>
      </c>
      <c r="M82" s="26">
        <v>66.599999999999994</v>
      </c>
      <c r="N82" s="26">
        <v>16.399999999999999</v>
      </c>
      <c r="O82" s="26">
        <v>556.20000000000005</v>
      </c>
      <c r="P82" s="26">
        <v>17.3</v>
      </c>
      <c r="Q82" s="26">
        <v>582.5</v>
      </c>
      <c r="R82" s="26">
        <v>419.5</v>
      </c>
      <c r="S82" s="26">
        <v>112.5</v>
      </c>
      <c r="T82" s="26">
        <v>1212.5</v>
      </c>
      <c r="U82" s="26">
        <v>403.5</v>
      </c>
      <c r="V82" s="26">
        <v>62.319000000000003</v>
      </c>
      <c r="W82" s="26">
        <v>553.70000000000005</v>
      </c>
      <c r="X82" s="26">
        <v>658.8</v>
      </c>
      <c r="Y82" s="26">
        <v>983.2</v>
      </c>
      <c r="Z82" s="26">
        <v>1365.4</v>
      </c>
      <c r="AA82" s="26">
        <v>463.2</v>
      </c>
      <c r="AB82" s="26">
        <v>50.3</v>
      </c>
      <c r="AC82" s="26">
        <v>91.1</v>
      </c>
      <c r="AD82" s="26">
        <v>394</v>
      </c>
      <c r="AE82" s="26">
        <v>437.5</v>
      </c>
      <c r="AF82" s="26">
        <v>99.9</v>
      </c>
      <c r="AG82" s="26">
        <v>119.4</v>
      </c>
      <c r="AH82" s="26">
        <v>369.3</v>
      </c>
      <c r="AI82" s="26">
        <v>21.4</v>
      </c>
      <c r="AJ82" s="26">
        <v>9.5</v>
      </c>
      <c r="AK82" s="26">
        <v>118.8</v>
      </c>
      <c r="AL82" s="26">
        <v>811.4</v>
      </c>
      <c r="AO82" s="26">
        <v>21448</v>
      </c>
      <c r="AP82" s="26">
        <v>26.8</v>
      </c>
      <c r="AQ82" s="26">
        <v>0.4</v>
      </c>
      <c r="AR82" s="26">
        <v>27.1</v>
      </c>
      <c r="BL82" s="26">
        <v>128.0333333333333</v>
      </c>
      <c r="BM82" s="26">
        <v>126.56666666666671</v>
      </c>
      <c r="BN82" s="26">
        <v>9346.4</v>
      </c>
      <c r="BO82" s="26">
        <v>5865.2</v>
      </c>
      <c r="BP82" s="26">
        <v>-1</v>
      </c>
      <c r="BQ82" s="26">
        <v>4258</v>
      </c>
      <c r="BR82" s="26">
        <v>10814</v>
      </c>
      <c r="BS82" s="26">
        <v>94388.333333333328</v>
      </c>
    </row>
    <row r="83" spans="1:71">
      <c r="A83" s="55">
        <v>33054</v>
      </c>
      <c r="B83" s="26">
        <v>5960</v>
      </c>
      <c r="C83" s="26">
        <v>9392.2999999999993</v>
      </c>
      <c r="D83" s="26">
        <v>63.454999999999998</v>
      </c>
      <c r="E83" s="26">
        <v>3783.4</v>
      </c>
      <c r="F83" s="26">
        <v>6016.3</v>
      </c>
      <c r="G83" s="26">
        <v>62.886000000000003</v>
      </c>
      <c r="H83" s="26">
        <v>57.281999999999996</v>
      </c>
      <c r="I83" s="26">
        <v>48.752000000000002</v>
      </c>
      <c r="J83" s="26">
        <v>47.597999999999999</v>
      </c>
      <c r="K83" s="26">
        <v>53.959000000000003</v>
      </c>
      <c r="L83" s="26">
        <v>106.5</v>
      </c>
      <c r="M83" s="26">
        <v>70.3</v>
      </c>
      <c r="N83" s="26">
        <v>17.100000000000001</v>
      </c>
      <c r="O83" s="26">
        <v>567.5</v>
      </c>
      <c r="P83" s="26">
        <v>17.899999999999999</v>
      </c>
      <c r="Q83" s="26">
        <v>594.6</v>
      </c>
      <c r="R83" s="26">
        <v>419.5</v>
      </c>
      <c r="S83" s="26">
        <v>116.8</v>
      </c>
      <c r="T83" s="26">
        <v>1230.7</v>
      </c>
      <c r="U83" s="26">
        <v>408.8</v>
      </c>
      <c r="V83" s="26">
        <v>62.886000000000003</v>
      </c>
      <c r="W83" s="26">
        <v>563.9</v>
      </c>
      <c r="X83" s="26">
        <v>666.8</v>
      </c>
      <c r="Y83" s="26">
        <v>984.5</v>
      </c>
      <c r="Z83" s="26">
        <v>1367.9</v>
      </c>
      <c r="AA83" s="26">
        <v>472</v>
      </c>
      <c r="AB83" s="26">
        <v>50.8</v>
      </c>
      <c r="AC83" s="26">
        <v>94.7</v>
      </c>
      <c r="AD83" s="26">
        <v>399</v>
      </c>
      <c r="AE83" s="26">
        <v>443.4</v>
      </c>
      <c r="AF83" s="26">
        <v>103.2</v>
      </c>
      <c r="AG83" s="26">
        <v>122.6</v>
      </c>
      <c r="AH83" s="26">
        <v>368.7</v>
      </c>
      <c r="AI83" s="26">
        <v>22.1</v>
      </c>
      <c r="AJ83" s="26">
        <v>9.9</v>
      </c>
      <c r="AK83" s="26">
        <v>124.2</v>
      </c>
      <c r="AL83" s="26">
        <v>824.1</v>
      </c>
      <c r="AO83" s="26">
        <v>20184</v>
      </c>
      <c r="AP83" s="26">
        <v>26.6</v>
      </c>
      <c r="AQ83" s="26">
        <v>0.4</v>
      </c>
      <c r="AR83" s="26">
        <v>27</v>
      </c>
      <c r="BL83" s="26">
        <v>129.30000000000001</v>
      </c>
      <c r="BM83" s="26">
        <v>127.6666666666667</v>
      </c>
      <c r="BN83" s="26">
        <v>9411.5</v>
      </c>
      <c r="BO83" s="26">
        <v>5972.2</v>
      </c>
      <c r="BP83" s="26">
        <v>-1</v>
      </c>
      <c r="BQ83" s="26">
        <v>4295.666666666667</v>
      </c>
      <c r="BR83" s="26">
        <v>10873</v>
      </c>
      <c r="BS83" s="26">
        <v>93807</v>
      </c>
    </row>
    <row r="84" spans="1:71">
      <c r="A84" s="55">
        <v>33146</v>
      </c>
      <c r="B84" s="26">
        <v>6015.1</v>
      </c>
      <c r="C84" s="26">
        <v>9398.5</v>
      </c>
      <c r="D84" s="26">
        <v>64.004000000000005</v>
      </c>
      <c r="E84" s="26">
        <v>3846.7</v>
      </c>
      <c r="F84" s="26">
        <v>6040.2</v>
      </c>
      <c r="G84" s="26">
        <v>63.685000000000002</v>
      </c>
      <c r="H84" s="26">
        <v>57.36</v>
      </c>
      <c r="I84" s="26">
        <v>49.414999999999999</v>
      </c>
      <c r="J84" s="26">
        <v>48.290999999999997</v>
      </c>
      <c r="K84" s="26">
        <v>54.482999999999997</v>
      </c>
      <c r="L84" s="26">
        <v>108.7</v>
      </c>
      <c r="M84" s="26">
        <v>74.900000000000006</v>
      </c>
      <c r="N84" s="26">
        <v>18.2</v>
      </c>
      <c r="O84" s="26">
        <v>578.1</v>
      </c>
      <c r="P84" s="26">
        <v>18.7</v>
      </c>
      <c r="Q84" s="26">
        <v>600.70000000000005</v>
      </c>
      <c r="R84" s="26">
        <v>426.8</v>
      </c>
      <c r="S84" s="26">
        <v>119.9</v>
      </c>
      <c r="T84" s="26">
        <v>1242.5999999999999</v>
      </c>
      <c r="U84" s="26">
        <v>416.6</v>
      </c>
      <c r="V84" s="26">
        <v>63.685000000000002</v>
      </c>
      <c r="W84" s="26">
        <v>562.20000000000005</v>
      </c>
      <c r="X84" s="26">
        <v>680.3</v>
      </c>
      <c r="Y84" s="26">
        <v>980.1</v>
      </c>
      <c r="Z84" s="26">
        <v>1377</v>
      </c>
      <c r="AA84" s="26">
        <v>477</v>
      </c>
      <c r="AB84" s="26">
        <v>51.1</v>
      </c>
      <c r="AC84" s="26">
        <v>97</v>
      </c>
      <c r="AD84" s="26">
        <v>406.4</v>
      </c>
      <c r="AE84" s="26">
        <v>447.9</v>
      </c>
      <c r="AF84" s="26">
        <v>105.5</v>
      </c>
      <c r="AG84" s="26">
        <v>123.7</v>
      </c>
      <c r="AH84" s="26">
        <v>375.6</v>
      </c>
      <c r="AI84" s="26">
        <v>23</v>
      </c>
      <c r="AJ84" s="26">
        <v>10.199999999999999</v>
      </c>
      <c r="AK84" s="26">
        <v>130.30000000000001</v>
      </c>
      <c r="AL84" s="26">
        <v>843.9</v>
      </c>
      <c r="AO84" s="26">
        <v>20508</v>
      </c>
      <c r="AP84" s="26">
        <v>26.6</v>
      </c>
      <c r="AQ84" s="26">
        <v>0.4</v>
      </c>
      <c r="AR84" s="26">
        <v>26.9</v>
      </c>
      <c r="BL84" s="26">
        <v>131.5333333333333</v>
      </c>
      <c r="BM84" s="26">
        <v>129.8666666666667</v>
      </c>
      <c r="BN84" s="26">
        <v>9475.2999999999993</v>
      </c>
      <c r="BO84" s="26">
        <v>6064.3</v>
      </c>
      <c r="BP84" s="26">
        <v>1</v>
      </c>
      <c r="BQ84" s="26">
        <v>4322.666666666667</v>
      </c>
      <c r="BR84" s="26">
        <v>10967.33333333333</v>
      </c>
      <c r="BS84" s="26">
        <v>94972</v>
      </c>
    </row>
    <row r="85" spans="1:71">
      <c r="A85" s="55">
        <v>33238</v>
      </c>
      <c r="B85" s="26">
        <v>6004.7</v>
      </c>
      <c r="C85" s="26">
        <v>9312.9</v>
      </c>
      <c r="D85" s="26">
        <v>64.492999999999995</v>
      </c>
      <c r="E85" s="26">
        <v>3867.9</v>
      </c>
      <c r="F85" s="26">
        <v>5994.2</v>
      </c>
      <c r="G85" s="26">
        <v>64.527000000000001</v>
      </c>
      <c r="H85" s="26">
        <v>58.042999999999999</v>
      </c>
      <c r="I85" s="26">
        <v>50.192999999999998</v>
      </c>
      <c r="J85" s="26">
        <v>49.204999999999998</v>
      </c>
      <c r="K85" s="26">
        <v>54.628</v>
      </c>
      <c r="L85" s="26">
        <v>111</v>
      </c>
      <c r="M85" s="26">
        <v>80.7</v>
      </c>
      <c r="N85" s="26">
        <v>21</v>
      </c>
      <c r="O85" s="26">
        <v>596.79999999999995</v>
      </c>
      <c r="P85" s="26">
        <v>19.600000000000001</v>
      </c>
      <c r="Q85" s="26">
        <v>600.79999999999995</v>
      </c>
      <c r="R85" s="26">
        <v>434.2</v>
      </c>
      <c r="S85" s="26">
        <v>118.8</v>
      </c>
      <c r="T85" s="26">
        <v>1268.5</v>
      </c>
      <c r="U85" s="26">
        <v>419.4</v>
      </c>
      <c r="V85" s="26">
        <v>64.527000000000001</v>
      </c>
      <c r="W85" s="26">
        <v>569.70000000000005</v>
      </c>
      <c r="X85" s="26">
        <v>698.8</v>
      </c>
      <c r="Y85" s="26">
        <v>981.3</v>
      </c>
      <c r="Z85" s="26">
        <v>1392.4</v>
      </c>
      <c r="AA85" s="26">
        <v>476.2</v>
      </c>
      <c r="AB85" s="26">
        <v>51.5</v>
      </c>
      <c r="AC85" s="26">
        <v>95.4</v>
      </c>
      <c r="AD85" s="26">
        <v>408.9</v>
      </c>
      <c r="AE85" s="26">
        <v>459.4</v>
      </c>
      <c r="AF85" s="26">
        <v>108.8</v>
      </c>
      <c r="AG85" s="26">
        <v>124.6</v>
      </c>
      <c r="AH85" s="26">
        <v>382.7</v>
      </c>
      <c r="AI85" s="26">
        <v>23.4</v>
      </c>
      <c r="AJ85" s="26">
        <v>10.5</v>
      </c>
      <c r="AK85" s="26">
        <v>137.4</v>
      </c>
      <c r="AL85" s="26">
        <v>871</v>
      </c>
      <c r="AO85" s="26">
        <v>21188</v>
      </c>
      <c r="AP85" s="26">
        <v>26.6</v>
      </c>
      <c r="AQ85" s="26">
        <v>0.4</v>
      </c>
      <c r="AR85" s="26">
        <v>27</v>
      </c>
      <c r="BL85" s="26">
        <v>133.76666666666671</v>
      </c>
      <c r="BM85" s="26">
        <v>132.1</v>
      </c>
      <c r="BN85" s="26">
        <v>9537.7999999999993</v>
      </c>
      <c r="BO85" s="26">
        <v>6149.7</v>
      </c>
      <c r="BP85" s="26">
        <v>1</v>
      </c>
      <c r="BQ85" s="26">
        <v>4342.666666666667</v>
      </c>
      <c r="BR85" s="26">
        <v>11000.33333333333</v>
      </c>
      <c r="BS85" s="26">
        <v>98807.666666666672</v>
      </c>
    </row>
    <row r="86" spans="1:71">
      <c r="A86" s="55">
        <v>33328</v>
      </c>
      <c r="B86" s="26">
        <v>6035.2</v>
      </c>
      <c r="C86" s="26">
        <v>9269.4</v>
      </c>
      <c r="D86" s="26">
        <v>65.12</v>
      </c>
      <c r="E86" s="26">
        <v>3873.6</v>
      </c>
      <c r="F86" s="26">
        <v>5971.7</v>
      </c>
      <c r="G86" s="26">
        <v>64.866</v>
      </c>
      <c r="H86" s="26">
        <v>58.563000000000002</v>
      </c>
      <c r="I86" s="26">
        <v>50.404000000000003</v>
      </c>
      <c r="J86" s="26">
        <v>49.439</v>
      </c>
      <c r="K86" s="26">
        <v>54.735999999999997</v>
      </c>
      <c r="L86" s="26">
        <v>112.9</v>
      </c>
      <c r="M86" s="26">
        <v>83.7</v>
      </c>
      <c r="N86" s="26">
        <v>24.3</v>
      </c>
      <c r="O86" s="26">
        <v>622.5</v>
      </c>
      <c r="P86" s="26">
        <v>20.9</v>
      </c>
      <c r="Q86" s="26">
        <v>580.79999999999995</v>
      </c>
      <c r="R86" s="26">
        <v>444</v>
      </c>
      <c r="S86" s="26">
        <v>115.3</v>
      </c>
      <c r="T86" s="26">
        <v>1284.2</v>
      </c>
      <c r="U86" s="26">
        <v>423</v>
      </c>
      <c r="V86" s="26">
        <v>64.866</v>
      </c>
      <c r="W86" s="26">
        <v>581.4</v>
      </c>
      <c r="X86" s="26">
        <v>702.8</v>
      </c>
      <c r="Y86" s="26">
        <v>992.5</v>
      </c>
      <c r="Z86" s="26">
        <v>1394.5</v>
      </c>
      <c r="AA86" s="26">
        <v>459.6</v>
      </c>
      <c r="AB86" s="26">
        <v>59.7</v>
      </c>
      <c r="AC86" s="26">
        <v>91.5</v>
      </c>
      <c r="AD86" s="26">
        <v>412</v>
      </c>
      <c r="AE86" s="26">
        <v>481</v>
      </c>
      <c r="AF86" s="26">
        <v>115.6</v>
      </c>
      <c r="AG86" s="26">
        <v>121.2</v>
      </c>
      <c r="AH86" s="26">
        <v>384.3</v>
      </c>
      <c r="AI86" s="26">
        <v>23.8</v>
      </c>
      <c r="AJ86" s="26">
        <v>11</v>
      </c>
      <c r="AK86" s="26">
        <v>141.5</v>
      </c>
      <c r="AL86" s="26">
        <v>881.6</v>
      </c>
      <c r="AO86" s="26">
        <v>21552</v>
      </c>
      <c r="AP86" s="26">
        <v>26.7</v>
      </c>
      <c r="AQ86" s="26">
        <v>0.4</v>
      </c>
      <c r="AR86" s="26">
        <v>27.1</v>
      </c>
      <c r="BL86" s="26">
        <v>134.76666666666671</v>
      </c>
      <c r="BM86" s="26">
        <v>132.93333333333331</v>
      </c>
      <c r="BN86" s="26">
        <v>9599.2000000000007</v>
      </c>
      <c r="BO86" s="26">
        <v>6249.9</v>
      </c>
      <c r="BP86" s="26">
        <v>1</v>
      </c>
      <c r="BQ86" s="26">
        <v>4358</v>
      </c>
      <c r="BR86" s="26">
        <v>11027</v>
      </c>
      <c r="BS86" s="26">
        <v>95253.666666666672</v>
      </c>
    </row>
    <row r="87" spans="1:71">
      <c r="A87" s="55">
        <v>33419</v>
      </c>
      <c r="B87" s="26">
        <v>6126.9</v>
      </c>
      <c r="C87" s="26">
        <v>9341.6</v>
      </c>
      <c r="D87" s="26">
        <v>65.588999999999999</v>
      </c>
      <c r="E87" s="26">
        <v>3926.9</v>
      </c>
      <c r="F87" s="26">
        <v>6021.2</v>
      </c>
      <c r="G87" s="26">
        <v>65.221000000000004</v>
      </c>
      <c r="H87" s="26">
        <v>58.851999999999997</v>
      </c>
      <c r="I87" s="26">
        <v>50.709000000000003</v>
      </c>
      <c r="J87" s="26">
        <v>49.749000000000002</v>
      </c>
      <c r="K87" s="26">
        <v>55.018000000000001</v>
      </c>
      <c r="L87" s="26">
        <v>115.7</v>
      </c>
      <c r="M87" s="26">
        <v>93.1</v>
      </c>
      <c r="N87" s="26">
        <v>27.5</v>
      </c>
      <c r="O87" s="26">
        <v>643.5</v>
      </c>
      <c r="P87" s="26">
        <v>22.1</v>
      </c>
      <c r="Q87" s="26">
        <v>585.9</v>
      </c>
      <c r="R87" s="26">
        <v>451.6</v>
      </c>
      <c r="S87" s="26">
        <v>110.9</v>
      </c>
      <c r="T87" s="26">
        <v>1296.5999999999999</v>
      </c>
      <c r="U87" s="26">
        <v>429.7</v>
      </c>
      <c r="V87" s="26">
        <v>65.218999999999994</v>
      </c>
      <c r="W87" s="26">
        <v>586.6</v>
      </c>
      <c r="X87" s="26">
        <v>709.9</v>
      </c>
      <c r="Y87" s="26">
        <v>996.6</v>
      </c>
      <c r="Z87" s="26">
        <v>1400.1</v>
      </c>
      <c r="AA87" s="26">
        <v>461.4</v>
      </c>
      <c r="AB87" s="26">
        <v>61.3</v>
      </c>
      <c r="AC87" s="26">
        <v>87.5</v>
      </c>
      <c r="AD87" s="26">
        <v>418.3</v>
      </c>
      <c r="AE87" s="26">
        <v>491.3</v>
      </c>
      <c r="AF87" s="26">
        <v>120.5</v>
      </c>
      <c r="AG87" s="26">
        <v>124.5</v>
      </c>
      <c r="AH87" s="26">
        <v>390.2</v>
      </c>
      <c r="AI87" s="26">
        <v>23.4</v>
      </c>
      <c r="AJ87" s="26">
        <v>11.4</v>
      </c>
      <c r="AK87" s="26">
        <v>152.19999999999999</v>
      </c>
      <c r="AL87" s="26">
        <v>901.3</v>
      </c>
      <c r="AO87" s="26">
        <v>21612</v>
      </c>
      <c r="AP87" s="26">
        <v>26.8</v>
      </c>
      <c r="AQ87" s="26">
        <v>0.4</v>
      </c>
      <c r="AR87" s="26">
        <v>27.2</v>
      </c>
      <c r="BL87" s="26">
        <v>135.56666666666669</v>
      </c>
      <c r="BM87" s="26">
        <v>133.73333333333341</v>
      </c>
      <c r="BN87" s="26">
        <v>9659.6</v>
      </c>
      <c r="BO87" s="26">
        <v>6335.5</v>
      </c>
      <c r="BP87" s="26">
        <v>-1</v>
      </c>
      <c r="BQ87" s="26">
        <v>4362.333333333333</v>
      </c>
      <c r="BR87" s="26">
        <v>11057.33333333333</v>
      </c>
      <c r="BS87" s="26">
        <v>96128.666666666672</v>
      </c>
    </row>
    <row r="88" spans="1:71">
      <c r="A88" s="55">
        <v>33511</v>
      </c>
      <c r="B88" s="26">
        <v>6205.9</v>
      </c>
      <c r="C88" s="26">
        <v>9388.7999999999993</v>
      </c>
      <c r="D88" s="26">
        <v>66.091999999999999</v>
      </c>
      <c r="E88" s="26">
        <v>3973.3</v>
      </c>
      <c r="F88" s="26">
        <v>6051.2</v>
      </c>
      <c r="G88" s="26">
        <v>65.664000000000001</v>
      </c>
      <c r="H88" s="26">
        <v>59.607999999999997</v>
      </c>
      <c r="I88" s="26">
        <v>51.125999999999998</v>
      </c>
      <c r="J88" s="26">
        <v>50.222999999999999</v>
      </c>
      <c r="K88" s="26">
        <v>55.164000000000001</v>
      </c>
      <c r="L88" s="26">
        <v>118.9</v>
      </c>
      <c r="M88" s="26">
        <v>98.4</v>
      </c>
      <c r="N88" s="26">
        <v>25.9</v>
      </c>
      <c r="O88" s="26">
        <v>653.79999999999995</v>
      </c>
      <c r="P88" s="26">
        <v>23.1</v>
      </c>
      <c r="Q88" s="26">
        <v>590.20000000000005</v>
      </c>
      <c r="R88" s="26">
        <v>461.3</v>
      </c>
      <c r="S88" s="26">
        <v>111.9</v>
      </c>
      <c r="T88" s="26">
        <v>1306.3</v>
      </c>
      <c r="U88" s="26">
        <v>435.6</v>
      </c>
      <c r="V88" s="26">
        <v>65.661000000000001</v>
      </c>
      <c r="W88" s="26">
        <v>586.29999999999995</v>
      </c>
      <c r="X88" s="26">
        <v>719.9</v>
      </c>
      <c r="Y88" s="26">
        <v>983.4</v>
      </c>
      <c r="Z88" s="26">
        <v>1408.3</v>
      </c>
      <c r="AA88" s="26">
        <v>464.1</v>
      </c>
      <c r="AB88" s="26">
        <v>61.8</v>
      </c>
      <c r="AC88" s="26">
        <v>88.2</v>
      </c>
      <c r="AD88" s="26">
        <v>423.7</v>
      </c>
      <c r="AE88" s="26">
        <v>495.1</v>
      </c>
      <c r="AF88" s="26">
        <v>127</v>
      </c>
      <c r="AG88" s="26">
        <v>126.1</v>
      </c>
      <c r="AH88" s="26">
        <v>399.4</v>
      </c>
      <c r="AI88" s="26">
        <v>23.7</v>
      </c>
      <c r="AJ88" s="26">
        <v>11.8</v>
      </c>
      <c r="AK88" s="26">
        <v>158.6</v>
      </c>
      <c r="AL88" s="26">
        <v>919.2</v>
      </c>
      <c r="AO88" s="26">
        <v>21056</v>
      </c>
      <c r="AP88" s="26">
        <v>27.1</v>
      </c>
      <c r="AQ88" s="26">
        <v>0.4</v>
      </c>
      <c r="AR88" s="26">
        <v>27.5</v>
      </c>
      <c r="BL88" s="26">
        <v>136.6</v>
      </c>
      <c r="BM88" s="26">
        <v>134.6333333333333</v>
      </c>
      <c r="BN88" s="26">
        <v>9719.4</v>
      </c>
      <c r="BO88" s="26">
        <v>6424.4</v>
      </c>
      <c r="BP88" s="26">
        <v>-1</v>
      </c>
      <c r="BQ88" s="26">
        <v>4345</v>
      </c>
      <c r="BR88" s="26">
        <v>11099.33333333333</v>
      </c>
      <c r="BS88" s="26">
        <v>97326.333333333328</v>
      </c>
    </row>
    <row r="89" spans="1:71">
      <c r="A89" s="55">
        <v>33603</v>
      </c>
      <c r="B89" s="26">
        <v>6264.5</v>
      </c>
      <c r="C89" s="26">
        <v>9421.6</v>
      </c>
      <c r="D89" s="26">
        <v>66.475999999999999</v>
      </c>
      <c r="E89" s="26">
        <v>4000</v>
      </c>
      <c r="F89" s="26">
        <v>6048.2</v>
      </c>
      <c r="G89" s="26">
        <v>66.14</v>
      </c>
      <c r="H89" s="26">
        <v>60.210999999999999</v>
      </c>
      <c r="I89" s="26">
        <v>51.572000000000003</v>
      </c>
      <c r="J89" s="26">
        <v>50.795000000000002</v>
      </c>
      <c r="K89" s="26">
        <v>55.026000000000003</v>
      </c>
      <c r="L89" s="26">
        <v>122.5</v>
      </c>
      <c r="M89" s="26">
        <v>112.5</v>
      </c>
      <c r="N89" s="26">
        <v>29.4</v>
      </c>
      <c r="O89" s="26">
        <v>682.3</v>
      </c>
      <c r="P89" s="26">
        <v>24.2</v>
      </c>
      <c r="Q89" s="26">
        <v>598.70000000000005</v>
      </c>
      <c r="R89" s="26">
        <v>471.5</v>
      </c>
      <c r="S89" s="26">
        <v>113.1</v>
      </c>
      <c r="T89" s="26">
        <v>1308.8</v>
      </c>
      <c r="U89" s="26">
        <v>440.6</v>
      </c>
      <c r="V89" s="26">
        <v>66.135999999999996</v>
      </c>
      <c r="W89" s="26">
        <v>577.4</v>
      </c>
      <c r="X89" s="26">
        <v>731.4</v>
      </c>
      <c r="Y89" s="26">
        <v>958.8</v>
      </c>
      <c r="Z89" s="26">
        <v>1418.2</v>
      </c>
      <c r="AA89" s="26">
        <v>469.2</v>
      </c>
      <c r="AB89" s="26">
        <v>64.2</v>
      </c>
      <c r="AC89" s="26">
        <v>89.5</v>
      </c>
      <c r="AD89" s="26">
        <v>428.4</v>
      </c>
      <c r="AE89" s="26">
        <v>508.5</v>
      </c>
      <c r="AF89" s="26">
        <v>132.9</v>
      </c>
      <c r="AG89" s="26">
        <v>129.5</v>
      </c>
      <c r="AH89" s="26">
        <v>407.3</v>
      </c>
      <c r="AI89" s="26">
        <v>23.6</v>
      </c>
      <c r="AJ89" s="26">
        <v>12.2</v>
      </c>
      <c r="AK89" s="26">
        <v>173.8</v>
      </c>
      <c r="AL89" s="26">
        <v>947</v>
      </c>
      <c r="AO89" s="26">
        <v>20612</v>
      </c>
      <c r="AP89" s="26">
        <v>27.7</v>
      </c>
      <c r="AQ89" s="26">
        <v>0.4</v>
      </c>
      <c r="AR89" s="26">
        <v>28.1</v>
      </c>
      <c r="BL89" s="26">
        <v>137.73333333333329</v>
      </c>
      <c r="BM89" s="26">
        <v>135.73333333333329</v>
      </c>
      <c r="BN89" s="26">
        <v>9779.4</v>
      </c>
      <c r="BO89" s="26">
        <v>6502.4</v>
      </c>
      <c r="BP89" s="26">
        <v>-1</v>
      </c>
      <c r="BQ89" s="26">
        <v>4354.333333333333</v>
      </c>
      <c r="BR89" s="26">
        <v>11139.33333333333</v>
      </c>
      <c r="BS89" s="26">
        <v>99221</v>
      </c>
    </row>
    <row r="90" spans="1:71">
      <c r="A90" s="55">
        <v>33694</v>
      </c>
      <c r="B90" s="26">
        <v>6363.1</v>
      </c>
      <c r="C90" s="26">
        <v>9534.2999999999993</v>
      </c>
      <c r="D90" s="26">
        <v>66.742999999999995</v>
      </c>
      <c r="E90" s="26">
        <v>4100.3999999999996</v>
      </c>
      <c r="F90" s="26">
        <v>6161.4</v>
      </c>
      <c r="G90" s="26">
        <v>66.555000000000007</v>
      </c>
      <c r="H90" s="26">
        <v>60.298999999999999</v>
      </c>
      <c r="I90" s="26">
        <v>51.94</v>
      </c>
      <c r="J90" s="26">
        <v>51.274000000000001</v>
      </c>
      <c r="K90" s="26">
        <v>54.881999999999998</v>
      </c>
      <c r="L90" s="26">
        <v>127.2</v>
      </c>
      <c r="M90" s="26">
        <v>108.3</v>
      </c>
      <c r="N90" s="26">
        <v>39.700000000000003</v>
      </c>
      <c r="O90" s="26">
        <v>710.5</v>
      </c>
      <c r="P90" s="26">
        <v>25</v>
      </c>
      <c r="Q90" s="26">
        <v>588.9</v>
      </c>
      <c r="R90" s="26">
        <v>476.4</v>
      </c>
      <c r="S90" s="26">
        <v>125</v>
      </c>
      <c r="T90" s="26">
        <v>1326.4</v>
      </c>
      <c r="U90" s="26">
        <v>452.5</v>
      </c>
      <c r="V90" s="26">
        <v>66.55</v>
      </c>
      <c r="W90" s="26">
        <v>580.29999999999995</v>
      </c>
      <c r="X90" s="26">
        <v>746.1</v>
      </c>
      <c r="Y90" s="26">
        <v>962.4</v>
      </c>
      <c r="Z90" s="26">
        <v>1436.5</v>
      </c>
      <c r="AA90" s="26">
        <v>461.3</v>
      </c>
      <c r="AB90" s="26">
        <v>63.6</v>
      </c>
      <c r="AC90" s="26">
        <v>99.8</v>
      </c>
      <c r="AD90" s="26">
        <v>439.9</v>
      </c>
      <c r="AE90" s="26">
        <v>540</v>
      </c>
      <c r="AF90" s="26">
        <v>136.19999999999999</v>
      </c>
      <c r="AG90" s="26">
        <v>127.6</v>
      </c>
      <c r="AH90" s="26">
        <v>412.8</v>
      </c>
      <c r="AI90" s="26">
        <v>25.2</v>
      </c>
      <c r="AJ90" s="26">
        <v>12.6</v>
      </c>
      <c r="AK90" s="26">
        <v>170.5</v>
      </c>
      <c r="AL90" s="26">
        <v>959.3</v>
      </c>
      <c r="AO90" s="26">
        <v>21388</v>
      </c>
      <c r="AP90" s="26">
        <v>28.2</v>
      </c>
      <c r="AQ90" s="26">
        <v>0.4</v>
      </c>
      <c r="AR90" s="26">
        <v>28.6</v>
      </c>
      <c r="BL90" s="26">
        <v>138.66666666666671</v>
      </c>
      <c r="BM90" s="26">
        <v>136.5333333333333</v>
      </c>
      <c r="BN90" s="26">
        <v>9839.7000000000007</v>
      </c>
      <c r="BO90" s="26">
        <v>6566.9</v>
      </c>
      <c r="BP90" s="26">
        <v>-1</v>
      </c>
      <c r="BQ90" s="26">
        <v>4372</v>
      </c>
      <c r="BR90" s="26">
        <v>11199</v>
      </c>
      <c r="BS90" s="26">
        <v>106368.6666666667</v>
      </c>
    </row>
    <row r="91" spans="1:71">
      <c r="A91" s="55">
        <v>33785</v>
      </c>
      <c r="B91" s="26">
        <v>6470.8</v>
      </c>
      <c r="C91" s="26">
        <v>9637.7000000000007</v>
      </c>
      <c r="D91" s="26">
        <v>67.141000000000005</v>
      </c>
      <c r="E91" s="26">
        <v>4155.7</v>
      </c>
      <c r="F91" s="26">
        <v>6203.2</v>
      </c>
      <c r="G91" s="26">
        <v>66.998000000000005</v>
      </c>
      <c r="H91" s="26">
        <v>60.518999999999998</v>
      </c>
      <c r="I91" s="26">
        <v>52.56</v>
      </c>
      <c r="J91" s="26">
        <v>51.972000000000001</v>
      </c>
      <c r="K91" s="26">
        <v>55.142000000000003</v>
      </c>
      <c r="L91" s="26">
        <v>131</v>
      </c>
      <c r="M91" s="26">
        <v>115.4</v>
      </c>
      <c r="N91" s="26">
        <v>41.2</v>
      </c>
      <c r="O91" s="26">
        <v>729.1</v>
      </c>
      <c r="P91" s="26">
        <v>25.8</v>
      </c>
      <c r="Q91" s="26">
        <v>607.20000000000005</v>
      </c>
      <c r="R91" s="26">
        <v>481.2</v>
      </c>
      <c r="S91" s="26">
        <v>126.8</v>
      </c>
      <c r="T91" s="26">
        <v>1334.8</v>
      </c>
      <c r="U91" s="26">
        <v>458.1</v>
      </c>
      <c r="V91" s="26">
        <v>66.992000000000004</v>
      </c>
      <c r="W91" s="26">
        <v>580.9</v>
      </c>
      <c r="X91" s="26">
        <v>753.9</v>
      </c>
      <c r="Y91" s="26">
        <v>959.9</v>
      </c>
      <c r="Z91" s="26">
        <v>1434.4</v>
      </c>
      <c r="AA91" s="26">
        <v>470.2</v>
      </c>
      <c r="AB91" s="26">
        <v>63.1</v>
      </c>
      <c r="AC91" s="26">
        <v>102</v>
      </c>
      <c r="AD91" s="26">
        <v>445.1</v>
      </c>
      <c r="AE91" s="26">
        <v>550.5</v>
      </c>
      <c r="AF91" s="26">
        <v>139</v>
      </c>
      <c r="AG91" s="26">
        <v>136.9</v>
      </c>
      <c r="AH91" s="26">
        <v>418.2</v>
      </c>
      <c r="AI91" s="26">
        <v>24.7</v>
      </c>
      <c r="AJ91" s="26">
        <v>13</v>
      </c>
      <c r="AK91" s="26">
        <v>178.6</v>
      </c>
      <c r="AL91" s="26">
        <v>975.2</v>
      </c>
      <c r="AO91" s="26">
        <v>22800</v>
      </c>
      <c r="AP91" s="26">
        <v>28.8</v>
      </c>
      <c r="AQ91" s="26">
        <v>0.4</v>
      </c>
      <c r="AR91" s="26">
        <v>29.2</v>
      </c>
      <c r="BL91" s="26">
        <v>139.73333333333329</v>
      </c>
      <c r="BM91" s="26">
        <v>137.56666666666669</v>
      </c>
      <c r="BN91" s="26">
        <v>9900.9</v>
      </c>
      <c r="BO91" s="26">
        <v>6647.5</v>
      </c>
      <c r="BP91" s="26">
        <v>-1</v>
      </c>
      <c r="BQ91" s="26">
        <v>4395.666666666667</v>
      </c>
      <c r="BR91" s="26">
        <v>11238</v>
      </c>
      <c r="BS91" s="26">
        <v>103446</v>
      </c>
    </row>
    <row r="92" spans="1:71">
      <c r="A92" s="55">
        <v>33877</v>
      </c>
      <c r="B92" s="26">
        <v>6566.6</v>
      </c>
      <c r="C92" s="26">
        <v>9733</v>
      </c>
      <c r="D92" s="26">
        <v>67.462000000000003</v>
      </c>
      <c r="E92" s="26">
        <v>4227</v>
      </c>
      <c r="F92" s="26">
        <v>6269.7</v>
      </c>
      <c r="G92" s="26">
        <v>67.424999999999997</v>
      </c>
      <c r="H92" s="26">
        <v>61.046999999999997</v>
      </c>
      <c r="I92" s="26">
        <v>52.948</v>
      </c>
      <c r="J92" s="26">
        <v>52.415999999999997</v>
      </c>
      <c r="K92" s="26">
        <v>55.253999999999998</v>
      </c>
      <c r="L92" s="26">
        <v>134.5</v>
      </c>
      <c r="M92" s="26">
        <v>120.6</v>
      </c>
      <c r="N92" s="26">
        <v>39.6</v>
      </c>
      <c r="O92" s="26">
        <v>741.3</v>
      </c>
      <c r="P92" s="26">
        <v>26.4</v>
      </c>
      <c r="Q92" s="26">
        <v>616.20000000000005</v>
      </c>
      <c r="R92" s="26">
        <v>486</v>
      </c>
      <c r="S92" s="26">
        <v>122.1</v>
      </c>
      <c r="T92" s="26">
        <v>1354</v>
      </c>
      <c r="U92" s="26">
        <v>461.2</v>
      </c>
      <c r="V92" s="26">
        <v>67.418999999999997</v>
      </c>
      <c r="W92" s="26">
        <v>594.20000000000005</v>
      </c>
      <c r="X92" s="26">
        <v>759.8</v>
      </c>
      <c r="Y92" s="26">
        <v>973.4</v>
      </c>
      <c r="Z92" s="26">
        <v>1435</v>
      </c>
      <c r="AA92" s="26">
        <v>479.4</v>
      </c>
      <c r="AB92" s="26">
        <v>61.9</v>
      </c>
      <c r="AC92" s="26">
        <v>98.9</v>
      </c>
      <c r="AD92" s="26">
        <v>447.9</v>
      </c>
      <c r="AE92" s="26">
        <v>555.5</v>
      </c>
      <c r="AF92" s="26">
        <v>145</v>
      </c>
      <c r="AG92" s="26">
        <v>136.80000000000001</v>
      </c>
      <c r="AH92" s="26">
        <v>424.1</v>
      </c>
      <c r="AI92" s="26">
        <v>23.2</v>
      </c>
      <c r="AJ92" s="26">
        <v>13.3</v>
      </c>
      <c r="AK92" s="26">
        <v>185.8</v>
      </c>
      <c r="AL92" s="26">
        <v>988.2</v>
      </c>
      <c r="AO92" s="26">
        <v>22288</v>
      </c>
      <c r="AP92" s="26">
        <v>30</v>
      </c>
      <c r="AQ92" s="26">
        <v>0.4</v>
      </c>
      <c r="AR92" s="26">
        <v>30.4</v>
      </c>
      <c r="BL92" s="26">
        <v>140.80000000000001</v>
      </c>
      <c r="BM92" s="26">
        <v>138.69999999999999</v>
      </c>
      <c r="BN92" s="26">
        <v>9963.6</v>
      </c>
      <c r="BO92" s="26">
        <v>6722.2</v>
      </c>
      <c r="BP92" s="26">
        <v>-1</v>
      </c>
      <c r="BQ92" s="26">
        <v>4425.333333333333</v>
      </c>
      <c r="BR92" s="26">
        <v>11306.66666666667</v>
      </c>
      <c r="BS92" s="26">
        <v>99580.333333333328</v>
      </c>
    </row>
    <row r="93" spans="1:71">
      <c r="A93" s="55">
        <v>33969</v>
      </c>
      <c r="B93" s="26">
        <v>6680.8</v>
      </c>
      <c r="C93" s="26">
        <v>9834.5</v>
      </c>
      <c r="D93" s="26">
        <v>67.936999999999998</v>
      </c>
      <c r="E93" s="26">
        <v>4307.2</v>
      </c>
      <c r="F93" s="26">
        <v>6344.4</v>
      </c>
      <c r="G93" s="26">
        <v>67.894999999999996</v>
      </c>
      <c r="H93" s="26">
        <v>61.43</v>
      </c>
      <c r="I93" s="26">
        <v>53.308999999999997</v>
      </c>
      <c r="J93" s="26">
        <v>52.8</v>
      </c>
      <c r="K93" s="26">
        <v>55.506</v>
      </c>
      <c r="L93" s="26">
        <v>137.69999999999999</v>
      </c>
      <c r="M93" s="26">
        <v>120.8</v>
      </c>
      <c r="N93" s="26">
        <v>38</v>
      </c>
      <c r="O93" s="26">
        <v>746</v>
      </c>
      <c r="P93" s="26">
        <v>26.8</v>
      </c>
      <c r="Q93" s="26">
        <v>638.9</v>
      </c>
      <c r="R93" s="26">
        <v>489.9</v>
      </c>
      <c r="S93" s="26">
        <v>131.6</v>
      </c>
      <c r="T93" s="26">
        <v>1362.8</v>
      </c>
      <c r="U93" s="26">
        <v>456.5</v>
      </c>
      <c r="V93" s="26">
        <v>67.888999999999996</v>
      </c>
      <c r="W93" s="26">
        <v>598.4</v>
      </c>
      <c r="X93" s="26">
        <v>764.4</v>
      </c>
      <c r="Y93" s="26">
        <v>974.1</v>
      </c>
      <c r="Z93" s="26">
        <v>1433.9</v>
      </c>
      <c r="AA93" s="26">
        <v>499</v>
      </c>
      <c r="AB93" s="26">
        <v>64.599999999999994</v>
      </c>
      <c r="AC93" s="26">
        <v>107.2</v>
      </c>
      <c r="AD93" s="26">
        <v>442.9</v>
      </c>
      <c r="AE93" s="26">
        <v>561.1</v>
      </c>
      <c r="AF93" s="26">
        <v>146.5</v>
      </c>
      <c r="AG93" s="26">
        <v>140</v>
      </c>
      <c r="AH93" s="26">
        <v>425.3</v>
      </c>
      <c r="AI93" s="26">
        <v>24.4</v>
      </c>
      <c r="AJ93" s="26">
        <v>13.6</v>
      </c>
      <c r="AK93" s="26">
        <v>185</v>
      </c>
      <c r="AL93" s="26">
        <v>991.3</v>
      </c>
      <c r="AO93" s="26">
        <v>23064</v>
      </c>
      <c r="AP93" s="26">
        <v>31.8</v>
      </c>
      <c r="AQ93" s="26">
        <v>0.4</v>
      </c>
      <c r="AR93" s="26">
        <v>32.200000000000003</v>
      </c>
      <c r="BL93" s="26">
        <v>142.0333333333333</v>
      </c>
      <c r="BM93" s="26">
        <v>139.80000000000001</v>
      </c>
      <c r="BN93" s="26">
        <v>10027.200000000001</v>
      </c>
      <c r="BO93" s="26">
        <v>6811.7</v>
      </c>
      <c r="BP93" s="26">
        <v>-1</v>
      </c>
      <c r="BQ93" s="26">
        <v>4438</v>
      </c>
      <c r="BR93" s="26">
        <v>11319.66666666667</v>
      </c>
      <c r="BS93" s="26">
        <v>98022.333333333328</v>
      </c>
    </row>
    <row r="94" spans="1:71">
      <c r="A94" s="55">
        <v>34059</v>
      </c>
      <c r="B94" s="26">
        <v>6729.5</v>
      </c>
      <c r="C94" s="26">
        <v>9851</v>
      </c>
      <c r="D94" s="26">
        <v>68.340999999999994</v>
      </c>
      <c r="E94" s="26">
        <v>4349.5</v>
      </c>
      <c r="F94" s="26">
        <v>6368.8</v>
      </c>
      <c r="G94" s="26">
        <v>68.299000000000007</v>
      </c>
      <c r="H94" s="26">
        <v>61.584000000000003</v>
      </c>
      <c r="I94" s="26">
        <v>53.62</v>
      </c>
      <c r="J94" s="26">
        <v>53.088000000000001</v>
      </c>
      <c r="K94" s="26">
        <v>55.918999999999997</v>
      </c>
      <c r="L94" s="26">
        <v>143.4</v>
      </c>
      <c r="M94" s="26">
        <v>124.4</v>
      </c>
      <c r="N94" s="26">
        <v>35.1</v>
      </c>
      <c r="O94" s="26">
        <v>766.5</v>
      </c>
      <c r="P94" s="26">
        <v>28</v>
      </c>
      <c r="Q94" s="26">
        <v>617</v>
      </c>
      <c r="R94" s="26">
        <v>489.7</v>
      </c>
      <c r="S94" s="26">
        <v>136.4</v>
      </c>
      <c r="T94" s="26">
        <v>1351.8</v>
      </c>
      <c r="U94" s="26">
        <v>475.9</v>
      </c>
      <c r="V94" s="26">
        <v>68.293999999999997</v>
      </c>
      <c r="W94" s="26">
        <v>580.29999999999995</v>
      </c>
      <c r="X94" s="26">
        <v>771.5</v>
      </c>
      <c r="Y94" s="26">
        <v>942.2</v>
      </c>
      <c r="Z94" s="26">
        <v>1438.9</v>
      </c>
      <c r="AA94" s="26">
        <v>480.3</v>
      </c>
      <c r="AB94" s="26">
        <v>62.2</v>
      </c>
      <c r="AC94" s="26">
        <v>111.5</v>
      </c>
      <c r="AD94" s="26">
        <v>462.1</v>
      </c>
      <c r="AE94" s="26">
        <v>577.6</v>
      </c>
      <c r="AF94" s="26">
        <v>148.80000000000001</v>
      </c>
      <c r="AG94" s="26">
        <v>136.69999999999999</v>
      </c>
      <c r="AH94" s="26">
        <v>427.5</v>
      </c>
      <c r="AI94" s="26">
        <v>24.8</v>
      </c>
      <c r="AJ94" s="26">
        <v>13.8</v>
      </c>
      <c r="AK94" s="26">
        <v>188.9</v>
      </c>
      <c r="AL94" s="26">
        <v>1001.1</v>
      </c>
      <c r="AM94" s="26">
        <v>78072</v>
      </c>
      <c r="AN94" s="26">
        <v>73888</v>
      </c>
      <c r="AO94" s="26">
        <v>21784</v>
      </c>
      <c r="AP94" s="26">
        <v>35.1</v>
      </c>
      <c r="AQ94" s="26">
        <v>0.4</v>
      </c>
      <c r="AR94" s="26">
        <v>35.5</v>
      </c>
      <c r="BL94" s="26">
        <v>143.06666666666669</v>
      </c>
      <c r="BM94" s="26">
        <v>140.76666666666671</v>
      </c>
      <c r="BN94" s="26">
        <v>10091.799999999999</v>
      </c>
      <c r="BO94" s="26">
        <v>6894</v>
      </c>
      <c r="BP94" s="26">
        <v>-1</v>
      </c>
      <c r="BQ94" s="26">
        <v>4456</v>
      </c>
      <c r="BR94" s="26">
        <v>11366.66666666667</v>
      </c>
      <c r="BS94" s="26">
        <v>102495</v>
      </c>
    </row>
    <row r="95" spans="1:71">
      <c r="A95" s="55">
        <v>34150</v>
      </c>
      <c r="B95" s="26">
        <v>6808.9</v>
      </c>
      <c r="C95" s="26">
        <v>9908.2999999999993</v>
      </c>
      <c r="D95" s="26">
        <v>68.744</v>
      </c>
      <c r="E95" s="26">
        <v>4418.6000000000004</v>
      </c>
      <c r="F95" s="26">
        <v>6426.7</v>
      </c>
      <c r="G95" s="26">
        <v>68.757999999999996</v>
      </c>
      <c r="H95" s="26">
        <v>61.854999999999997</v>
      </c>
      <c r="I95" s="26">
        <v>53.936</v>
      </c>
      <c r="J95" s="26">
        <v>53.402000000000001</v>
      </c>
      <c r="K95" s="26">
        <v>56.244999999999997</v>
      </c>
      <c r="L95" s="26">
        <v>144.69999999999999</v>
      </c>
      <c r="M95" s="26">
        <v>124.8</v>
      </c>
      <c r="N95" s="26">
        <v>35.5</v>
      </c>
      <c r="O95" s="26">
        <v>771.7</v>
      </c>
      <c r="P95" s="26">
        <v>28.3</v>
      </c>
      <c r="Q95" s="26">
        <v>643.5</v>
      </c>
      <c r="R95" s="26">
        <v>497.6</v>
      </c>
      <c r="S95" s="26">
        <v>148.69999999999999</v>
      </c>
      <c r="T95" s="26">
        <v>1359.1</v>
      </c>
      <c r="U95" s="26">
        <v>476.4</v>
      </c>
      <c r="V95" s="26">
        <v>68.753</v>
      </c>
      <c r="W95" s="26">
        <v>576.70000000000005</v>
      </c>
      <c r="X95" s="26">
        <v>782.3</v>
      </c>
      <c r="Y95" s="26">
        <v>932.3</v>
      </c>
      <c r="Z95" s="26">
        <v>1450.6</v>
      </c>
      <c r="AA95" s="26">
        <v>505.3</v>
      </c>
      <c r="AB95" s="26">
        <v>64.8</v>
      </c>
      <c r="AC95" s="26">
        <v>121.9</v>
      </c>
      <c r="AD95" s="26">
        <v>462.4</v>
      </c>
      <c r="AE95" s="26">
        <v>582</v>
      </c>
      <c r="AF95" s="26">
        <v>151.4</v>
      </c>
      <c r="AG95" s="26">
        <v>138.30000000000001</v>
      </c>
      <c r="AH95" s="26">
        <v>432.8</v>
      </c>
      <c r="AI95" s="26">
        <v>26.8</v>
      </c>
      <c r="AJ95" s="26">
        <v>14.1</v>
      </c>
      <c r="AK95" s="26">
        <v>189.7</v>
      </c>
      <c r="AL95" s="26">
        <v>1011.6</v>
      </c>
      <c r="AM95" s="26">
        <v>80831</v>
      </c>
      <c r="AN95" s="26">
        <v>76036</v>
      </c>
      <c r="AO95" s="26">
        <v>22472</v>
      </c>
      <c r="AP95" s="26">
        <v>37.200000000000003</v>
      </c>
      <c r="AQ95" s="26">
        <v>0.4</v>
      </c>
      <c r="AR95" s="26">
        <v>37.6</v>
      </c>
      <c r="BL95" s="26">
        <v>144.1</v>
      </c>
      <c r="BM95" s="26">
        <v>141.73333333333341</v>
      </c>
      <c r="BN95" s="26">
        <v>10158.1</v>
      </c>
      <c r="BO95" s="26">
        <v>6980.6</v>
      </c>
      <c r="BP95" s="26">
        <v>-1</v>
      </c>
      <c r="BQ95" s="26">
        <v>4478</v>
      </c>
      <c r="BR95" s="26">
        <v>11407.66666666667</v>
      </c>
      <c r="BS95" s="26">
        <v>111962</v>
      </c>
    </row>
    <row r="96" spans="1:71">
      <c r="A96" s="55">
        <v>34242</v>
      </c>
      <c r="B96" s="26">
        <v>6882.1</v>
      </c>
      <c r="C96" s="26">
        <v>9955.6</v>
      </c>
      <c r="D96" s="26">
        <v>69.088999999999999</v>
      </c>
      <c r="E96" s="26">
        <v>4487.2</v>
      </c>
      <c r="F96" s="26">
        <v>6498.2</v>
      </c>
      <c r="G96" s="26">
        <v>69.057000000000002</v>
      </c>
      <c r="H96" s="26">
        <v>62.302999999999997</v>
      </c>
      <c r="I96" s="26">
        <v>54.09</v>
      </c>
      <c r="J96" s="26">
        <v>53.576000000000001</v>
      </c>
      <c r="K96" s="26">
        <v>56.302</v>
      </c>
      <c r="L96" s="26">
        <v>147.5</v>
      </c>
      <c r="M96" s="26">
        <v>135.19999999999999</v>
      </c>
      <c r="N96" s="26">
        <v>35.5</v>
      </c>
      <c r="O96" s="26">
        <v>786.3</v>
      </c>
      <c r="P96" s="26">
        <v>28.7</v>
      </c>
      <c r="Q96" s="26">
        <v>659.2</v>
      </c>
      <c r="R96" s="26">
        <v>504.9</v>
      </c>
      <c r="S96" s="26">
        <v>140.69999999999999</v>
      </c>
      <c r="T96" s="26">
        <v>1367.4</v>
      </c>
      <c r="U96" s="26">
        <v>481</v>
      </c>
      <c r="V96" s="26">
        <v>69.052000000000007</v>
      </c>
      <c r="W96" s="26">
        <v>578.70000000000005</v>
      </c>
      <c r="X96" s="26">
        <v>788.7</v>
      </c>
      <c r="Y96" s="26">
        <v>928.8</v>
      </c>
      <c r="Z96" s="26">
        <v>1458.2</v>
      </c>
      <c r="AA96" s="26">
        <v>515.6</v>
      </c>
      <c r="AB96" s="26">
        <v>65.400000000000006</v>
      </c>
      <c r="AC96" s="26">
        <v>115.5</v>
      </c>
      <c r="AD96" s="26">
        <v>466.8</v>
      </c>
      <c r="AE96" s="26">
        <v>585.70000000000005</v>
      </c>
      <c r="AF96" s="26">
        <v>157.19999999999999</v>
      </c>
      <c r="AG96" s="26">
        <v>143.6</v>
      </c>
      <c r="AH96" s="26">
        <v>439.5</v>
      </c>
      <c r="AI96" s="26">
        <v>25.2</v>
      </c>
      <c r="AJ96" s="26">
        <v>14.2</v>
      </c>
      <c r="AK96" s="26">
        <v>200.6</v>
      </c>
      <c r="AL96" s="26">
        <v>1028.0999999999999</v>
      </c>
      <c r="AM96" s="26">
        <v>85251</v>
      </c>
      <c r="AN96" s="26">
        <v>80604</v>
      </c>
      <c r="AO96" s="26">
        <v>24884</v>
      </c>
      <c r="AP96" s="26">
        <v>37.299999999999997</v>
      </c>
      <c r="AQ96" s="26">
        <v>0.4</v>
      </c>
      <c r="AR96" s="26">
        <v>37.700000000000003</v>
      </c>
      <c r="BL96" s="26">
        <v>144.76666666666671</v>
      </c>
      <c r="BM96" s="26">
        <v>142.33333333333329</v>
      </c>
      <c r="BN96" s="26">
        <v>10225.200000000001</v>
      </c>
      <c r="BO96" s="26">
        <v>7068.5</v>
      </c>
      <c r="BP96" s="26">
        <v>-1</v>
      </c>
      <c r="BQ96" s="26">
        <v>4496</v>
      </c>
      <c r="BR96" s="26">
        <v>11483</v>
      </c>
      <c r="BS96" s="26">
        <v>116124.6666666667</v>
      </c>
    </row>
    <row r="97" spans="1:71">
      <c r="A97" s="55">
        <v>34334</v>
      </c>
      <c r="B97" s="26">
        <v>7013.7</v>
      </c>
      <c r="C97" s="26">
        <v>10091</v>
      </c>
      <c r="D97" s="26">
        <v>69.495000000000005</v>
      </c>
      <c r="E97" s="26">
        <v>4552.7</v>
      </c>
      <c r="F97" s="26">
        <v>6555.3</v>
      </c>
      <c r="G97" s="26">
        <v>69.454999999999998</v>
      </c>
      <c r="H97" s="26">
        <v>62.860999999999997</v>
      </c>
      <c r="I97" s="26">
        <v>54.362000000000002</v>
      </c>
      <c r="J97" s="26">
        <v>53.85</v>
      </c>
      <c r="K97" s="26">
        <v>56.564999999999998</v>
      </c>
      <c r="L97" s="26">
        <v>151.6</v>
      </c>
      <c r="M97" s="26">
        <v>136</v>
      </c>
      <c r="N97" s="26">
        <v>33.200000000000003</v>
      </c>
      <c r="O97" s="26">
        <v>791.3</v>
      </c>
      <c r="P97" s="26">
        <v>29.2</v>
      </c>
      <c r="Q97" s="26">
        <v>675.3</v>
      </c>
      <c r="R97" s="26">
        <v>520.29999999999995</v>
      </c>
      <c r="S97" s="26">
        <v>171.9</v>
      </c>
      <c r="T97" s="26">
        <v>1381.4</v>
      </c>
      <c r="U97" s="26">
        <v>485.2</v>
      </c>
      <c r="V97" s="26">
        <v>69.45</v>
      </c>
      <c r="W97" s="26">
        <v>584.9</v>
      </c>
      <c r="X97" s="26">
        <v>796.5</v>
      </c>
      <c r="Y97" s="26">
        <v>930.4</v>
      </c>
      <c r="Z97" s="26">
        <v>1465.3</v>
      </c>
      <c r="AA97" s="26">
        <v>529.5</v>
      </c>
      <c r="AB97" s="26">
        <v>73.099999999999994</v>
      </c>
      <c r="AC97" s="26">
        <v>141</v>
      </c>
      <c r="AD97" s="26">
        <v>470.8</v>
      </c>
      <c r="AE97" s="26">
        <v>589.6</v>
      </c>
      <c r="AF97" s="26">
        <v>165.5</v>
      </c>
      <c r="AG97" s="26">
        <v>145.80000000000001</v>
      </c>
      <c r="AH97" s="26">
        <v>447.2</v>
      </c>
      <c r="AI97" s="26">
        <v>30.8</v>
      </c>
      <c r="AJ97" s="26">
        <v>14.4</v>
      </c>
      <c r="AK97" s="26">
        <v>201.7</v>
      </c>
      <c r="AL97" s="26">
        <v>1036.0999999999999</v>
      </c>
      <c r="AM97" s="26">
        <v>88178</v>
      </c>
      <c r="AN97" s="26">
        <v>84100</v>
      </c>
      <c r="AO97" s="26">
        <v>24764</v>
      </c>
      <c r="AP97" s="26">
        <v>35.700000000000003</v>
      </c>
      <c r="AQ97" s="26">
        <v>0.4</v>
      </c>
      <c r="AR97" s="26">
        <v>36</v>
      </c>
      <c r="BL97" s="26">
        <v>145.9666666666667</v>
      </c>
      <c r="BM97" s="26">
        <v>143.43333333333331</v>
      </c>
      <c r="BN97" s="26">
        <v>10293.299999999999</v>
      </c>
      <c r="BO97" s="26">
        <v>7154.3</v>
      </c>
      <c r="BP97" s="26">
        <v>-1</v>
      </c>
      <c r="BQ97" s="26">
        <v>4515</v>
      </c>
      <c r="BR97" s="26">
        <v>11520.66666666667</v>
      </c>
      <c r="BS97" s="26">
        <v>118029</v>
      </c>
    </row>
    <row r="98" spans="1:71">
      <c r="A98" s="55">
        <v>34424</v>
      </c>
      <c r="B98" s="26">
        <v>7115.7</v>
      </c>
      <c r="C98" s="26">
        <v>10189</v>
      </c>
      <c r="D98" s="26">
        <v>69.850999999999999</v>
      </c>
      <c r="E98" s="26">
        <v>4621.2</v>
      </c>
      <c r="F98" s="26">
        <v>6630.3</v>
      </c>
      <c r="G98" s="26">
        <v>69.703999999999994</v>
      </c>
      <c r="H98" s="26">
        <v>63.15</v>
      </c>
      <c r="I98" s="26">
        <v>54.807000000000002</v>
      </c>
      <c r="J98" s="26">
        <v>54.301000000000002</v>
      </c>
      <c r="K98" s="26">
        <v>56.978000000000002</v>
      </c>
      <c r="L98" s="26">
        <v>156.9</v>
      </c>
      <c r="M98" s="26">
        <v>136.6</v>
      </c>
      <c r="N98" s="26">
        <v>28</v>
      </c>
      <c r="O98" s="26">
        <v>805.3</v>
      </c>
      <c r="P98" s="26">
        <v>30.1</v>
      </c>
      <c r="Q98" s="26">
        <v>673.7</v>
      </c>
      <c r="R98" s="26">
        <v>531.5</v>
      </c>
      <c r="S98" s="26">
        <v>149.5</v>
      </c>
      <c r="T98" s="26">
        <v>1373.4</v>
      </c>
      <c r="U98" s="26">
        <v>500.4</v>
      </c>
      <c r="V98" s="26">
        <v>69.698999999999998</v>
      </c>
      <c r="W98" s="26">
        <v>567</v>
      </c>
      <c r="X98" s="26">
        <v>806.3</v>
      </c>
      <c r="Y98" s="26">
        <v>897.9</v>
      </c>
      <c r="Z98" s="26">
        <v>1471.3</v>
      </c>
      <c r="AA98" s="26">
        <v>526.70000000000005</v>
      </c>
      <c r="AB98" s="26">
        <v>75.5</v>
      </c>
      <c r="AC98" s="26">
        <v>122.4</v>
      </c>
      <c r="AD98" s="26">
        <v>485.8</v>
      </c>
      <c r="AE98" s="26">
        <v>601.79999999999995</v>
      </c>
      <c r="AF98" s="26">
        <v>162.4</v>
      </c>
      <c r="AG98" s="26">
        <v>146.9</v>
      </c>
      <c r="AH98" s="26">
        <v>456</v>
      </c>
      <c r="AI98" s="26">
        <v>27.1</v>
      </c>
      <c r="AJ98" s="26">
        <v>14.6</v>
      </c>
      <c r="AK98" s="26">
        <v>203.6</v>
      </c>
      <c r="AL98" s="26">
        <v>1046.5999999999999</v>
      </c>
      <c r="AM98" s="26">
        <v>84002</v>
      </c>
      <c r="AN98" s="26">
        <v>78948</v>
      </c>
      <c r="AO98" s="26">
        <v>23632</v>
      </c>
      <c r="AP98" s="26">
        <v>33.200000000000003</v>
      </c>
      <c r="AQ98" s="26">
        <v>0.4</v>
      </c>
      <c r="AR98" s="26">
        <v>33.6</v>
      </c>
      <c r="BL98" s="26">
        <v>146.69999999999999</v>
      </c>
      <c r="BM98" s="26">
        <v>144.0333333333333</v>
      </c>
      <c r="BN98" s="26">
        <v>10362.200000000001</v>
      </c>
      <c r="BO98" s="26">
        <v>7236.6</v>
      </c>
      <c r="BP98" s="26">
        <v>-1</v>
      </c>
      <c r="BQ98" s="26">
        <v>4523.666666666667</v>
      </c>
      <c r="BR98" s="26">
        <v>11591.33333333333</v>
      </c>
      <c r="BS98" s="26">
        <v>111803</v>
      </c>
    </row>
    <row r="99" spans="1:71">
      <c r="A99" s="55">
        <v>34515</v>
      </c>
      <c r="B99" s="26">
        <v>7246.9</v>
      </c>
      <c r="C99" s="26">
        <v>10327</v>
      </c>
      <c r="D99" s="26">
        <v>70.183999999999997</v>
      </c>
      <c r="E99" s="26">
        <v>4683.2</v>
      </c>
      <c r="F99" s="26">
        <v>6681.8</v>
      </c>
      <c r="G99" s="26">
        <v>70.093000000000004</v>
      </c>
      <c r="H99" s="26">
        <v>63.679000000000002</v>
      </c>
      <c r="I99" s="26">
        <v>55.110999999999997</v>
      </c>
      <c r="J99" s="26">
        <v>54.616999999999997</v>
      </c>
      <c r="K99" s="26">
        <v>57.225000000000001</v>
      </c>
      <c r="L99" s="26">
        <v>162.19999999999999</v>
      </c>
      <c r="M99" s="26">
        <v>137.1</v>
      </c>
      <c r="N99" s="26">
        <v>24.4</v>
      </c>
      <c r="O99" s="26">
        <v>810.1</v>
      </c>
      <c r="P99" s="26">
        <v>30.7</v>
      </c>
      <c r="Q99" s="26">
        <v>697.8</v>
      </c>
      <c r="R99" s="26">
        <v>544.4</v>
      </c>
      <c r="S99" s="26">
        <v>158</v>
      </c>
      <c r="T99" s="26">
        <v>1389.4</v>
      </c>
      <c r="U99" s="26">
        <v>507.6</v>
      </c>
      <c r="V99" s="26">
        <v>70.087999999999994</v>
      </c>
      <c r="W99" s="26">
        <v>569.4</v>
      </c>
      <c r="X99" s="26">
        <v>820</v>
      </c>
      <c r="Y99" s="26">
        <v>894.1</v>
      </c>
      <c r="Z99" s="26">
        <v>1488.1</v>
      </c>
      <c r="AA99" s="26">
        <v>555.9</v>
      </c>
      <c r="AB99" s="26">
        <v>78.599999999999994</v>
      </c>
      <c r="AC99" s="26">
        <v>129.30000000000001</v>
      </c>
      <c r="AD99" s="26">
        <v>493</v>
      </c>
      <c r="AE99" s="26">
        <v>606.20000000000005</v>
      </c>
      <c r="AF99" s="26">
        <v>164.9</v>
      </c>
      <c r="AG99" s="26">
        <v>141.9</v>
      </c>
      <c r="AH99" s="26">
        <v>465.8</v>
      </c>
      <c r="AI99" s="26">
        <v>28.7</v>
      </c>
      <c r="AJ99" s="26">
        <v>14.6</v>
      </c>
      <c r="AK99" s="26">
        <v>203.9</v>
      </c>
      <c r="AL99" s="26">
        <v>1060.5</v>
      </c>
      <c r="AM99" s="26">
        <v>86255</v>
      </c>
      <c r="AN99" s="26">
        <v>81772</v>
      </c>
      <c r="AO99" s="26">
        <v>23952</v>
      </c>
      <c r="AP99" s="26">
        <v>32</v>
      </c>
      <c r="AQ99" s="26">
        <v>0.3</v>
      </c>
      <c r="AR99" s="26">
        <v>32.4</v>
      </c>
      <c r="BL99" s="26">
        <v>147.5333333333333</v>
      </c>
      <c r="BM99" s="26">
        <v>144.8666666666667</v>
      </c>
      <c r="BN99" s="26">
        <v>10431.5</v>
      </c>
      <c r="BO99" s="26">
        <v>7320.2</v>
      </c>
      <c r="BP99" s="26">
        <v>-1</v>
      </c>
      <c r="BQ99" s="26">
        <v>4555.333333333333</v>
      </c>
      <c r="BR99" s="26">
        <v>11672.33333333333</v>
      </c>
      <c r="BS99" s="26">
        <v>113545</v>
      </c>
    </row>
    <row r="100" spans="1:71">
      <c r="A100" s="55">
        <v>34607</v>
      </c>
      <c r="B100" s="26">
        <v>7331.1</v>
      </c>
      <c r="C100" s="26">
        <v>10387.4</v>
      </c>
      <c r="D100" s="26">
        <v>70.558000000000007</v>
      </c>
      <c r="E100" s="26">
        <v>4752.8</v>
      </c>
      <c r="F100" s="26">
        <v>6732.8</v>
      </c>
      <c r="G100" s="26">
        <v>70.596000000000004</v>
      </c>
      <c r="H100" s="26">
        <v>64.045000000000002</v>
      </c>
      <c r="I100" s="26">
        <v>55.593000000000004</v>
      </c>
      <c r="J100" s="26">
        <v>55.094999999999999</v>
      </c>
      <c r="K100" s="26">
        <v>57.725999999999999</v>
      </c>
      <c r="L100" s="26">
        <v>167.1</v>
      </c>
      <c r="M100" s="26">
        <v>136.19999999999999</v>
      </c>
      <c r="N100" s="26">
        <v>22.1</v>
      </c>
      <c r="O100" s="26">
        <v>813.6</v>
      </c>
      <c r="P100" s="26">
        <v>31.2</v>
      </c>
      <c r="Q100" s="26">
        <v>695.4</v>
      </c>
      <c r="R100" s="26">
        <v>550.5</v>
      </c>
      <c r="S100" s="26">
        <v>173.8</v>
      </c>
      <c r="T100" s="26">
        <v>1423.4</v>
      </c>
      <c r="U100" s="26">
        <v>513.6</v>
      </c>
      <c r="V100" s="26">
        <v>70.590999999999994</v>
      </c>
      <c r="W100" s="26">
        <v>586.5</v>
      </c>
      <c r="X100" s="26">
        <v>836.9</v>
      </c>
      <c r="Y100" s="26">
        <v>915.8</v>
      </c>
      <c r="Z100" s="26">
        <v>1505.6</v>
      </c>
      <c r="AA100" s="26">
        <v>544.20000000000005</v>
      </c>
      <c r="AB100" s="26">
        <v>80.5</v>
      </c>
      <c r="AC100" s="26">
        <v>142.4</v>
      </c>
      <c r="AD100" s="26">
        <v>499</v>
      </c>
      <c r="AE100" s="26">
        <v>610</v>
      </c>
      <c r="AF100" s="26">
        <v>167.3</v>
      </c>
      <c r="AG100" s="26">
        <v>151.19999999999999</v>
      </c>
      <c r="AH100" s="26">
        <v>470</v>
      </c>
      <c r="AI100" s="26">
        <v>31.4</v>
      </c>
      <c r="AJ100" s="26">
        <v>14.5</v>
      </c>
      <c r="AK100" s="26">
        <v>203.7</v>
      </c>
      <c r="AL100" s="26">
        <v>1077.4000000000001</v>
      </c>
      <c r="AM100" s="26">
        <v>87978</v>
      </c>
      <c r="AN100" s="26">
        <v>82892</v>
      </c>
      <c r="AO100" s="26">
        <v>25152</v>
      </c>
      <c r="AP100" s="26">
        <v>31.6</v>
      </c>
      <c r="AQ100" s="26">
        <v>0.3</v>
      </c>
      <c r="AR100" s="26">
        <v>31.9</v>
      </c>
      <c r="BL100" s="26">
        <v>148.9</v>
      </c>
      <c r="BM100" s="26">
        <v>146.4</v>
      </c>
      <c r="BN100" s="26">
        <v>10502</v>
      </c>
      <c r="BO100" s="26">
        <v>7412</v>
      </c>
      <c r="BP100" s="26">
        <v>-1</v>
      </c>
      <c r="BQ100" s="26">
        <v>4600</v>
      </c>
      <c r="BR100" s="26">
        <v>11710.33333333333</v>
      </c>
      <c r="BS100" s="26">
        <v>118942</v>
      </c>
    </row>
    <row r="101" spans="1:71">
      <c r="A101" s="55">
        <v>34699</v>
      </c>
      <c r="B101" s="26">
        <v>7455.3</v>
      </c>
      <c r="C101" s="26">
        <v>10506.4</v>
      </c>
      <c r="D101" s="26">
        <v>70.951999999999998</v>
      </c>
      <c r="E101" s="26">
        <v>4826.7</v>
      </c>
      <c r="F101" s="26">
        <v>6805.6</v>
      </c>
      <c r="G101" s="26">
        <v>70.927000000000007</v>
      </c>
      <c r="H101" s="26">
        <v>64.570999999999998</v>
      </c>
      <c r="I101" s="26">
        <v>56.064999999999998</v>
      </c>
      <c r="J101" s="26">
        <v>55.564999999999998</v>
      </c>
      <c r="K101" s="26">
        <v>58.207000000000001</v>
      </c>
      <c r="L101" s="26">
        <v>171.6</v>
      </c>
      <c r="M101" s="26">
        <v>147.80000000000001</v>
      </c>
      <c r="N101" s="26">
        <v>21.3</v>
      </c>
      <c r="O101" s="26">
        <v>833.8</v>
      </c>
      <c r="P101" s="26">
        <v>31.6</v>
      </c>
      <c r="Q101" s="26">
        <v>705.4</v>
      </c>
      <c r="R101" s="26">
        <v>554.6</v>
      </c>
      <c r="S101" s="26">
        <v>183.6</v>
      </c>
      <c r="T101" s="26">
        <v>1422.9</v>
      </c>
      <c r="U101" s="26">
        <v>521.1</v>
      </c>
      <c r="V101" s="26">
        <v>70.923000000000002</v>
      </c>
      <c r="W101" s="26">
        <v>575.79999999999995</v>
      </c>
      <c r="X101" s="26">
        <v>847.1</v>
      </c>
      <c r="Y101" s="26">
        <v>891.7</v>
      </c>
      <c r="Z101" s="26">
        <v>1511.1</v>
      </c>
      <c r="AA101" s="26">
        <v>553.4</v>
      </c>
      <c r="AB101" s="26">
        <v>81.400000000000006</v>
      </c>
      <c r="AC101" s="26">
        <v>150.9</v>
      </c>
      <c r="AD101" s="26">
        <v>506.8</v>
      </c>
      <c r="AE101" s="26">
        <v>618.1</v>
      </c>
      <c r="AF101" s="26">
        <v>172.8</v>
      </c>
      <c r="AG101" s="26">
        <v>152</v>
      </c>
      <c r="AH101" s="26">
        <v>473.3</v>
      </c>
      <c r="AI101" s="26">
        <v>32.700000000000003</v>
      </c>
      <c r="AJ101" s="26">
        <v>14.4</v>
      </c>
      <c r="AK101" s="26">
        <v>215.7</v>
      </c>
      <c r="AL101" s="26">
        <v>1100.7</v>
      </c>
      <c r="AM101" s="26">
        <v>89829</v>
      </c>
      <c r="AN101" s="26">
        <v>85540</v>
      </c>
      <c r="AO101" s="26">
        <v>26476</v>
      </c>
      <c r="AP101" s="26">
        <v>31.9</v>
      </c>
      <c r="AQ101" s="26">
        <v>0.3</v>
      </c>
      <c r="AR101" s="26">
        <v>32.200000000000003</v>
      </c>
      <c r="BL101" s="26">
        <v>149.76666666666671</v>
      </c>
      <c r="BM101" s="26">
        <v>147.26666666666671</v>
      </c>
      <c r="BN101" s="26">
        <v>10573.5</v>
      </c>
      <c r="BO101" s="26">
        <v>7502.9</v>
      </c>
      <c r="BP101" s="26">
        <v>-1</v>
      </c>
      <c r="BQ101" s="26">
        <v>4626.333333333333</v>
      </c>
      <c r="BR101" s="26">
        <v>11752</v>
      </c>
      <c r="BS101" s="26">
        <v>117294.3333333333</v>
      </c>
    </row>
    <row r="102" spans="1:71">
      <c r="A102" s="55">
        <v>34789</v>
      </c>
      <c r="B102" s="26">
        <v>7522.3</v>
      </c>
      <c r="C102" s="26">
        <v>10543.6</v>
      </c>
      <c r="D102" s="26">
        <v>71.355999999999995</v>
      </c>
      <c r="E102" s="26">
        <v>4862.3999999999996</v>
      </c>
      <c r="F102" s="26">
        <v>6822.5</v>
      </c>
      <c r="G102" s="26">
        <v>71.274000000000001</v>
      </c>
      <c r="H102" s="26">
        <v>65.114999999999995</v>
      </c>
      <c r="I102" s="26">
        <v>56.378</v>
      </c>
      <c r="J102" s="26">
        <v>55.820999999999998</v>
      </c>
      <c r="K102" s="26">
        <v>58.787999999999997</v>
      </c>
      <c r="L102" s="26">
        <v>175.7</v>
      </c>
      <c r="M102" s="26">
        <v>152.5</v>
      </c>
      <c r="N102" s="26">
        <v>20.9</v>
      </c>
      <c r="O102" s="26">
        <v>857.9</v>
      </c>
      <c r="P102" s="26">
        <v>31.9</v>
      </c>
      <c r="Q102" s="26">
        <v>724.6</v>
      </c>
      <c r="R102" s="26">
        <v>555.29999999999995</v>
      </c>
      <c r="S102" s="26">
        <v>187.8</v>
      </c>
      <c r="T102" s="26">
        <v>1437.6</v>
      </c>
      <c r="U102" s="26">
        <v>528.20000000000005</v>
      </c>
      <c r="V102" s="26">
        <v>71.27</v>
      </c>
      <c r="W102" s="26">
        <v>579.1</v>
      </c>
      <c r="X102" s="26">
        <v>858.5</v>
      </c>
      <c r="Y102" s="26">
        <v>889.2</v>
      </c>
      <c r="Z102" s="26">
        <v>1522.9</v>
      </c>
      <c r="AA102" s="26">
        <v>567.70000000000005</v>
      </c>
      <c r="AB102" s="26">
        <v>76.599999999999994</v>
      </c>
      <c r="AC102" s="26">
        <v>155.30000000000001</v>
      </c>
      <c r="AD102" s="26">
        <v>514.20000000000005</v>
      </c>
      <c r="AE102" s="26">
        <v>637.6</v>
      </c>
      <c r="AF102" s="26">
        <v>175.6</v>
      </c>
      <c r="AG102" s="26">
        <v>156.9</v>
      </c>
      <c r="AH102" s="26">
        <v>478.8</v>
      </c>
      <c r="AI102" s="26">
        <v>32.5</v>
      </c>
      <c r="AJ102" s="26">
        <v>14</v>
      </c>
      <c r="AK102" s="26">
        <v>220.4</v>
      </c>
      <c r="AL102" s="26">
        <v>1118.5</v>
      </c>
      <c r="AM102" s="26">
        <v>95218</v>
      </c>
      <c r="AN102" s="26">
        <v>90524</v>
      </c>
      <c r="AO102" s="26">
        <v>27744</v>
      </c>
      <c r="AP102" s="26">
        <v>33.6</v>
      </c>
      <c r="AQ102" s="26">
        <v>0.3</v>
      </c>
      <c r="AR102" s="26">
        <v>34</v>
      </c>
      <c r="BL102" s="26">
        <v>150.8666666666667</v>
      </c>
      <c r="BM102" s="26">
        <v>148.33333333333329</v>
      </c>
      <c r="BN102" s="26">
        <v>10645.4</v>
      </c>
      <c r="BO102" s="26">
        <v>7595</v>
      </c>
      <c r="BP102" s="26">
        <v>-1</v>
      </c>
      <c r="BQ102" s="26">
        <v>4649.666666666667</v>
      </c>
      <c r="BR102" s="26">
        <v>11791.33333333333</v>
      </c>
      <c r="BS102" s="26">
        <v>116848.6666666667</v>
      </c>
    </row>
    <row r="103" spans="1:71">
      <c r="A103" s="55">
        <v>34880</v>
      </c>
      <c r="B103" s="26">
        <v>7581</v>
      </c>
      <c r="C103" s="26">
        <v>10575.1</v>
      </c>
      <c r="D103" s="26">
        <v>71.706000000000003</v>
      </c>
      <c r="E103" s="26">
        <v>4933.6000000000004</v>
      </c>
      <c r="F103" s="26">
        <v>6882.3</v>
      </c>
      <c r="G103" s="26">
        <v>71.688999999999993</v>
      </c>
      <c r="H103" s="26">
        <v>65.549000000000007</v>
      </c>
      <c r="I103" s="26">
        <v>56.805999999999997</v>
      </c>
      <c r="J103" s="26">
        <v>56.250999999999998</v>
      </c>
      <c r="K103" s="26">
        <v>59.207999999999998</v>
      </c>
      <c r="L103" s="26">
        <v>179.6</v>
      </c>
      <c r="M103" s="26">
        <v>152.5</v>
      </c>
      <c r="N103" s="26">
        <v>21.6</v>
      </c>
      <c r="O103" s="26">
        <v>865.6</v>
      </c>
      <c r="P103" s="26">
        <v>32.299999999999997</v>
      </c>
      <c r="Q103" s="26">
        <v>746.8</v>
      </c>
      <c r="R103" s="26">
        <v>553.6</v>
      </c>
      <c r="S103" s="26">
        <v>184.4</v>
      </c>
      <c r="T103" s="26">
        <v>1452.9</v>
      </c>
      <c r="U103" s="26">
        <v>532.70000000000005</v>
      </c>
      <c r="V103" s="26">
        <v>71.685000000000002</v>
      </c>
      <c r="W103" s="26">
        <v>581</v>
      </c>
      <c r="X103" s="26">
        <v>871.9</v>
      </c>
      <c r="Y103" s="26">
        <v>886.2</v>
      </c>
      <c r="Z103" s="26">
        <v>1534.9</v>
      </c>
      <c r="AA103" s="26">
        <v>594.4</v>
      </c>
      <c r="AB103" s="26">
        <v>75.7</v>
      </c>
      <c r="AC103" s="26">
        <v>153.1</v>
      </c>
      <c r="AD103" s="26">
        <v>519</v>
      </c>
      <c r="AE103" s="26">
        <v>644.9</v>
      </c>
      <c r="AF103" s="26">
        <v>174.8</v>
      </c>
      <c r="AG103" s="26">
        <v>152.4</v>
      </c>
      <c r="AH103" s="26">
        <v>477.9</v>
      </c>
      <c r="AI103" s="26">
        <v>31.3</v>
      </c>
      <c r="AJ103" s="26">
        <v>13.7</v>
      </c>
      <c r="AK103" s="26">
        <v>220.7</v>
      </c>
      <c r="AL103" s="26">
        <v>1132.8</v>
      </c>
      <c r="AM103" s="26">
        <v>94484</v>
      </c>
      <c r="AN103" s="26">
        <v>90540</v>
      </c>
      <c r="AO103" s="26">
        <v>28028</v>
      </c>
      <c r="AP103" s="26">
        <v>34.299999999999997</v>
      </c>
      <c r="AQ103" s="26">
        <v>0.3</v>
      </c>
      <c r="AR103" s="26">
        <v>34.6</v>
      </c>
      <c r="BL103" s="26">
        <v>152.1</v>
      </c>
      <c r="BM103" s="26">
        <v>149.5</v>
      </c>
      <c r="BN103" s="26">
        <v>10718.4</v>
      </c>
      <c r="BO103" s="26">
        <v>7683.7</v>
      </c>
      <c r="BP103" s="26">
        <v>-1</v>
      </c>
      <c r="BQ103" s="26">
        <v>4643</v>
      </c>
      <c r="BR103" s="26">
        <v>11828.66666666667</v>
      </c>
      <c r="BS103" s="26">
        <v>124434.3333333333</v>
      </c>
    </row>
    <row r="104" spans="1:71">
      <c r="A104" s="55">
        <v>34972</v>
      </c>
      <c r="B104" s="26">
        <v>7683.1</v>
      </c>
      <c r="C104" s="26">
        <v>10665.1</v>
      </c>
      <c r="D104" s="26">
        <v>72.027000000000001</v>
      </c>
      <c r="E104" s="26">
        <v>4998.7</v>
      </c>
      <c r="F104" s="26">
        <v>6944.7</v>
      </c>
      <c r="G104" s="26">
        <v>71.980999999999995</v>
      </c>
      <c r="H104" s="26">
        <v>65.888000000000005</v>
      </c>
      <c r="I104" s="26">
        <v>57.04</v>
      </c>
      <c r="J104" s="26">
        <v>56.463999999999999</v>
      </c>
      <c r="K104" s="26">
        <v>59.534999999999997</v>
      </c>
      <c r="L104" s="26">
        <v>183.2</v>
      </c>
      <c r="M104" s="26">
        <v>152.69999999999999</v>
      </c>
      <c r="N104" s="26">
        <v>22</v>
      </c>
      <c r="O104" s="26">
        <v>870.7</v>
      </c>
      <c r="P104" s="26">
        <v>32.9</v>
      </c>
      <c r="Q104" s="26">
        <v>752.2</v>
      </c>
      <c r="R104" s="26">
        <v>558.9</v>
      </c>
      <c r="S104" s="26">
        <v>191</v>
      </c>
      <c r="T104" s="26">
        <v>1455.7</v>
      </c>
      <c r="U104" s="26">
        <v>538.1</v>
      </c>
      <c r="V104" s="26">
        <v>71.977999999999994</v>
      </c>
      <c r="W104" s="26">
        <v>579.29999999999995</v>
      </c>
      <c r="X104" s="26">
        <v>876.3</v>
      </c>
      <c r="Y104" s="26">
        <v>879.1</v>
      </c>
      <c r="Z104" s="26">
        <v>1536.4</v>
      </c>
      <c r="AA104" s="26">
        <v>591.5</v>
      </c>
      <c r="AB104" s="26">
        <v>75.400000000000006</v>
      </c>
      <c r="AC104" s="26">
        <v>159.1</v>
      </c>
      <c r="AD104" s="26">
        <v>524.6</v>
      </c>
      <c r="AE104" s="26">
        <v>650</v>
      </c>
      <c r="AF104" s="26">
        <v>175.8</v>
      </c>
      <c r="AG104" s="26">
        <v>160.69999999999999</v>
      </c>
      <c r="AH104" s="26">
        <v>483.5</v>
      </c>
      <c r="AI104" s="26">
        <v>31.9</v>
      </c>
      <c r="AJ104" s="26">
        <v>13.5</v>
      </c>
      <c r="AK104" s="26">
        <v>220.7</v>
      </c>
      <c r="AL104" s="26">
        <v>1136.8</v>
      </c>
      <c r="AM104" s="26">
        <v>93858</v>
      </c>
      <c r="AN104" s="26">
        <v>89280</v>
      </c>
      <c r="AO104" s="26">
        <v>26448</v>
      </c>
      <c r="AP104" s="26">
        <v>34.799999999999997</v>
      </c>
      <c r="AQ104" s="26">
        <v>0.3</v>
      </c>
      <c r="AR104" s="26">
        <v>35.1</v>
      </c>
      <c r="BL104" s="26">
        <v>152.8666666666667</v>
      </c>
      <c r="BM104" s="26">
        <v>150.16666666666671</v>
      </c>
      <c r="BN104" s="26">
        <v>10792</v>
      </c>
      <c r="BO104" s="26">
        <v>7774.5</v>
      </c>
      <c r="BP104" s="26">
        <v>-1</v>
      </c>
      <c r="BQ104" s="26">
        <v>4623.666666666667</v>
      </c>
      <c r="BR104" s="26">
        <v>11868</v>
      </c>
      <c r="BS104" s="26">
        <v>125240</v>
      </c>
    </row>
    <row r="105" spans="1:71">
      <c r="A105" s="55">
        <v>35064</v>
      </c>
      <c r="B105" s="26">
        <v>7772.6</v>
      </c>
      <c r="C105" s="26">
        <v>10737.5</v>
      </c>
      <c r="D105" s="26">
        <v>72.367000000000004</v>
      </c>
      <c r="E105" s="26">
        <v>5055.7</v>
      </c>
      <c r="F105" s="26">
        <v>6993.1</v>
      </c>
      <c r="G105" s="26">
        <v>72.298000000000002</v>
      </c>
      <c r="H105" s="26">
        <v>66.798000000000002</v>
      </c>
      <c r="I105" s="26">
        <v>57.258000000000003</v>
      </c>
      <c r="J105" s="26">
        <v>56.655999999999999</v>
      </c>
      <c r="K105" s="26">
        <v>59.878</v>
      </c>
      <c r="L105" s="26">
        <v>186.5</v>
      </c>
      <c r="M105" s="26">
        <v>140.69999999999999</v>
      </c>
      <c r="N105" s="26">
        <v>22.5</v>
      </c>
      <c r="O105" s="26">
        <v>864.6</v>
      </c>
      <c r="P105" s="26">
        <v>33.5</v>
      </c>
      <c r="Q105" s="26">
        <v>770</v>
      </c>
      <c r="R105" s="26">
        <v>563.79999999999995</v>
      </c>
      <c r="S105" s="26">
        <v>187.1</v>
      </c>
      <c r="T105" s="26">
        <v>1451.6</v>
      </c>
      <c r="U105" s="26">
        <v>543.1</v>
      </c>
      <c r="V105" s="26">
        <v>72.293999999999997</v>
      </c>
      <c r="W105" s="26">
        <v>567.29999999999995</v>
      </c>
      <c r="X105" s="26">
        <v>884.3</v>
      </c>
      <c r="Y105" s="26">
        <v>849.1</v>
      </c>
      <c r="Z105" s="26">
        <v>1544.4</v>
      </c>
      <c r="AA105" s="26">
        <v>607.6</v>
      </c>
      <c r="AB105" s="26">
        <v>74.5</v>
      </c>
      <c r="AC105" s="26">
        <v>156.19999999999999</v>
      </c>
      <c r="AD105" s="26">
        <v>529.9</v>
      </c>
      <c r="AE105" s="26">
        <v>655.8</v>
      </c>
      <c r="AF105" s="26">
        <v>171.7</v>
      </c>
      <c r="AG105" s="26">
        <v>162.4</v>
      </c>
      <c r="AH105" s="26">
        <v>489.3</v>
      </c>
      <c r="AI105" s="26">
        <v>30.9</v>
      </c>
      <c r="AJ105" s="26">
        <v>13.2</v>
      </c>
      <c r="AK105" s="26">
        <v>208.8</v>
      </c>
      <c r="AL105" s="26">
        <v>1131.2</v>
      </c>
      <c r="AM105" s="26">
        <v>92181</v>
      </c>
      <c r="AN105" s="26">
        <v>87568</v>
      </c>
      <c r="AO105" s="26">
        <v>26816</v>
      </c>
      <c r="AP105" s="26">
        <v>35.200000000000003</v>
      </c>
      <c r="AQ105" s="26">
        <v>0.3</v>
      </c>
      <c r="AR105" s="26">
        <v>35.5</v>
      </c>
      <c r="BL105" s="26">
        <v>153.69999999999999</v>
      </c>
      <c r="BM105" s="26">
        <v>151</v>
      </c>
      <c r="BN105" s="26">
        <v>10867.2</v>
      </c>
      <c r="BO105" s="26">
        <v>7866.5</v>
      </c>
      <c r="BP105" s="26">
        <v>-1</v>
      </c>
      <c r="BQ105" s="26">
        <v>4624.666666666667</v>
      </c>
      <c r="BR105" s="26">
        <v>11923</v>
      </c>
      <c r="BS105" s="26">
        <v>127572.6666666667</v>
      </c>
    </row>
    <row r="106" spans="1:71">
      <c r="A106" s="55">
        <v>35155</v>
      </c>
      <c r="B106" s="26">
        <v>7868.5</v>
      </c>
      <c r="C106" s="26">
        <v>10817.9</v>
      </c>
      <c r="D106" s="26">
        <v>72.7</v>
      </c>
      <c r="E106" s="26">
        <v>5130.6000000000004</v>
      </c>
      <c r="F106" s="26">
        <v>7057.6</v>
      </c>
      <c r="G106" s="26">
        <v>72.7</v>
      </c>
      <c r="H106" s="26">
        <v>66.954999999999998</v>
      </c>
      <c r="I106" s="26">
        <v>57.83</v>
      </c>
      <c r="J106" s="26">
        <v>57.280999999999999</v>
      </c>
      <c r="K106" s="26">
        <v>60.198999999999998</v>
      </c>
      <c r="L106" s="26">
        <v>189.6</v>
      </c>
      <c r="M106" s="26">
        <v>151.30000000000001</v>
      </c>
      <c r="N106" s="26">
        <v>23</v>
      </c>
      <c r="O106" s="26">
        <v>893.2</v>
      </c>
      <c r="P106" s="26">
        <v>34</v>
      </c>
      <c r="Q106" s="26">
        <v>801.7</v>
      </c>
      <c r="R106" s="26">
        <v>570.4</v>
      </c>
      <c r="S106" s="26">
        <v>194.3</v>
      </c>
      <c r="T106" s="26">
        <v>1471.3</v>
      </c>
      <c r="U106" s="26">
        <v>545.9</v>
      </c>
      <c r="V106" s="26">
        <v>72.695999999999998</v>
      </c>
      <c r="W106" s="26">
        <v>579.79999999999995</v>
      </c>
      <c r="X106" s="26">
        <v>891.5</v>
      </c>
      <c r="Y106" s="26">
        <v>865.9</v>
      </c>
      <c r="Z106" s="26">
        <v>1541.6</v>
      </c>
      <c r="AA106" s="26">
        <v>636.4</v>
      </c>
      <c r="AB106" s="26">
        <v>72.599999999999994</v>
      </c>
      <c r="AC106" s="26">
        <v>162.4</v>
      </c>
      <c r="AD106" s="26">
        <v>532.9</v>
      </c>
      <c r="AE106" s="26">
        <v>675</v>
      </c>
      <c r="AF106" s="26">
        <v>177.1</v>
      </c>
      <c r="AG106" s="26">
        <v>165.3</v>
      </c>
      <c r="AH106" s="26">
        <v>497.8</v>
      </c>
      <c r="AI106" s="26">
        <v>31.9</v>
      </c>
      <c r="AJ106" s="26">
        <v>13</v>
      </c>
      <c r="AK106" s="26">
        <v>218.2</v>
      </c>
      <c r="AL106" s="26">
        <v>1145.0999999999999</v>
      </c>
      <c r="AM106" s="26">
        <v>94539</v>
      </c>
      <c r="AN106" s="26">
        <v>88772</v>
      </c>
      <c r="AO106" s="26">
        <v>29136</v>
      </c>
      <c r="AP106" s="26">
        <v>35.200000000000003</v>
      </c>
      <c r="AQ106" s="26">
        <v>0.3</v>
      </c>
      <c r="AR106" s="26">
        <v>35.5</v>
      </c>
      <c r="BL106" s="26">
        <v>155.06666666666669</v>
      </c>
      <c r="BM106" s="26">
        <v>152.4</v>
      </c>
      <c r="BN106" s="26">
        <v>10943.8</v>
      </c>
      <c r="BO106" s="26">
        <v>7960.1</v>
      </c>
      <c r="BP106" s="26">
        <v>-1</v>
      </c>
      <c r="BQ106" s="26">
        <v>4621.333333333333</v>
      </c>
      <c r="BR106" s="26">
        <v>11966</v>
      </c>
      <c r="BS106" s="26">
        <v>126179.3333333333</v>
      </c>
    </row>
    <row r="107" spans="1:71">
      <c r="A107" s="55">
        <v>35246</v>
      </c>
      <c r="B107" s="26">
        <v>8032.8</v>
      </c>
      <c r="C107" s="26">
        <v>10998.3</v>
      </c>
      <c r="D107" s="26">
        <v>72.997</v>
      </c>
      <c r="E107" s="26">
        <v>5220.5</v>
      </c>
      <c r="F107" s="26">
        <v>7133.6</v>
      </c>
      <c r="G107" s="26">
        <v>73.186999999999998</v>
      </c>
      <c r="H107" s="26">
        <v>66.596000000000004</v>
      </c>
      <c r="I107" s="26">
        <v>57.908999999999999</v>
      </c>
      <c r="J107" s="26">
        <v>57.362000000000002</v>
      </c>
      <c r="K107" s="26">
        <v>60.265999999999998</v>
      </c>
      <c r="L107" s="26">
        <v>192.9</v>
      </c>
      <c r="M107" s="26">
        <v>165.8</v>
      </c>
      <c r="N107" s="26">
        <v>22.7</v>
      </c>
      <c r="O107" s="26">
        <v>912.9</v>
      </c>
      <c r="P107" s="26">
        <v>34.6</v>
      </c>
      <c r="Q107" s="26">
        <v>839.6</v>
      </c>
      <c r="R107" s="26">
        <v>577.70000000000005</v>
      </c>
      <c r="S107" s="26">
        <v>205.5</v>
      </c>
      <c r="T107" s="26">
        <v>1487.7</v>
      </c>
      <c r="U107" s="26">
        <v>554.4</v>
      </c>
      <c r="V107" s="26">
        <v>73.182000000000002</v>
      </c>
      <c r="W107" s="26">
        <v>582.1</v>
      </c>
      <c r="X107" s="26">
        <v>905.5</v>
      </c>
      <c r="Y107" s="26">
        <v>874.1</v>
      </c>
      <c r="Z107" s="26">
        <v>1563.8</v>
      </c>
      <c r="AA107" s="26">
        <v>673.6</v>
      </c>
      <c r="AB107" s="26">
        <v>71.2</v>
      </c>
      <c r="AC107" s="26">
        <v>171.9</v>
      </c>
      <c r="AD107" s="26">
        <v>541.70000000000005</v>
      </c>
      <c r="AE107" s="26">
        <v>680.7</v>
      </c>
      <c r="AF107" s="26">
        <v>185.5</v>
      </c>
      <c r="AG107" s="26">
        <v>165.9</v>
      </c>
      <c r="AH107" s="26">
        <v>506.5</v>
      </c>
      <c r="AI107" s="26">
        <v>33.5</v>
      </c>
      <c r="AJ107" s="26">
        <v>12.7</v>
      </c>
      <c r="AK107" s="26">
        <v>232.2</v>
      </c>
      <c r="AL107" s="26">
        <v>1171.4000000000001</v>
      </c>
      <c r="AM107" s="26">
        <v>102461</v>
      </c>
      <c r="AN107" s="26">
        <v>96376</v>
      </c>
      <c r="AO107" s="26">
        <v>27904</v>
      </c>
      <c r="AP107" s="26">
        <v>35.1</v>
      </c>
      <c r="AQ107" s="26">
        <v>0.3</v>
      </c>
      <c r="AR107" s="26">
        <v>35.4</v>
      </c>
      <c r="BL107" s="26">
        <v>156.4</v>
      </c>
      <c r="BM107" s="26">
        <v>153.73333333333341</v>
      </c>
      <c r="BN107" s="26">
        <v>11025.2</v>
      </c>
      <c r="BO107" s="26">
        <v>8052.5</v>
      </c>
      <c r="BP107" s="26">
        <v>-1</v>
      </c>
      <c r="BQ107" s="26">
        <v>4618.333333333333</v>
      </c>
      <c r="BR107" s="26">
        <v>12017.33333333333</v>
      </c>
      <c r="BS107" s="26">
        <v>131672</v>
      </c>
    </row>
    <row r="108" spans="1:71">
      <c r="A108" s="55">
        <v>35338</v>
      </c>
      <c r="B108" s="26">
        <v>8131.4</v>
      </c>
      <c r="C108" s="26">
        <v>11097</v>
      </c>
      <c r="D108" s="26">
        <v>73.352000000000004</v>
      </c>
      <c r="E108" s="26">
        <v>5274.5</v>
      </c>
      <c r="F108" s="26">
        <v>7176.8</v>
      </c>
      <c r="G108" s="26">
        <v>73.498999999999995</v>
      </c>
      <c r="H108" s="26">
        <v>66.983000000000004</v>
      </c>
      <c r="I108" s="26">
        <v>58.274999999999999</v>
      </c>
      <c r="J108" s="26">
        <v>57.741999999999997</v>
      </c>
      <c r="K108" s="26">
        <v>60.564999999999998</v>
      </c>
      <c r="L108" s="26">
        <v>196.5</v>
      </c>
      <c r="M108" s="26">
        <v>158.80000000000001</v>
      </c>
      <c r="N108" s="26">
        <v>21.6</v>
      </c>
      <c r="O108" s="26">
        <v>908.5</v>
      </c>
      <c r="P108" s="26">
        <v>35.200000000000003</v>
      </c>
      <c r="Q108" s="26">
        <v>843.5</v>
      </c>
      <c r="R108" s="26">
        <v>581.79999999999995</v>
      </c>
      <c r="S108" s="26">
        <v>205.9</v>
      </c>
      <c r="T108" s="26">
        <v>1496.7</v>
      </c>
      <c r="U108" s="26">
        <v>561.79999999999995</v>
      </c>
      <c r="V108" s="26">
        <v>73.494</v>
      </c>
      <c r="W108" s="26">
        <v>577.79999999999995</v>
      </c>
      <c r="X108" s="26">
        <v>919</v>
      </c>
      <c r="Y108" s="26">
        <v>862.5</v>
      </c>
      <c r="Z108" s="26">
        <v>1577.1</v>
      </c>
      <c r="AA108" s="26">
        <v>674.2</v>
      </c>
      <c r="AB108" s="26">
        <v>71.7</v>
      </c>
      <c r="AC108" s="26">
        <v>172.6</v>
      </c>
      <c r="AD108" s="26">
        <v>549.5</v>
      </c>
      <c r="AE108" s="26">
        <v>683.7</v>
      </c>
      <c r="AF108" s="26">
        <v>182.9</v>
      </c>
      <c r="AG108" s="26">
        <v>169.3</v>
      </c>
      <c r="AH108" s="26">
        <v>510.1</v>
      </c>
      <c r="AI108" s="26">
        <v>33.299999999999997</v>
      </c>
      <c r="AJ108" s="26">
        <v>12.3</v>
      </c>
      <c r="AK108" s="26">
        <v>224.8</v>
      </c>
      <c r="AL108" s="26">
        <v>1176</v>
      </c>
      <c r="AM108" s="26">
        <v>99672</v>
      </c>
      <c r="AN108" s="26">
        <v>94872</v>
      </c>
      <c r="AO108" s="26">
        <v>27116</v>
      </c>
      <c r="AP108" s="26">
        <v>34.9</v>
      </c>
      <c r="AQ108" s="26">
        <v>0.3</v>
      </c>
      <c r="AR108" s="26">
        <v>35.200000000000003</v>
      </c>
      <c r="BL108" s="26">
        <v>157.30000000000001</v>
      </c>
      <c r="BM108" s="26">
        <v>154.56666666666669</v>
      </c>
      <c r="BN108" s="26">
        <v>11112.4</v>
      </c>
      <c r="BO108" s="26">
        <v>8142.7</v>
      </c>
      <c r="BP108" s="26">
        <v>-1</v>
      </c>
      <c r="BQ108" s="26">
        <v>4600.333333333333</v>
      </c>
      <c r="BR108" s="26">
        <v>12067</v>
      </c>
      <c r="BS108" s="26">
        <v>131615</v>
      </c>
    </row>
    <row r="109" spans="1:71">
      <c r="A109" s="55">
        <v>35430</v>
      </c>
      <c r="B109" s="26">
        <v>8259.7999999999993</v>
      </c>
      <c r="C109" s="26">
        <v>11212.2</v>
      </c>
      <c r="D109" s="26">
        <v>73.662000000000006</v>
      </c>
      <c r="E109" s="26">
        <v>5352.8</v>
      </c>
      <c r="F109" s="26">
        <v>7233.9</v>
      </c>
      <c r="G109" s="26">
        <v>73.998999999999995</v>
      </c>
      <c r="H109" s="26">
        <v>67.212000000000003</v>
      </c>
      <c r="I109" s="26">
        <v>58.692999999999998</v>
      </c>
      <c r="J109" s="26">
        <v>58.21</v>
      </c>
      <c r="K109" s="26">
        <v>60.761000000000003</v>
      </c>
      <c r="L109" s="26">
        <v>200.4</v>
      </c>
      <c r="M109" s="26">
        <v>156.9</v>
      </c>
      <c r="N109" s="26">
        <v>21.7</v>
      </c>
      <c r="O109" s="26">
        <v>910.7</v>
      </c>
      <c r="P109" s="26">
        <v>35.799999999999997</v>
      </c>
      <c r="Q109" s="26">
        <v>863.5</v>
      </c>
      <c r="R109" s="26">
        <v>593.20000000000005</v>
      </c>
      <c r="S109" s="26">
        <v>208.6</v>
      </c>
      <c r="T109" s="26">
        <v>1515.7</v>
      </c>
      <c r="U109" s="26">
        <v>569.4</v>
      </c>
      <c r="V109" s="26">
        <v>73.995000000000005</v>
      </c>
      <c r="W109" s="26">
        <v>576.9</v>
      </c>
      <c r="X109" s="26">
        <v>938.8</v>
      </c>
      <c r="Y109" s="26">
        <v>858.3</v>
      </c>
      <c r="Z109" s="26">
        <v>1599.6</v>
      </c>
      <c r="AA109" s="26">
        <v>689.4</v>
      </c>
      <c r="AB109" s="26">
        <v>75.900000000000006</v>
      </c>
      <c r="AC109" s="26">
        <v>175.3</v>
      </c>
      <c r="AD109" s="26">
        <v>557.5</v>
      </c>
      <c r="AE109" s="26">
        <v>688.9</v>
      </c>
      <c r="AF109" s="26">
        <v>180.3</v>
      </c>
      <c r="AG109" s="26">
        <v>174.1</v>
      </c>
      <c r="AH109" s="26">
        <v>517.29999999999995</v>
      </c>
      <c r="AI109" s="26">
        <v>33.4</v>
      </c>
      <c r="AJ109" s="26">
        <v>11.9</v>
      </c>
      <c r="AK109" s="26">
        <v>221.7</v>
      </c>
      <c r="AL109" s="26">
        <v>1192</v>
      </c>
      <c r="AM109" s="26">
        <v>97609</v>
      </c>
      <c r="AN109" s="26">
        <v>93892</v>
      </c>
      <c r="AO109" s="26">
        <v>28720</v>
      </c>
      <c r="AP109" s="26">
        <v>34.4</v>
      </c>
      <c r="AQ109" s="26">
        <v>0.4</v>
      </c>
      <c r="AR109" s="26">
        <v>34.799999999999997</v>
      </c>
      <c r="BL109" s="26">
        <v>158.66666666666671</v>
      </c>
      <c r="BM109" s="26">
        <v>155.8666666666667</v>
      </c>
      <c r="BN109" s="26">
        <v>11205.1</v>
      </c>
      <c r="BO109" s="26">
        <v>8254.6</v>
      </c>
      <c r="BP109" s="26">
        <v>-1</v>
      </c>
      <c r="BQ109" s="26">
        <v>4581.333333333333</v>
      </c>
      <c r="BR109" s="26">
        <v>12139</v>
      </c>
      <c r="BS109" s="26">
        <v>135638.66666666669</v>
      </c>
    </row>
    <row r="110" spans="1:71">
      <c r="A110" s="55">
        <v>35520</v>
      </c>
      <c r="B110" s="26">
        <v>8362.7000000000007</v>
      </c>
      <c r="C110" s="26">
        <v>11284.6</v>
      </c>
      <c r="D110" s="26">
        <v>73.992000000000004</v>
      </c>
      <c r="E110" s="26">
        <v>5433.1</v>
      </c>
      <c r="F110" s="26">
        <v>7310.2</v>
      </c>
      <c r="G110" s="26">
        <v>74.325999999999993</v>
      </c>
      <c r="H110" s="26">
        <v>67.441999999999993</v>
      </c>
      <c r="I110" s="26">
        <v>59.082000000000001</v>
      </c>
      <c r="J110" s="26">
        <v>58.609000000000002</v>
      </c>
      <c r="K110" s="26">
        <v>61.103999999999999</v>
      </c>
      <c r="L110" s="26">
        <v>204.4</v>
      </c>
      <c r="M110" s="26">
        <v>161.4</v>
      </c>
      <c r="N110" s="26">
        <v>21</v>
      </c>
      <c r="O110" s="26">
        <v>930.5</v>
      </c>
      <c r="P110" s="26">
        <v>37.200000000000003</v>
      </c>
      <c r="Q110" s="26">
        <v>902.1</v>
      </c>
      <c r="R110" s="26">
        <v>595.70000000000005</v>
      </c>
      <c r="S110" s="26">
        <v>210</v>
      </c>
      <c r="T110" s="26">
        <v>1516</v>
      </c>
      <c r="U110" s="26">
        <v>577.29999999999995</v>
      </c>
      <c r="V110" s="26">
        <v>74.322999999999993</v>
      </c>
      <c r="W110" s="26">
        <v>570.70000000000005</v>
      </c>
      <c r="X110" s="26">
        <v>945.3</v>
      </c>
      <c r="Y110" s="26">
        <v>846.2</v>
      </c>
      <c r="Z110" s="26">
        <v>1600.1</v>
      </c>
      <c r="AA110" s="26">
        <v>724.3</v>
      </c>
      <c r="AB110" s="26">
        <v>72</v>
      </c>
      <c r="AC110" s="26">
        <v>176.9</v>
      </c>
      <c r="AD110" s="26">
        <v>566</v>
      </c>
      <c r="AE110" s="26">
        <v>704.5</v>
      </c>
      <c r="AF110" s="26">
        <v>184.6</v>
      </c>
      <c r="AG110" s="26">
        <v>177.8</v>
      </c>
      <c r="AH110" s="26">
        <v>523.79999999999995</v>
      </c>
      <c r="AI110" s="26">
        <v>33.1</v>
      </c>
      <c r="AJ110" s="26">
        <v>11.3</v>
      </c>
      <c r="AK110" s="26">
        <v>226</v>
      </c>
      <c r="AL110" s="26">
        <v>1202.5</v>
      </c>
      <c r="AM110" s="26">
        <v>98691</v>
      </c>
      <c r="AN110" s="26">
        <v>95980</v>
      </c>
      <c r="AO110" s="26">
        <v>28400</v>
      </c>
      <c r="AP110" s="26">
        <v>34</v>
      </c>
      <c r="AQ110" s="26">
        <v>0.4</v>
      </c>
      <c r="AR110" s="26">
        <v>34.4</v>
      </c>
      <c r="BL110" s="26">
        <v>159.6333333333333</v>
      </c>
      <c r="BM110" s="26">
        <v>156.80000000000001</v>
      </c>
      <c r="BN110" s="26">
        <v>11303.2</v>
      </c>
      <c r="BO110" s="26">
        <v>8376.4</v>
      </c>
      <c r="BP110" s="26">
        <v>-1</v>
      </c>
      <c r="BQ110" s="26">
        <v>4574.333333333333</v>
      </c>
      <c r="BR110" s="26">
        <v>12185.66666666667</v>
      </c>
      <c r="BS110" s="26">
        <v>135471.66666666669</v>
      </c>
    </row>
    <row r="111" spans="1:71">
      <c r="A111" s="55">
        <v>35611</v>
      </c>
      <c r="B111" s="26">
        <v>8518.7999999999993</v>
      </c>
      <c r="C111" s="26">
        <v>11472.1</v>
      </c>
      <c r="D111" s="26">
        <v>74.361000000000004</v>
      </c>
      <c r="E111" s="26">
        <v>5471.3</v>
      </c>
      <c r="F111" s="26">
        <v>7343.1</v>
      </c>
      <c r="G111" s="26">
        <v>74.512</v>
      </c>
      <c r="H111" s="26">
        <v>67.885000000000005</v>
      </c>
      <c r="I111" s="26">
        <v>59.273000000000003</v>
      </c>
      <c r="J111" s="26">
        <v>58.749000000000002</v>
      </c>
      <c r="K111" s="26">
        <v>61.521000000000001</v>
      </c>
      <c r="L111" s="26">
        <v>207.1</v>
      </c>
      <c r="M111" s="26">
        <v>159.4</v>
      </c>
      <c r="N111" s="26">
        <v>20.399999999999999</v>
      </c>
      <c r="O111" s="26">
        <v>931.3</v>
      </c>
      <c r="P111" s="26">
        <v>38</v>
      </c>
      <c r="Q111" s="26">
        <v>916.2</v>
      </c>
      <c r="R111" s="26">
        <v>610.4</v>
      </c>
      <c r="S111" s="26">
        <v>214</v>
      </c>
      <c r="T111" s="26">
        <v>1542.5</v>
      </c>
      <c r="U111" s="26">
        <v>584.9</v>
      </c>
      <c r="V111" s="26">
        <v>74.509</v>
      </c>
      <c r="W111" s="26">
        <v>587.20000000000005</v>
      </c>
      <c r="X111" s="26">
        <v>955.4</v>
      </c>
      <c r="Y111" s="26">
        <v>865</v>
      </c>
      <c r="Z111" s="26">
        <v>1611.9</v>
      </c>
      <c r="AA111" s="26">
        <v>739.3</v>
      </c>
      <c r="AB111" s="26">
        <v>79.7</v>
      </c>
      <c r="AC111" s="26">
        <v>180.5</v>
      </c>
      <c r="AD111" s="26">
        <v>574</v>
      </c>
      <c r="AE111" s="26">
        <v>707.5</v>
      </c>
      <c r="AF111" s="26">
        <v>184.2</v>
      </c>
      <c r="AG111" s="26">
        <v>176.9</v>
      </c>
      <c r="AH111" s="26">
        <v>530.70000000000005</v>
      </c>
      <c r="AI111" s="26">
        <v>33.6</v>
      </c>
      <c r="AJ111" s="26">
        <v>10.9</v>
      </c>
      <c r="AK111" s="26">
        <v>223.7</v>
      </c>
      <c r="AL111" s="26">
        <v>1209</v>
      </c>
      <c r="AM111" s="26">
        <v>98642</v>
      </c>
      <c r="AN111" s="26">
        <v>94924</v>
      </c>
      <c r="AO111" s="26">
        <v>29016</v>
      </c>
      <c r="AP111" s="26">
        <v>33.200000000000003</v>
      </c>
      <c r="AQ111" s="26">
        <v>0.4</v>
      </c>
      <c r="AR111" s="26">
        <v>33.6</v>
      </c>
      <c r="BL111" s="26">
        <v>160</v>
      </c>
      <c r="BM111" s="26">
        <v>157.1</v>
      </c>
      <c r="BN111" s="26">
        <v>11406</v>
      </c>
      <c r="BO111" s="26">
        <v>8469.7000000000007</v>
      </c>
      <c r="BP111" s="26">
        <v>-1</v>
      </c>
      <c r="BQ111" s="26">
        <v>4577</v>
      </c>
      <c r="BR111" s="26">
        <v>12229.66666666667</v>
      </c>
      <c r="BS111" s="26">
        <v>139479.33333333331</v>
      </c>
    </row>
    <row r="112" spans="1:71">
      <c r="A112" s="55">
        <v>35703</v>
      </c>
      <c r="B112" s="26">
        <v>8662.7999999999993</v>
      </c>
      <c r="C112" s="26">
        <v>11615.6</v>
      </c>
      <c r="D112" s="26">
        <v>74.581000000000003</v>
      </c>
      <c r="E112" s="26">
        <v>5579.2</v>
      </c>
      <c r="F112" s="26">
        <v>7468.2</v>
      </c>
      <c r="G112" s="26">
        <v>74.709000000000003</v>
      </c>
      <c r="H112" s="26">
        <v>68.042000000000002</v>
      </c>
      <c r="I112" s="26">
        <v>59.530999999999999</v>
      </c>
      <c r="J112" s="26">
        <v>59.03</v>
      </c>
      <c r="K112" s="26">
        <v>61.677</v>
      </c>
      <c r="L112" s="26">
        <v>208.3</v>
      </c>
      <c r="M112" s="26">
        <v>163.69999999999999</v>
      </c>
      <c r="N112" s="26">
        <v>19.600000000000001</v>
      </c>
      <c r="O112" s="26">
        <v>937.2</v>
      </c>
      <c r="P112" s="26">
        <v>38.6</v>
      </c>
      <c r="Q112" s="26">
        <v>941.1</v>
      </c>
      <c r="R112" s="26">
        <v>616.6</v>
      </c>
      <c r="S112" s="26">
        <v>226</v>
      </c>
      <c r="T112" s="26">
        <v>1555.2</v>
      </c>
      <c r="U112" s="26">
        <v>593.6</v>
      </c>
      <c r="V112" s="26">
        <v>74.706000000000003</v>
      </c>
      <c r="W112" s="26">
        <v>586</v>
      </c>
      <c r="X112" s="26">
        <v>969.2</v>
      </c>
      <c r="Y112" s="26">
        <v>861.3</v>
      </c>
      <c r="Z112" s="26">
        <v>1628.1</v>
      </c>
      <c r="AA112" s="26">
        <v>757</v>
      </c>
      <c r="AB112" s="26">
        <v>79.900000000000006</v>
      </c>
      <c r="AC112" s="26">
        <v>190.5</v>
      </c>
      <c r="AD112" s="26">
        <v>582.9</v>
      </c>
      <c r="AE112" s="26">
        <v>709.2</v>
      </c>
      <c r="AF112" s="26">
        <v>187.5</v>
      </c>
      <c r="AG112" s="26">
        <v>184.1</v>
      </c>
      <c r="AH112" s="26">
        <v>536.6</v>
      </c>
      <c r="AI112" s="26">
        <v>35.5</v>
      </c>
      <c r="AJ112" s="26">
        <v>10.6</v>
      </c>
      <c r="AK112" s="26">
        <v>228</v>
      </c>
      <c r="AL112" s="26">
        <v>1225.5</v>
      </c>
      <c r="AM112" s="26">
        <v>101001</v>
      </c>
      <c r="AN112" s="26">
        <v>97108</v>
      </c>
      <c r="AO112" s="26">
        <v>29084</v>
      </c>
      <c r="AP112" s="26">
        <v>33</v>
      </c>
      <c r="AQ112" s="26">
        <v>0.4</v>
      </c>
      <c r="AR112" s="26">
        <v>33.4</v>
      </c>
      <c r="BL112" s="26">
        <v>160.80000000000001</v>
      </c>
      <c r="BM112" s="26">
        <v>157.80000000000001</v>
      </c>
      <c r="BN112" s="26">
        <v>11513.8</v>
      </c>
      <c r="BO112" s="26">
        <v>8586.9</v>
      </c>
      <c r="BP112" s="26">
        <v>-1</v>
      </c>
      <c r="BQ112" s="26">
        <v>4589</v>
      </c>
      <c r="BR112" s="26">
        <v>12296</v>
      </c>
      <c r="BS112" s="26">
        <v>141385.33333333331</v>
      </c>
    </row>
    <row r="113" spans="1:71">
      <c r="A113" s="55">
        <v>35795</v>
      </c>
      <c r="B113" s="26">
        <v>8765.9</v>
      </c>
      <c r="C113" s="26">
        <v>11715.4</v>
      </c>
      <c r="D113" s="26">
        <v>74.847999999999999</v>
      </c>
      <c r="E113" s="26">
        <v>5663.6</v>
      </c>
      <c r="F113" s="26">
        <v>7557.4</v>
      </c>
      <c r="G113" s="26">
        <v>74.942999999999998</v>
      </c>
      <c r="H113" s="26">
        <v>68.519000000000005</v>
      </c>
      <c r="I113" s="26">
        <v>59.997</v>
      </c>
      <c r="J113" s="26">
        <v>59.512</v>
      </c>
      <c r="K113" s="26">
        <v>62.073999999999998</v>
      </c>
      <c r="L113" s="26">
        <v>207.9</v>
      </c>
      <c r="M113" s="26">
        <v>168</v>
      </c>
      <c r="N113" s="26">
        <v>19.399999999999999</v>
      </c>
      <c r="O113" s="26">
        <v>942.7</v>
      </c>
      <c r="P113" s="26">
        <v>39</v>
      </c>
      <c r="Q113" s="26">
        <v>967.8</v>
      </c>
      <c r="R113" s="26">
        <v>623.79999999999995</v>
      </c>
      <c r="S113" s="26">
        <v>215.9</v>
      </c>
      <c r="T113" s="26">
        <v>1574.8</v>
      </c>
      <c r="U113" s="26">
        <v>605.29999999999995</v>
      </c>
      <c r="V113" s="26">
        <v>74.941000000000003</v>
      </c>
      <c r="W113" s="26">
        <v>589.20000000000005</v>
      </c>
      <c r="X113" s="26">
        <v>985.6</v>
      </c>
      <c r="Y113" s="26">
        <v>859.9</v>
      </c>
      <c r="Z113" s="26">
        <v>1642.8</v>
      </c>
      <c r="AA113" s="26">
        <v>778.6</v>
      </c>
      <c r="AB113" s="26">
        <v>79.7</v>
      </c>
      <c r="AC113" s="26">
        <v>181.5</v>
      </c>
      <c r="AD113" s="26">
        <v>594.79999999999995</v>
      </c>
      <c r="AE113" s="26">
        <v>710.2</v>
      </c>
      <c r="AF113" s="26">
        <v>196.3</v>
      </c>
      <c r="AG113" s="26">
        <v>189.2</v>
      </c>
      <c r="AH113" s="26">
        <v>544</v>
      </c>
      <c r="AI113" s="26">
        <v>34.4</v>
      </c>
      <c r="AJ113" s="26">
        <v>10.5</v>
      </c>
      <c r="AK113" s="26">
        <v>232.4</v>
      </c>
      <c r="AL113" s="26">
        <v>1243.5</v>
      </c>
      <c r="AM113" s="26">
        <v>105738</v>
      </c>
      <c r="AN113" s="26">
        <v>101384</v>
      </c>
      <c r="AO113" s="26">
        <v>28744</v>
      </c>
      <c r="AP113" s="26">
        <v>33.299999999999997</v>
      </c>
      <c r="AQ113" s="26">
        <v>0.5</v>
      </c>
      <c r="AR113" s="26">
        <v>33.799999999999997</v>
      </c>
      <c r="BL113" s="26">
        <v>161.66666666666671</v>
      </c>
      <c r="BM113" s="26">
        <v>158.5333333333333</v>
      </c>
      <c r="BN113" s="26">
        <v>11625.6</v>
      </c>
      <c r="BO113" s="26">
        <v>8698.7000000000007</v>
      </c>
      <c r="BP113" s="26">
        <v>-1</v>
      </c>
      <c r="BQ113" s="26">
        <v>4583</v>
      </c>
      <c r="BR113" s="26">
        <v>12380</v>
      </c>
      <c r="BS113" s="26">
        <v>140102.66666666669</v>
      </c>
    </row>
    <row r="114" spans="1:71">
      <c r="A114" s="55">
        <v>35885</v>
      </c>
      <c r="B114" s="26">
        <v>8866.5</v>
      </c>
      <c r="C114" s="26">
        <v>11832.5</v>
      </c>
      <c r="D114" s="26">
        <v>74.924000000000007</v>
      </c>
      <c r="E114" s="26">
        <v>5721.3</v>
      </c>
      <c r="F114" s="26">
        <v>7633.9</v>
      </c>
      <c r="G114" s="26">
        <v>74.948999999999998</v>
      </c>
      <c r="H114" s="26">
        <v>68.231999999999999</v>
      </c>
      <c r="I114" s="26">
        <v>60.076999999999998</v>
      </c>
      <c r="J114" s="26">
        <v>59.604999999999997</v>
      </c>
      <c r="K114" s="26">
        <v>62.094999999999999</v>
      </c>
      <c r="L114" s="26">
        <v>206.4</v>
      </c>
      <c r="M114" s="26">
        <v>167.2</v>
      </c>
      <c r="N114" s="26">
        <v>19.399999999999999</v>
      </c>
      <c r="O114" s="26">
        <v>951.8</v>
      </c>
      <c r="P114" s="26">
        <v>39.1</v>
      </c>
      <c r="Q114" s="26">
        <v>996.1</v>
      </c>
      <c r="R114" s="26">
        <v>629.1</v>
      </c>
      <c r="S114" s="26">
        <v>213.5</v>
      </c>
      <c r="T114" s="26">
        <v>1568</v>
      </c>
      <c r="U114" s="26">
        <v>613.29999999999995</v>
      </c>
      <c r="V114" s="26">
        <v>74.947000000000003</v>
      </c>
      <c r="W114" s="26">
        <v>572.20000000000005</v>
      </c>
      <c r="X114" s="26">
        <v>995.9</v>
      </c>
      <c r="Y114" s="26">
        <v>838.5</v>
      </c>
      <c r="Z114" s="26">
        <v>1657.8</v>
      </c>
      <c r="AA114" s="26">
        <v>800.6</v>
      </c>
      <c r="AB114" s="26">
        <v>79.5</v>
      </c>
      <c r="AC114" s="26">
        <v>178.8</v>
      </c>
      <c r="AD114" s="26">
        <v>602.79999999999995</v>
      </c>
      <c r="AE114" s="26">
        <v>719.7</v>
      </c>
      <c r="AF114" s="26">
        <v>197.3</v>
      </c>
      <c r="AG114" s="26">
        <v>195.6</v>
      </c>
      <c r="AH114" s="26">
        <v>549.6</v>
      </c>
      <c r="AI114" s="26">
        <v>34.700000000000003</v>
      </c>
      <c r="AJ114" s="26">
        <v>10.5</v>
      </c>
      <c r="AK114" s="26">
        <v>232.1</v>
      </c>
      <c r="AL114" s="26">
        <v>1250.5</v>
      </c>
      <c r="AM114" s="26">
        <v>103992</v>
      </c>
      <c r="AN114" s="26">
        <v>99444</v>
      </c>
      <c r="AO114" s="26">
        <v>27052</v>
      </c>
      <c r="AP114" s="26">
        <v>33.4</v>
      </c>
      <c r="AQ114" s="26">
        <v>0.5</v>
      </c>
      <c r="AR114" s="26">
        <v>33.799999999999997</v>
      </c>
      <c r="BL114" s="26">
        <v>162</v>
      </c>
      <c r="BM114" s="26">
        <v>158.73333333333329</v>
      </c>
      <c r="BN114" s="26">
        <v>11741</v>
      </c>
      <c r="BO114" s="26">
        <v>8797.9</v>
      </c>
      <c r="BP114" s="26">
        <v>-1</v>
      </c>
      <c r="BQ114" s="26">
        <v>4578</v>
      </c>
      <c r="BR114" s="26">
        <v>12437.33333333333</v>
      </c>
      <c r="BS114" s="26">
        <v>133975</v>
      </c>
    </row>
    <row r="115" spans="1:71">
      <c r="A115" s="55">
        <v>35976</v>
      </c>
      <c r="B115" s="26">
        <v>8969.7000000000007</v>
      </c>
      <c r="C115" s="26">
        <v>11942</v>
      </c>
      <c r="D115" s="26">
        <v>75.119</v>
      </c>
      <c r="E115" s="26">
        <v>5832.6</v>
      </c>
      <c r="F115" s="26">
        <v>7768.3</v>
      </c>
      <c r="G115" s="26">
        <v>75.084000000000003</v>
      </c>
      <c r="H115" s="26">
        <v>68.671000000000006</v>
      </c>
      <c r="I115" s="26">
        <v>60.344000000000001</v>
      </c>
      <c r="J115" s="26">
        <v>59.923000000000002</v>
      </c>
      <c r="K115" s="26">
        <v>62.134</v>
      </c>
      <c r="L115" s="26">
        <v>205.3</v>
      </c>
      <c r="M115" s="26">
        <v>170</v>
      </c>
      <c r="N115" s="26">
        <v>19.3</v>
      </c>
      <c r="O115" s="26">
        <v>956</v>
      </c>
      <c r="P115" s="26">
        <v>39.299999999999997</v>
      </c>
      <c r="Q115" s="26">
        <v>1022.4</v>
      </c>
      <c r="R115" s="26">
        <v>635.5</v>
      </c>
      <c r="S115" s="26">
        <v>209.9</v>
      </c>
      <c r="T115" s="26">
        <v>1603.7</v>
      </c>
      <c r="U115" s="26">
        <v>622.79999999999995</v>
      </c>
      <c r="V115" s="26">
        <v>75.081000000000003</v>
      </c>
      <c r="W115" s="26">
        <v>587.1</v>
      </c>
      <c r="X115" s="26">
        <v>1016.6</v>
      </c>
      <c r="Y115" s="26">
        <v>854.9</v>
      </c>
      <c r="Z115" s="26">
        <v>1684.9</v>
      </c>
      <c r="AA115" s="26">
        <v>820.9</v>
      </c>
      <c r="AB115" s="26">
        <v>80.099999999999994</v>
      </c>
      <c r="AC115" s="26">
        <v>175.4</v>
      </c>
      <c r="AD115" s="26">
        <v>612.29999999999995</v>
      </c>
      <c r="AE115" s="26">
        <v>720.7</v>
      </c>
      <c r="AF115" s="26">
        <v>197</v>
      </c>
      <c r="AG115" s="26">
        <v>201.4</v>
      </c>
      <c r="AH115" s="26">
        <v>555.4</v>
      </c>
      <c r="AI115" s="26">
        <v>34.5</v>
      </c>
      <c r="AJ115" s="26">
        <v>10.5</v>
      </c>
      <c r="AK115" s="26">
        <v>235.3</v>
      </c>
      <c r="AL115" s="26">
        <v>1272.2</v>
      </c>
      <c r="AM115" s="26">
        <v>106287</v>
      </c>
      <c r="AN115" s="26">
        <v>101608</v>
      </c>
      <c r="AO115" s="26">
        <v>27336</v>
      </c>
      <c r="AP115" s="26">
        <v>34.6</v>
      </c>
      <c r="AQ115" s="26">
        <v>0.5</v>
      </c>
      <c r="AR115" s="26">
        <v>35</v>
      </c>
      <c r="BL115" s="26">
        <v>162.5333333333333</v>
      </c>
      <c r="BM115" s="26">
        <v>159.19999999999999</v>
      </c>
      <c r="BN115" s="26">
        <v>11860</v>
      </c>
      <c r="BO115" s="26">
        <v>8908.1</v>
      </c>
      <c r="BP115" s="26">
        <v>-1</v>
      </c>
      <c r="BQ115" s="26">
        <v>4596.666666666667</v>
      </c>
      <c r="BR115" s="26">
        <v>12501.33333333333</v>
      </c>
      <c r="BS115" s="26">
        <v>137818</v>
      </c>
    </row>
    <row r="116" spans="1:71">
      <c r="A116" s="55">
        <v>36068</v>
      </c>
      <c r="B116" s="26">
        <v>9121.1</v>
      </c>
      <c r="C116" s="26">
        <v>12091.6</v>
      </c>
      <c r="D116" s="26">
        <v>75.41</v>
      </c>
      <c r="E116" s="26">
        <v>5926.8</v>
      </c>
      <c r="F116" s="26">
        <v>7869.6</v>
      </c>
      <c r="G116" s="26">
        <v>75.316999999999993</v>
      </c>
      <c r="H116" s="26">
        <v>69.119</v>
      </c>
      <c r="I116" s="26">
        <v>60.795999999999999</v>
      </c>
      <c r="J116" s="26">
        <v>60.390999999999998</v>
      </c>
      <c r="K116" s="26">
        <v>62.517000000000003</v>
      </c>
      <c r="L116" s="26">
        <v>205</v>
      </c>
      <c r="M116" s="26">
        <v>168.1</v>
      </c>
      <c r="N116" s="26">
        <v>20.3</v>
      </c>
      <c r="O116" s="26">
        <v>957.4</v>
      </c>
      <c r="P116" s="26">
        <v>40</v>
      </c>
      <c r="Q116" s="26">
        <v>1043.2</v>
      </c>
      <c r="R116" s="26">
        <v>643</v>
      </c>
      <c r="S116" s="26">
        <v>215.8</v>
      </c>
      <c r="T116" s="26">
        <v>1627.3</v>
      </c>
      <c r="U116" s="26">
        <v>632.6</v>
      </c>
      <c r="V116" s="26">
        <v>75.313000000000002</v>
      </c>
      <c r="W116" s="26">
        <v>588.6</v>
      </c>
      <c r="X116" s="26">
        <v>1038.5999999999999</v>
      </c>
      <c r="Y116" s="26">
        <v>851.6</v>
      </c>
      <c r="Z116" s="26">
        <v>1708.6</v>
      </c>
      <c r="AA116" s="26">
        <v>841.6</v>
      </c>
      <c r="AB116" s="26">
        <v>81.5</v>
      </c>
      <c r="AC116" s="26">
        <v>180.1</v>
      </c>
      <c r="AD116" s="26">
        <v>622.20000000000005</v>
      </c>
      <c r="AE116" s="26">
        <v>723.5</v>
      </c>
      <c r="AF116" s="26">
        <v>201.8</v>
      </c>
      <c r="AG116" s="26">
        <v>201.6</v>
      </c>
      <c r="AH116" s="26">
        <v>561.6</v>
      </c>
      <c r="AI116" s="26">
        <v>35.700000000000003</v>
      </c>
      <c r="AJ116" s="26">
        <v>10.3</v>
      </c>
      <c r="AK116" s="26">
        <v>233.9</v>
      </c>
      <c r="AL116" s="26">
        <v>1290.9000000000001</v>
      </c>
      <c r="AM116" s="26">
        <v>106646</v>
      </c>
      <c r="AN116" s="26">
        <v>102260</v>
      </c>
      <c r="AO116" s="26">
        <v>29104</v>
      </c>
      <c r="AP116" s="26">
        <v>36.299999999999997</v>
      </c>
      <c r="AQ116" s="26">
        <v>0.4</v>
      </c>
      <c r="AR116" s="26">
        <v>36.799999999999997</v>
      </c>
      <c r="BL116" s="26">
        <v>163.3666666666667</v>
      </c>
      <c r="BM116" s="26">
        <v>159.9666666666667</v>
      </c>
      <c r="BN116" s="26">
        <v>11981.4</v>
      </c>
      <c r="BO116" s="26">
        <v>9038</v>
      </c>
      <c r="BP116" s="26">
        <v>-1</v>
      </c>
      <c r="BQ116" s="26">
        <v>4631.666666666667</v>
      </c>
      <c r="BR116" s="26">
        <v>12553.33333333333</v>
      </c>
      <c r="BS116" s="26">
        <v>143529.33333333331</v>
      </c>
    </row>
    <row r="117" spans="1:71">
      <c r="A117" s="55">
        <v>36160</v>
      </c>
      <c r="B117" s="26">
        <v>9294</v>
      </c>
      <c r="C117" s="26">
        <v>12287</v>
      </c>
      <c r="D117" s="26">
        <v>75.613</v>
      </c>
      <c r="E117" s="26">
        <v>6028.2</v>
      </c>
      <c r="F117" s="26">
        <v>7983.3</v>
      </c>
      <c r="G117" s="26">
        <v>75.515000000000001</v>
      </c>
      <c r="H117" s="26">
        <v>69.340999999999994</v>
      </c>
      <c r="I117" s="26">
        <v>61.305</v>
      </c>
      <c r="J117" s="26">
        <v>60.936</v>
      </c>
      <c r="K117" s="26">
        <v>62.87</v>
      </c>
      <c r="L117" s="26">
        <v>205.5</v>
      </c>
      <c r="M117" s="26">
        <v>175.4</v>
      </c>
      <c r="N117" s="26">
        <v>19.8</v>
      </c>
      <c r="O117" s="26">
        <v>966.4</v>
      </c>
      <c r="P117" s="26">
        <v>41.1</v>
      </c>
      <c r="Q117" s="26">
        <v>1068</v>
      </c>
      <c r="R117" s="26">
        <v>650.29999999999995</v>
      </c>
      <c r="S117" s="26">
        <v>211.3</v>
      </c>
      <c r="T117" s="26">
        <v>1647.5</v>
      </c>
      <c r="U117" s="26">
        <v>642.4</v>
      </c>
      <c r="V117" s="26">
        <v>75.510000000000005</v>
      </c>
      <c r="W117" s="26">
        <v>594.20000000000005</v>
      </c>
      <c r="X117" s="26">
        <v>1053.2</v>
      </c>
      <c r="Y117" s="26">
        <v>857</v>
      </c>
      <c r="Z117" s="26">
        <v>1718.3</v>
      </c>
      <c r="AA117" s="26">
        <v>861.7</v>
      </c>
      <c r="AB117" s="26">
        <v>81.7</v>
      </c>
      <c r="AC117" s="26">
        <v>176.4</v>
      </c>
      <c r="AD117" s="26">
        <v>632.20000000000005</v>
      </c>
      <c r="AE117" s="26">
        <v>724.7</v>
      </c>
      <c r="AF117" s="26">
        <v>207</v>
      </c>
      <c r="AG117" s="26">
        <v>206.3</v>
      </c>
      <c r="AH117" s="26">
        <v>568.6</v>
      </c>
      <c r="AI117" s="26">
        <v>34.799999999999997</v>
      </c>
      <c r="AJ117" s="26">
        <v>10.1</v>
      </c>
      <c r="AK117" s="26">
        <v>241.7</v>
      </c>
      <c r="AL117" s="26">
        <v>1312.2</v>
      </c>
      <c r="AM117" s="26">
        <v>110762</v>
      </c>
      <c r="AN117" s="26">
        <v>103952</v>
      </c>
      <c r="AO117" s="26">
        <v>31232</v>
      </c>
      <c r="AP117" s="26">
        <v>39.4</v>
      </c>
      <c r="AQ117" s="26">
        <v>0.4</v>
      </c>
      <c r="AR117" s="26">
        <v>39.9</v>
      </c>
      <c r="BL117" s="26">
        <v>164.1333333333333</v>
      </c>
      <c r="BM117" s="26">
        <v>160.76666666666671</v>
      </c>
      <c r="BN117" s="26">
        <v>12105</v>
      </c>
      <c r="BO117" s="26">
        <v>9156.2999999999993</v>
      </c>
      <c r="BP117" s="26">
        <v>-1</v>
      </c>
      <c r="BQ117" s="26">
        <v>4640.666666666667</v>
      </c>
      <c r="BR117" s="26">
        <v>12616.33333333333</v>
      </c>
      <c r="BS117" s="26">
        <v>144434.66666666669</v>
      </c>
    </row>
    <row r="118" spans="1:71">
      <c r="A118" s="55">
        <v>36250</v>
      </c>
      <c r="B118" s="26">
        <v>9417.2999999999993</v>
      </c>
      <c r="C118" s="26">
        <v>12403.3</v>
      </c>
      <c r="D118" s="26">
        <v>75.858999999999995</v>
      </c>
      <c r="E118" s="26">
        <v>6102.5</v>
      </c>
      <c r="F118" s="26">
        <v>8060.8</v>
      </c>
      <c r="G118" s="26">
        <v>75.712999999999994</v>
      </c>
      <c r="H118" s="26">
        <v>69.546000000000006</v>
      </c>
      <c r="I118" s="26">
        <v>61.826999999999998</v>
      </c>
      <c r="J118" s="26">
        <v>61.521000000000001</v>
      </c>
      <c r="K118" s="26">
        <v>63.122</v>
      </c>
      <c r="L118" s="26">
        <v>206.6</v>
      </c>
      <c r="M118" s="26">
        <v>181.1</v>
      </c>
      <c r="N118" s="26">
        <v>20.8</v>
      </c>
      <c r="O118" s="26">
        <v>983.4</v>
      </c>
      <c r="P118" s="26">
        <v>42.3</v>
      </c>
      <c r="Q118" s="26">
        <v>1077.9000000000001</v>
      </c>
      <c r="R118" s="26">
        <v>657.5</v>
      </c>
      <c r="S118" s="26">
        <v>222.3</v>
      </c>
      <c r="T118" s="26">
        <v>1669.4</v>
      </c>
      <c r="U118" s="26">
        <v>653.29999999999995</v>
      </c>
      <c r="V118" s="26">
        <v>75.706999999999994</v>
      </c>
      <c r="W118" s="26">
        <v>595.5</v>
      </c>
      <c r="X118" s="26">
        <v>1073.9000000000001</v>
      </c>
      <c r="Y118" s="26">
        <v>856.3</v>
      </c>
      <c r="Z118" s="26">
        <v>1737.3</v>
      </c>
      <c r="AA118" s="26">
        <v>869.8</v>
      </c>
      <c r="AB118" s="26">
        <v>81.3</v>
      </c>
      <c r="AC118" s="26">
        <v>186</v>
      </c>
      <c r="AD118" s="26">
        <v>643.5</v>
      </c>
      <c r="AE118" s="26">
        <v>735.5</v>
      </c>
      <c r="AF118" s="26">
        <v>214.7</v>
      </c>
      <c r="AG118" s="26">
        <v>208.2</v>
      </c>
      <c r="AH118" s="26">
        <v>576.20000000000005</v>
      </c>
      <c r="AI118" s="26">
        <v>36.299999999999997</v>
      </c>
      <c r="AJ118" s="26">
        <v>9.9</v>
      </c>
      <c r="AK118" s="26">
        <v>247.8</v>
      </c>
      <c r="AL118" s="26">
        <v>1338.9</v>
      </c>
      <c r="AM118" s="26">
        <v>114027</v>
      </c>
      <c r="AN118" s="26">
        <v>107100</v>
      </c>
      <c r="AO118" s="26">
        <v>27780</v>
      </c>
      <c r="AP118" s="26">
        <v>42</v>
      </c>
      <c r="AQ118" s="26">
        <v>0.4</v>
      </c>
      <c r="AR118" s="26">
        <v>42.4</v>
      </c>
      <c r="BL118" s="26">
        <v>164.73333333333329</v>
      </c>
      <c r="BM118" s="26">
        <v>161.3666666666667</v>
      </c>
      <c r="BN118" s="26">
        <v>12231.2</v>
      </c>
      <c r="BO118" s="26">
        <v>9286.7000000000007</v>
      </c>
      <c r="BP118" s="26">
        <v>-1</v>
      </c>
      <c r="BQ118" s="26">
        <v>4669</v>
      </c>
      <c r="BR118" s="26">
        <v>12694.66666666667</v>
      </c>
      <c r="BS118" s="26">
        <v>150497</v>
      </c>
    </row>
    <row r="119" spans="1:71">
      <c r="A119" s="55">
        <v>36341</v>
      </c>
      <c r="B119" s="26">
        <v>9524.2000000000007</v>
      </c>
      <c r="C119" s="26">
        <v>12498.7</v>
      </c>
      <c r="D119" s="26">
        <v>76.19</v>
      </c>
      <c r="E119" s="26">
        <v>6225.3</v>
      </c>
      <c r="F119" s="26">
        <v>8178.3</v>
      </c>
      <c r="G119" s="26">
        <v>76.126999999999995</v>
      </c>
      <c r="H119" s="26">
        <v>70.128</v>
      </c>
      <c r="I119" s="26">
        <v>62.66</v>
      </c>
      <c r="J119" s="26">
        <v>62.438000000000002</v>
      </c>
      <c r="K119" s="26">
        <v>63.59</v>
      </c>
      <c r="L119" s="26">
        <v>207.9</v>
      </c>
      <c r="M119" s="26">
        <v>179.1</v>
      </c>
      <c r="N119" s="26">
        <v>20.9</v>
      </c>
      <c r="O119" s="26">
        <v>985</v>
      </c>
      <c r="P119" s="26">
        <v>43.5</v>
      </c>
      <c r="Q119" s="26">
        <v>1095.2</v>
      </c>
      <c r="R119" s="26">
        <v>667.1</v>
      </c>
      <c r="S119" s="26">
        <v>219.9</v>
      </c>
      <c r="T119" s="26">
        <v>1695.2</v>
      </c>
      <c r="U119" s="26">
        <v>659</v>
      </c>
      <c r="V119" s="26">
        <v>76.12</v>
      </c>
      <c r="W119" s="26">
        <v>599.79999999999995</v>
      </c>
      <c r="X119" s="26">
        <v>1095.4000000000001</v>
      </c>
      <c r="Y119" s="26">
        <v>855.4</v>
      </c>
      <c r="Z119" s="26">
        <v>1748.4</v>
      </c>
      <c r="AA119" s="26">
        <v>885.8</v>
      </c>
      <c r="AB119" s="26">
        <v>81.599999999999994</v>
      </c>
      <c r="AC119" s="26">
        <v>184.4</v>
      </c>
      <c r="AD119" s="26">
        <v>649.29999999999995</v>
      </c>
      <c r="AE119" s="26">
        <v>738.6</v>
      </c>
      <c r="AF119" s="26">
        <v>211.8</v>
      </c>
      <c r="AG119" s="26">
        <v>209.4</v>
      </c>
      <c r="AH119" s="26">
        <v>585.4</v>
      </c>
      <c r="AI119" s="26">
        <v>35.5</v>
      </c>
      <c r="AJ119" s="26">
        <v>9.6999999999999993</v>
      </c>
      <c r="AK119" s="26">
        <v>246.4</v>
      </c>
      <c r="AL119" s="26">
        <v>1357.4</v>
      </c>
      <c r="AM119" s="26">
        <v>113559</v>
      </c>
      <c r="AN119" s="26">
        <v>107208</v>
      </c>
      <c r="AO119" s="26">
        <v>32192</v>
      </c>
      <c r="AP119" s="26">
        <v>44.6</v>
      </c>
      <c r="AQ119" s="26">
        <v>0.4</v>
      </c>
      <c r="AR119" s="26">
        <v>45</v>
      </c>
      <c r="BL119" s="26">
        <v>165.9666666666667</v>
      </c>
      <c r="BM119" s="26">
        <v>162.5333333333333</v>
      </c>
      <c r="BN119" s="26">
        <v>12359</v>
      </c>
      <c r="BO119" s="26">
        <v>9417.7999999999993</v>
      </c>
      <c r="BP119" s="26">
        <v>-1</v>
      </c>
      <c r="BQ119" s="26">
        <v>4688.333333333333</v>
      </c>
      <c r="BR119" s="26">
        <v>12783.33333333333</v>
      </c>
      <c r="BS119" s="26">
        <v>152515.33333333331</v>
      </c>
    </row>
    <row r="120" spans="1:71">
      <c r="A120" s="55">
        <v>36433</v>
      </c>
      <c r="B120" s="26">
        <v>9681.9</v>
      </c>
      <c r="C120" s="26">
        <v>12662.4</v>
      </c>
      <c r="D120" s="26">
        <v>76.471999999999994</v>
      </c>
      <c r="E120" s="26">
        <v>6328.9</v>
      </c>
      <c r="F120" s="26">
        <v>8270.6</v>
      </c>
      <c r="G120" s="26">
        <v>76.53</v>
      </c>
      <c r="H120" s="26">
        <v>70.765000000000001</v>
      </c>
      <c r="I120" s="26">
        <v>63.408999999999999</v>
      </c>
      <c r="J120" s="26">
        <v>63.3</v>
      </c>
      <c r="K120" s="26">
        <v>63.857999999999997</v>
      </c>
      <c r="L120" s="26">
        <v>209.4</v>
      </c>
      <c r="M120" s="26">
        <v>186.7</v>
      </c>
      <c r="N120" s="26">
        <v>20.3</v>
      </c>
      <c r="O120" s="26">
        <v>996.1</v>
      </c>
      <c r="P120" s="26">
        <v>44.7</v>
      </c>
      <c r="Q120" s="26">
        <v>1120.5999999999999</v>
      </c>
      <c r="R120" s="26">
        <v>679</v>
      </c>
      <c r="S120" s="26">
        <v>223.3</v>
      </c>
      <c r="T120" s="26">
        <v>1734.5</v>
      </c>
      <c r="U120" s="26">
        <v>666.4</v>
      </c>
      <c r="V120" s="26">
        <v>76.522999999999996</v>
      </c>
      <c r="W120" s="26">
        <v>614.9</v>
      </c>
      <c r="X120" s="26">
        <v>1119.5999999999999</v>
      </c>
      <c r="Y120" s="26">
        <v>869</v>
      </c>
      <c r="Z120" s="26">
        <v>1766</v>
      </c>
      <c r="AA120" s="26">
        <v>904.2</v>
      </c>
      <c r="AB120" s="26">
        <v>83.8</v>
      </c>
      <c r="AC120" s="26">
        <v>187.7</v>
      </c>
      <c r="AD120" s="26">
        <v>656.7</v>
      </c>
      <c r="AE120" s="26">
        <v>741.1</v>
      </c>
      <c r="AF120" s="26">
        <v>223.1</v>
      </c>
      <c r="AG120" s="26">
        <v>216.4</v>
      </c>
      <c r="AH120" s="26">
        <v>595.20000000000005</v>
      </c>
      <c r="AI120" s="26">
        <v>35.6</v>
      </c>
      <c r="AJ120" s="26">
        <v>9.6999999999999993</v>
      </c>
      <c r="AK120" s="26">
        <v>255</v>
      </c>
      <c r="AL120" s="26">
        <v>1388</v>
      </c>
      <c r="AM120" s="26">
        <v>120524</v>
      </c>
      <c r="AN120" s="26">
        <v>113428</v>
      </c>
      <c r="AO120" s="26">
        <v>34264</v>
      </c>
      <c r="AP120" s="26">
        <v>46</v>
      </c>
      <c r="AQ120" s="26">
        <v>0.4</v>
      </c>
      <c r="AR120" s="26">
        <v>46.4</v>
      </c>
      <c r="BL120" s="26">
        <v>167.2</v>
      </c>
      <c r="BM120" s="26">
        <v>163.9</v>
      </c>
      <c r="BN120" s="26">
        <v>12488.9</v>
      </c>
      <c r="BO120" s="26">
        <v>9549.2999999999993</v>
      </c>
      <c r="BP120" s="26">
        <v>-1</v>
      </c>
      <c r="BQ120" s="26">
        <v>4717.333333333333</v>
      </c>
      <c r="BR120" s="26">
        <v>12887.33333333333</v>
      </c>
      <c r="BS120" s="26">
        <v>155465.33333333331</v>
      </c>
    </row>
    <row r="121" spans="1:71">
      <c r="A121" s="55">
        <v>36525</v>
      </c>
      <c r="B121" s="26">
        <v>9899.4</v>
      </c>
      <c r="C121" s="26">
        <v>12877.6</v>
      </c>
      <c r="D121" s="26">
        <v>76.863</v>
      </c>
      <c r="E121" s="26">
        <v>6459.6</v>
      </c>
      <c r="F121" s="26">
        <v>8391.7999999999993</v>
      </c>
      <c r="G121" s="26">
        <v>76.981999999999999</v>
      </c>
      <c r="H121" s="26">
        <v>71.635999999999996</v>
      </c>
      <c r="I121" s="26">
        <v>64.135999999999996</v>
      </c>
      <c r="J121" s="26">
        <v>64.069000000000003</v>
      </c>
      <c r="K121" s="26">
        <v>64.402000000000001</v>
      </c>
      <c r="L121" s="26">
        <v>211</v>
      </c>
      <c r="M121" s="26">
        <v>191.3</v>
      </c>
      <c r="N121" s="26">
        <v>20</v>
      </c>
      <c r="O121" s="26">
        <v>1004.3</v>
      </c>
      <c r="P121" s="26">
        <v>45.8</v>
      </c>
      <c r="Q121" s="26">
        <v>1154</v>
      </c>
      <c r="R121" s="26">
        <v>690.7</v>
      </c>
      <c r="S121" s="26">
        <v>228</v>
      </c>
      <c r="T121" s="26">
        <v>1782.3</v>
      </c>
      <c r="U121" s="26">
        <v>679.6</v>
      </c>
      <c r="V121" s="26">
        <v>76.974999999999994</v>
      </c>
      <c r="W121" s="26">
        <v>635.20000000000005</v>
      </c>
      <c r="X121" s="26">
        <v>1147.0999999999999</v>
      </c>
      <c r="Y121" s="26">
        <v>886.8</v>
      </c>
      <c r="Z121" s="26">
        <v>1788.9</v>
      </c>
      <c r="AA121" s="26">
        <v>930</v>
      </c>
      <c r="AB121" s="26">
        <v>87</v>
      </c>
      <c r="AC121" s="26">
        <v>192.1</v>
      </c>
      <c r="AD121" s="26">
        <v>669.8</v>
      </c>
      <c r="AE121" s="26">
        <v>744.2</v>
      </c>
      <c r="AF121" s="26">
        <v>227</v>
      </c>
      <c r="AG121" s="26">
        <v>224</v>
      </c>
      <c r="AH121" s="26">
        <v>603.70000000000005</v>
      </c>
      <c r="AI121" s="26">
        <v>35.9</v>
      </c>
      <c r="AJ121" s="26">
        <v>9.8000000000000007</v>
      </c>
      <c r="AK121" s="26">
        <v>260.2</v>
      </c>
      <c r="AL121" s="26">
        <v>1416.9</v>
      </c>
      <c r="AM121" s="26">
        <v>121904</v>
      </c>
      <c r="AN121" s="26">
        <v>114620</v>
      </c>
      <c r="AO121" s="26">
        <v>34124</v>
      </c>
      <c r="AP121" s="26">
        <v>46.5</v>
      </c>
      <c r="AQ121" s="26">
        <v>0.4</v>
      </c>
      <c r="AR121" s="26">
        <v>46.9</v>
      </c>
      <c r="BL121" s="26">
        <v>168.43333333333331</v>
      </c>
      <c r="BM121" s="26">
        <v>165.2</v>
      </c>
      <c r="BN121" s="26">
        <v>12621</v>
      </c>
      <c r="BO121" s="26">
        <v>9702.1</v>
      </c>
      <c r="BP121" s="26">
        <v>-1</v>
      </c>
      <c r="BQ121" s="26">
        <v>4757.333333333333</v>
      </c>
      <c r="BR121" s="26">
        <v>12972.33333333333</v>
      </c>
      <c r="BS121" s="26">
        <v>163365.33333333331</v>
      </c>
    </row>
    <row r="122" spans="1:71">
      <c r="A122" s="55">
        <v>36616</v>
      </c>
      <c r="B122" s="26">
        <v>10002.9</v>
      </c>
      <c r="C122" s="26">
        <v>12924.2</v>
      </c>
      <c r="D122" s="26">
        <v>77.388999999999996</v>
      </c>
      <c r="E122" s="26">
        <v>6613.6</v>
      </c>
      <c r="F122" s="26">
        <v>8520.7000000000007</v>
      </c>
      <c r="G122" s="26">
        <v>77.625</v>
      </c>
      <c r="H122" s="26">
        <v>72.334000000000003</v>
      </c>
      <c r="I122" s="26">
        <v>64.965000000000003</v>
      </c>
      <c r="J122" s="26">
        <v>64.975999999999999</v>
      </c>
      <c r="K122" s="26">
        <v>64.912000000000006</v>
      </c>
      <c r="L122" s="26">
        <v>213</v>
      </c>
      <c r="M122" s="26">
        <v>190.2</v>
      </c>
      <c r="N122" s="26">
        <v>20.5</v>
      </c>
      <c r="O122" s="26">
        <v>1016.9</v>
      </c>
      <c r="P122" s="26">
        <v>46.9</v>
      </c>
      <c r="Q122" s="26">
        <v>1208.8</v>
      </c>
      <c r="R122" s="26">
        <v>698.6</v>
      </c>
      <c r="S122" s="26">
        <v>239.4</v>
      </c>
      <c r="T122" s="26">
        <v>1790.7</v>
      </c>
      <c r="U122" s="26">
        <v>699.5</v>
      </c>
      <c r="V122" s="26">
        <v>77.617999999999995</v>
      </c>
      <c r="W122" s="26">
        <v>620.4</v>
      </c>
      <c r="X122" s="26">
        <v>1170.4000000000001</v>
      </c>
      <c r="Y122" s="26">
        <v>857.6</v>
      </c>
      <c r="Z122" s="26">
        <v>1801.7</v>
      </c>
      <c r="AA122" s="26">
        <v>976.6</v>
      </c>
      <c r="AB122" s="26">
        <v>86.1</v>
      </c>
      <c r="AC122" s="26">
        <v>202.2</v>
      </c>
      <c r="AD122" s="26">
        <v>689.4</v>
      </c>
      <c r="AE122" s="26">
        <v>756.8</v>
      </c>
      <c r="AF122" s="26">
        <v>224.5</v>
      </c>
      <c r="AG122" s="26">
        <v>232.2</v>
      </c>
      <c r="AH122" s="26">
        <v>612.4</v>
      </c>
      <c r="AI122" s="26">
        <v>37.200000000000003</v>
      </c>
      <c r="AJ122" s="26">
        <v>10</v>
      </c>
      <c r="AK122" s="26">
        <v>260.10000000000002</v>
      </c>
      <c r="AL122" s="26">
        <v>1435.5</v>
      </c>
      <c r="AM122" s="26">
        <v>121898</v>
      </c>
      <c r="AN122" s="26">
        <v>114852</v>
      </c>
      <c r="AO122" s="26">
        <v>35572</v>
      </c>
      <c r="AP122" s="26">
        <v>44.6</v>
      </c>
      <c r="AQ122" s="26">
        <v>0.5</v>
      </c>
      <c r="AR122" s="26">
        <v>45.1</v>
      </c>
      <c r="BL122" s="26">
        <v>170.1</v>
      </c>
      <c r="BM122" s="26">
        <v>166.83333333333329</v>
      </c>
      <c r="BN122" s="26">
        <v>12754.4</v>
      </c>
      <c r="BO122" s="26">
        <v>9871.5</v>
      </c>
      <c r="BP122" s="26">
        <v>-1</v>
      </c>
      <c r="BQ122" s="26">
        <v>4768</v>
      </c>
      <c r="BR122" s="26">
        <v>13050.33333333333</v>
      </c>
      <c r="BS122" s="26">
        <v>168776.33333333331</v>
      </c>
    </row>
    <row r="123" spans="1:71">
      <c r="A123" s="55">
        <v>36707</v>
      </c>
      <c r="B123" s="26">
        <v>10247.700000000001</v>
      </c>
      <c r="C123" s="26">
        <v>13160.8</v>
      </c>
      <c r="D123" s="26">
        <v>77.840999999999994</v>
      </c>
      <c r="E123" s="26">
        <v>6707.5</v>
      </c>
      <c r="F123" s="26">
        <v>8603</v>
      </c>
      <c r="G123" s="26">
        <v>77.972999999999999</v>
      </c>
      <c r="H123" s="26">
        <v>72.614000000000004</v>
      </c>
      <c r="I123" s="26">
        <v>65.649000000000001</v>
      </c>
      <c r="J123" s="26">
        <v>65.647000000000006</v>
      </c>
      <c r="K123" s="26">
        <v>65.650999999999996</v>
      </c>
      <c r="L123" s="26">
        <v>216.1</v>
      </c>
      <c r="M123" s="26">
        <v>198.3</v>
      </c>
      <c r="N123" s="26">
        <v>20</v>
      </c>
      <c r="O123" s="26">
        <v>1042.3</v>
      </c>
      <c r="P123" s="26">
        <v>48.1</v>
      </c>
      <c r="Q123" s="26">
        <v>1230.2</v>
      </c>
      <c r="R123" s="26">
        <v>707.3</v>
      </c>
      <c r="S123" s="26">
        <v>237.6</v>
      </c>
      <c r="T123" s="26">
        <v>1823.1</v>
      </c>
      <c r="U123" s="26">
        <v>701.9</v>
      </c>
      <c r="V123" s="26">
        <v>77.966999999999999</v>
      </c>
      <c r="W123" s="26">
        <v>642</v>
      </c>
      <c r="X123" s="26">
        <v>1181.0999999999999</v>
      </c>
      <c r="Y123" s="26">
        <v>884.1</v>
      </c>
      <c r="Z123" s="26">
        <v>1799.2</v>
      </c>
      <c r="AA123" s="26">
        <v>986.9</v>
      </c>
      <c r="AB123" s="26">
        <v>88.4</v>
      </c>
      <c r="AC123" s="26">
        <v>201.1</v>
      </c>
      <c r="AD123" s="26">
        <v>691.5</v>
      </c>
      <c r="AE123" s="26">
        <v>772.9</v>
      </c>
      <c r="AF123" s="26">
        <v>227.4</v>
      </c>
      <c r="AG123" s="26">
        <v>243.3</v>
      </c>
      <c r="AH123" s="26">
        <v>618.9</v>
      </c>
      <c r="AI123" s="26">
        <v>36.5</v>
      </c>
      <c r="AJ123" s="26">
        <v>10.4</v>
      </c>
      <c r="AK123" s="26">
        <v>269.39999999999998</v>
      </c>
      <c r="AL123" s="26">
        <v>1452.8</v>
      </c>
      <c r="AM123" s="26">
        <v>123319</v>
      </c>
      <c r="AN123" s="26">
        <v>116168</v>
      </c>
      <c r="AO123" s="26">
        <v>36040</v>
      </c>
      <c r="AP123" s="26">
        <v>45</v>
      </c>
      <c r="AQ123" s="26">
        <v>0.5</v>
      </c>
      <c r="AR123" s="26">
        <v>45.5</v>
      </c>
      <c r="BL123" s="26">
        <v>171.43333333333331</v>
      </c>
      <c r="BM123" s="26">
        <v>168.16666666666671</v>
      </c>
      <c r="BN123" s="26">
        <v>12885.1</v>
      </c>
      <c r="BO123" s="26">
        <v>10033</v>
      </c>
      <c r="BP123" s="26">
        <v>-1</v>
      </c>
      <c r="BQ123" s="26">
        <v>4779.333333333333</v>
      </c>
      <c r="BR123" s="26">
        <v>13113</v>
      </c>
      <c r="BS123" s="26">
        <v>165200.66666666669</v>
      </c>
    </row>
    <row r="124" spans="1:71">
      <c r="A124" s="55">
        <v>36799</v>
      </c>
      <c r="B124" s="26">
        <v>10319.799999999999</v>
      </c>
      <c r="C124" s="26">
        <v>13178.4</v>
      </c>
      <c r="D124" s="26">
        <v>78.314999999999998</v>
      </c>
      <c r="E124" s="26">
        <v>6815.4</v>
      </c>
      <c r="F124" s="26">
        <v>8687.5</v>
      </c>
      <c r="G124" s="26">
        <v>78.454999999999998</v>
      </c>
      <c r="H124" s="26">
        <v>73.134</v>
      </c>
      <c r="I124" s="26">
        <v>66.346000000000004</v>
      </c>
      <c r="J124" s="26">
        <v>66.408000000000001</v>
      </c>
      <c r="K124" s="26">
        <v>66.081000000000003</v>
      </c>
      <c r="L124" s="26">
        <v>220.7</v>
      </c>
      <c r="M124" s="26">
        <v>204.8</v>
      </c>
      <c r="N124" s="26">
        <v>20.6</v>
      </c>
      <c r="O124" s="26">
        <v>1054.7</v>
      </c>
      <c r="P124" s="26">
        <v>49.3</v>
      </c>
      <c r="Q124" s="26">
        <v>1247.7</v>
      </c>
      <c r="R124" s="26">
        <v>711.3</v>
      </c>
      <c r="S124" s="26">
        <v>219</v>
      </c>
      <c r="T124" s="26">
        <v>1832.3</v>
      </c>
      <c r="U124" s="26">
        <v>715.2</v>
      </c>
      <c r="V124" s="26">
        <v>78.45</v>
      </c>
      <c r="W124" s="26">
        <v>634.1</v>
      </c>
      <c r="X124" s="26">
        <v>1198.3</v>
      </c>
      <c r="Y124" s="26">
        <v>867</v>
      </c>
      <c r="Z124" s="26">
        <v>1806.2</v>
      </c>
      <c r="AA124" s="26">
        <v>1011.1</v>
      </c>
      <c r="AB124" s="26">
        <v>87.5</v>
      </c>
      <c r="AC124" s="26">
        <v>185.6</v>
      </c>
      <c r="AD124" s="26">
        <v>704.2</v>
      </c>
      <c r="AE124" s="26">
        <v>777.5</v>
      </c>
      <c r="AF124" s="26">
        <v>239.5</v>
      </c>
      <c r="AG124" s="26">
        <v>236.6</v>
      </c>
      <c r="AH124" s="26">
        <v>623.70000000000005</v>
      </c>
      <c r="AI124" s="26">
        <v>33.5</v>
      </c>
      <c r="AJ124" s="26">
        <v>11</v>
      </c>
      <c r="AK124" s="26">
        <v>277.2</v>
      </c>
      <c r="AL124" s="26">
        <v>1477.8</v>
      </c>
      <c r="AM124" s="26">
        <v>133626</v>
      </c>
      <c r="AN124" s="26">
        <v>125392</v>
      </c>
      <c r="AO124" s="26">
        <v>35728</v>
      </c>
      <c r="AP124" s="26">
        <v>45.3</v>
      </c>
      <c r="AQ124" s="26">
        <v>0.6</v>
      </c>
      <c r="AR124" s="26">
        <v>45.8</v>
      </c>
      <c r="BL124" s="26">
        <v>173</v>
      </c>
      <c r="BM124" s="26">
        <v>169.7</v>
      </c>
      <c r="BN124" s="26">
        <v>13011.4</v>
      </c>
      <c r="BO124" s="26">
        <v>10189</v>
      </c>
      <c r="BP124" s="26">
        <v>-1</v>
      </c>
      <c r="BQ124" s="26">
        <v>4793.333333333333</v>
      </c>
      <c r="BR124" s="26">
        <v>13168</v>
      </c>
      <c r="BS124" s="26">
        <v>166145</v>
      </c>
    </row>
    <row r="125" spans="1:71">
      <c r="A125" s="55">
        <v>36891</v>
      </c>
      <c r="B125" s="26">
        <v>10439</v>
      </c>
      <c r="C125" s="26">
        <v>13260.5</v>
      </c>
      <c r="D125" s="26">
        <v>78.728999999999999</v>
      </c>
      <c r="E125" s="26">
        <v>6912.1</v>
      </c>
      <c r="F125" s="26">
        <v>8762.2000000000007</v>
      </c>
      <c r="G125" s="26">
        <v>78.888000000000005</v>
      </c>
      <c r="H125" s="26">
        <v>73.462999999999994</v>
      </c>
      <c r="I125" s="26">
        <v>67.17</v>
      </c>
      <c r="J125" s="26">
        <v>67.337000000000003</v>
      </c>
      <c r="K125" s="26">
        <v>66.47</v>
      </c>
      <c r="L125" s="26">
        <v>226.7</v>
      </c>
      <c r="M125" s="26">
        <v>204.8</v>
      </c>
      <c r="N125" s="26">
        <v>21.9</v>
      </c>
      <c r="O125" s="26">
        <v>1065.5999999999999</v>
      </c>
      <c r="P125" s="26">
        <v>50.6</v>
      </c>
      <c r="Q125" s="26">
        <v>1258.7</v>
      </c>
      <c r="R125" s="26">
        <v>717.1</v>
      </c>
      <c r="S125" s="26">
        <v>221.3</v>
      </c>
      <c r="T125" s="26">
        <v>1861.2</v>
      </c>
      <c r="U125" s="26">
        <v>721</v>
      </c>
      <c r="V125" s="26">
        <v>78.885000000000005</v>
      </c>
      <c r="W125" s="26">
        <v>638.4</v>
      </c>
      <c r="X125" s="26">
        <v>1222.9000000000001</v>
      </c>
      <c r="Y125" s="26">
        <v>868.9</v>
      </c>
      <c r="Z125" s="26">
        <v>1820.6</v>
      </c>
      <c r="AA125" s="26">
        <v>1023.9</v>
      </c>
      <c r="AB125" s="26">
        <v>87</v>
      </c>
      <c r="AC125" s="26">
        <v>187.6</v>
      </c>
      <c r="AD125" s="26">
        <v>709.2</v>
      </c>
      <c r="AE125" s="26">
        <v>786.5</v>
      </c>
      <c r="AF125" s="26">
        <v>241.1</v>
      </c>
      <c r="AG125" s="26">
        <v>234.8</v>
      </c>
      <c r="AH125" s="26">
        <v>630.1</v>
      </c>
      <c r="AI125" s="26">
        <v>33.700000000000003</v>
      </c>
      <c r="AJ125" s="26">
        <v>11.8</v>
      </c>
      <c r="AK125" s="26">
        <v>279.10000000000002</v>
      </c>
      <c r="AL125" s="26">
        <v>1506.8</v>
      </c>
      <c r="AM125" s="26">
        <v>129622</v>
      </c>
      <c r="AN125" s="26">
        <v>121748</v>
      </c>
      <c r="AO125" s="26">
        <v>39260</v>
      </c>
      <c r="AP125" s="26">
        <v>46.4</v>
      </c>
      <c r="AQ125" s="26">
        <v>0.6</v>
      </c>
      <c r="AR125" s="26">
        <v>47</v>
      </c>
      <c r="BL125" s="26">
        <v>174.23333333333329</v>
      </c>
      <c r="BM125" s="26">
        <v>170.83333333333329</v>
      </c>
      <c r="BN125" s="26">
        <v>13131.9</v>
      </c>
      <c r="BO125" s="26">
        <v>10337.799999999999</v>
      </c>
      <c r="BP125" s="26">
        <v>-1</v>
      </c>
      <c r="BQ125" s="26">
        <v>4809</v>
      </c>
      <c r="BR125" s="26">
        <v>13220.66666666667</v>
      </c>
      <c r="BS125" s="26">
        <v>170616.66666666669</v>
      </c>
    </row>
    <row r="126" spans="1:71">
      <c r="A126" s="55">
        <v>36981</v>
      </c>
      <c r="B126" s="26">
        <v>10472.9</v>
      </c>
      <c r="C126" s="26">
        <v>13222.7</v>
      </c>
      <c r="D126" s="26">
        <v>79.231999999999999</v>
      </c>
      <c r="E126" s="26">
        <v>6986.9</v>
      </c>
      <c r="F126" s="26">
        <v>8797.2999999999993</v>
      </c>
      <c r="G126" s="26">
        <v>79.423000000000002</v>
      </c>
      <c r="H126" s="26">
        <v>73.588999999999999</v>
      </c>
      <c r="I126" s="26">
        <v>67.957999999999998</v>
      </c>
      <c r="J126" s="26">
        <v>68.218000000000004</v>
      </c>
      <c r="K126" s="26">
        <v>66.88</v>
      </c>
      <c r="L126" s="26">
        <v>233.8</v>
      </c>
      <c r="M126" s="26">
        <v>215</v>
      </c>
      <c r="N126" s="26">
        <v>25.5</v>
      </c>
      <c r="O126" s="26">
        <v>1107.8</v>
      </c>
      <c r="P126" s="26">
        <v>51.5</v>
      </c>
      <c r="Q126" s="26">
        <v>1301.9000000000001</v>
      </c>
      <c r="R126" s="26">
        <v>724.2</v>
      </c>
      <c r="S126" s="26">
        <v>185.1</v>
      </c>
      <c r="T126" s="26">
        <v>1905.4</v>
      </c>
      <c r="U126" s="26">
        <v>736.1</v>
      </c>
      <c r="V126" s="26">
        <v>79.421000000000006</v>
      </c>
      <c r="W126" s="26">
        <v>653.1</v>
      </c>
      <c r="X126" s="26">
        <v>1252.3</v>
      </c>
      <c r="Y126" s="26">
        <v>887.5</v>
      </c>
      <c r="Z126" s="26">
        <v>1842.9</v>
      </c>
      <c r="AA126" s="26">
        <v>1051</v>
      </c>
      <c r="AB126" s="26">
        <v>87.1</v>
      </c>
      <c r="AC126" s="26">
        <v>154.9</v>
      </c>
      <c r="AD126" s="26">
        <v>723.4</v>
      </c>
      <c r="AE126" s="26">
        <v>817.3</v>
      </c>
      <c r="AF126" s="26">
        <v>254</v>
      </c>
      <c r="AG126" s="26">
        <v>250.9</v>
      </c>
      <c r="AH126" s="26">
        <v>637.1</v>
      </c>
      <c r="AI126" s="26">
        <v>30.1</v>
      </c>
      <c r="AJ126" s="26">
        <v>12.7</v>
      </c>
      <c r="AK126" s="26">
        <v>290.39999999999998</v>
      </c>
      <c r="AL126" s="26">
        <v>1559.9</v>
      </c>
      <c r="AM126" s="26">
        <v>138716</v>
      </c>
      <c r="AN126" s="26">
        <v>129388</v>
      </c>
      <c r="AO126" s="26">
        <v>40316</v>
      </c>
      <c r="AP126" s="26">
        <v>47.2</v>
      </c>
      <c r="AQ126" s="26">
        <v>8</v>
      </c>
      <c r="AR126" s="26">
        <v>55.2</v>
      </c>
      <c r="BL126" s="26">
        <v>175.9</v>
      </c>
      <c r="BM126" s="26">
        <v>172.43333333333331</v>
      </c>
      <c r="BN126" s="26">
        <v>13247.1</v>
      </c>
      <c r="BO126" s="26">
        <v>10492.2</v>
      </c>
      <c r="BP126" s="26">
        <v>1</v>
      </c>
      <c r="BQ126" s="26">
        <v>4832</v>
      </c>
      <c r="BR126" s="26">
        <v>13310</v>
      </c>
      <c r="BS126" s="26">
        <v>176411.33333333331</v>
      </c>
    </row>
    <row r="127" spans="1:71">
      <c r="A127" s="55">
        <v>37072</v>
      </c>
      <c r="B127" s="26">
        <v>10597.8</v>
      </c>
      <c r="C127" s="26">
        <v>13300</v>
      </c>
      <c r="D127" s="26">
        <v>79.760000000000005</v>
      </c>
      <c r="E127" s="26">
        <v>7036.3</v>
      </c>
      <c r="F127" s="26">
        <v>8818.1</v>
      </c>
      <c r="G127" s="26">
        <v>79.795000000000002</v>
      </c>
      <c r="H127" s="26">
        <v>73.974999999999994</v>
      </c>
      <c r="I127" s="26">
        <v>68.221999999999994</v>
      </c>
      <c r="J127" s="26">
        <v>68.504999999999995</v>
      </c>
      <c r="K127" s="26">
        <v>67.052000000000007</v>
      </c>
      <c r="L127" s="26">
        <v>240.4</v>
      </c>
      <c r="M127" s="26">
        <v>230.1</v>
      </c>
      <c r="N127" s="26">
        <v>28.4</v>
      </c>
      <c r="O127" s="26">
        <v>1139.0999999999999</v>
      </c>
      <c r="P127" s="26">
        <v>52.5</v>
      </c>
      <c r="Q127" s="26">
        <v>1308.9000000000001</v>
      </c>
      <c r="R127" s="26">
        <v>724.1</v>
      </c>
      <c r="S127" s="26">
        <v>179</v>
      </c>
      <c r="T127" s="26">
        <v>1947</v>
      </c>
      <c r="U127" s="26">
        <v>736.9</v>
      </c>
      <c r="V127" s="26">
        <v>79.793999999999997</v>
      </c>
      <c r="W127" s="26">
        <v>666.1</v>
      </c>
      <c r="X127" s="26">
        <v>1280.9000000000001</v>
      </c>
      <c r="Y127" s="26">
        <v>900.4</v>
      </c>
      <c r="Z127" s="26">
        <v>1877.7</v>
      </c>
      <c r="AA127" s="26">
        <v>1049</v>
      </c>
      <c r="AB127" s="26">
        <v>86.3</v>
      </c>
      <c r="AC127" s="26">
        <v>148.69999999999999</v>
      </c>
      <c r="AD127" s="26">
        <v>723.4</v>
      </c>
      <c r="AE127" s="26">
        <v>831</v>
      </c>
      <c r="AF127" s="26">
        <v>262.2</v>
      </c>
      <c r="AG127" s="26">
        <v>259.89999999999998</v>
      </c>
      <c r="AH127" s="26">
        <v>637.79999999999995</v>
      </c>
      <c r="AI127" s="26">
        <v>30.4</v>
      </c>
      <c r="AJ127" s="26">
        <v>13.5</v>
      </c>
      <c r="AK127" s="26">
        <v>308</v>
      </c>
      <c r="AL127" s="26">
        <v>1617</v>
      </c>
      <c r="AM127" s="26">
        <v>145774</v>
      </c>
      <c r="AN127" s="26">
        <v>132128</v>
      </c>
      <c r="AO127" s="26">
        <v>43008</v>
      </c>
      <c r="AP127" s="26">
        <v>47.6</v>
      </c>
      <c r="AQ127" s="26">
        <v>14.4</v>
      </c>
      <c r="AR127" s="26">
        <v>62</v>
      </c>
      <c r="BL127" s="26">
        <v>177.1333333333333</v>
      </c>
      <c r="BM127" s="26">
        <v>173.73333333333341</v>
      </c>
      <c r="BN127" s="26">
        <v>13356.2</v>
      </c>
      <c r="BO127" s="26">
        <v>10642.6</v>
      </c>
      <c r="BP127" s="26">
        <v>1</v>
      </c>
      <c r="BQ127" s="26">
        <v>4877.666666666667</v>
      </c>
      <c r="BR127" s="26">
        <v>13410.66666666667</v>
      </c>
      <c r="BS127" s="26">
        <v>189275.66666666669</v>
      </c>
    </row>
    <row r="128" spans="1:71">
      <c r="A128" s="55">
        <v>37164</v>
      </c>
      <c r="B128" s="26">
        <v>10596.3</v>
      </c>
      <c r="C128" s="26">
        <v>13244.8</v>
      </c>
      <c r="D128" s="26">
        <v>80.010000000000005</v>
      </c>
      <c r="E128" s="26">
        <v>7064.7</v>
      </c>
      <c r="F128" s="26">
        <v>8848.2999999999993</v>
      </c>
      <c r="G128" s="26">
        <v>79.841999999999999</v>
      </c>
      <c r="H128" s="26">
        <v>74.447999999999993</v>
      </c>
      <c r="I128" s="26">
        <v>68.403000000000006</v>
      </c>
      <c r="J128" s="26">
        <v>68.679000000000002</v>
      </c>
      <c r="K128" s="26">
        <v>67.262</v>
      </c>
      <c r="L128" s="26">
        <v>245.8</v>
      </c>
      <c r="M128" s="26">
        <v>217.4</v>
      </c>
      <c r="N128" s="26">
        <v>33.1</v>
      </c>
      <c r="O128" s="26">
        <v>1145.2</v>
      </c>
      <c r="P128" s="26">
        <v>53.4</v>
      </c>
      <c r="Q128" s="26">
        <v>1113.5999999999999</v>
      </c>
      <c r="R128" s="26">
        <v>725.3</v>
      </c>
      <c r="S128" s="26">
        <v>159.30000000000001</v>
      </c>
      <c r="T128" s="26">
        <v>1952.7</v>
      </c>
      <c r="U128" s="26">
        <v>736.1</v>
      </c>
      <c r="V128" s="26">
        <v>79.841999999999999</v>
      </c>
      <c r="W128" s="26">
        <v>674.3</v>
      </c>
      <c r="X128" s="26">
        <v>1278.4000000000001</v>
      </c>
      <c r="Y128" s="26">
        <v>905.8</v>
      </c>
      <c r="Z128" s="26">
        <v>1869</v>
      </c>
      <c r="AA128" s="26">
        <v>881.7</v>
      </c>
      <c r="AB128" s="26">
        <v>83.6</v>
      </c>
      <c r="AC128" s="26">
        <v>130.9</v>
      </c>
      <c r="AD128" s="26">
        <v>722</v>
      </c>
      <c r="AE128" s="26">
        <v>849.4</v>
      </c>
      <c r="AF128" s="26">
        <v>258.5</v>
      </c>
      <c r="AG128" s="26">
        <v>231.9</v>
      </c>
      <c r="AH128" s="26">
        <v>641.70000000000005</v>
      </c>
      <c r="AI128" s="26">
        <v>28.3</v>
      </c>
      <c r="AJ128" s="26">
        <v>14.1</v>
      </c>
      <c r="AK128" s="26">
        <v>295.8</v>
      </c>
      <c r="AL128" s="26">
        <v>1596.6</v>
      </c>
      <c r="AM128" s="26">
        <v>143219</v>
      </c>
      <c r="AN128" s="26">
        <v>133364</v>
      </c>
      <c r="AO128" s="26">
        <v>42668</v>
      </c>
      <c r="AP128" s="26">
        <v>66.3</v>
      </c>
      <c r="AQ128" s="26">
        <v>4.8</v>
      </c>
      <c r="AR128" s="26">
        <v>71.2</v>
      </c>
      <c r="BL128" s="26">
        <v>177.6333333333333</v>
      </c>
      <c r="BM128" s="26">
        <v>174.1</v>
      </c>
      <c r="BN128" s="26">
        <v>13459.7</v>
      </c>
      <c r="BO128" s="26">
        <v>10768.3</v>
      </c>
      <c r="BP128" s="26">
        <v>1</v>
      </c>
      <c r="BQ128" s="26">
        <v>4936.666666666667</v>
      </c>
      <c r="BR128" s="26">
        <v>13500.66666666667</v>
      </c>
      <c r="BS128" s="26">
        <v>187116</v>
      </c>
    </row>
    <row r="129" spans="1:71">
      <c r="A129" s="55">
        <v>37256</v>
      </c>
      <c r="B129" s="26">
        <v>10660.3</v>
      </c>
      <c r="C129" s="26">
        <v>13280.9</v>
      </c>
      <c r="D129" s="26">
        <v>80.284000000000006</v>
      </c>
      <c r="E129" s="26">
        <v>7174.7</v>
      </c>
      <c r="F129" s="26">
        <v>8980.6</v>
      </c>
      <c r="G129" s="26">
        <v>79.891999999999996</v>
      </c>
      <c r="H129" s="26">
        <v>74.930000000000007</v>
      </c>
      <c r="I129" s="26">
        <v>68.542000000000002</v>
      </c>
      <c r="J129" s="26">
        <v>68.763000000000005</v>
      </c>
      <c r="K129" s="26">
        <v>67.623000000000005</v>
      </c>
      <c r="L129" s="26">
        <v>250.3</v>
      </c>
      <c r="M129" s="26">
        <v>246.5</v>
      </c>
      <c r="N129" s="26">
        <v>40.6</v>
      </c>
      <c r="O129" s="26">
        <v>1191.2</v>
      </c>
      <c r="P129" s="26">
        <v>54.3</v>
      </c>
      <c r="Q129" s="26">
        <v>1231.8</v>
      </c>
      <c r="R129" s="26">
        <v>737.1</v>
      </c>
      <c r="S129" s="26">
        <v>142.4</v>
      </c>
      <c r="T129" s="26">
        <v>1992</v>
      </c>
      <c r="U129" s="26">
        <v>738.7</v>
      </c>
      <c r="V129" s="26">
        <v>79.891000000000005</v>
      </c>
      <c r="W129" s="26">
        <v>686.8</v>
      </c>
      <c r="X129" s="26">
        <v>1305.2</v>
      </c>
      <c r="Y129" s="26">
        <v>916.6</v>
      </c>
      <c r="Z129" s="26">
        <v>1904.3</v>
      </c>
      <c r="AA129" s="26">
        <v>1002.4</v>
      </c>
      <c r="AB129" s="26">
        <v>84.1</v>
      </c>
      <c r="AC129" s="26">
        <v>115.8</v>
      </c>
      <c r="AD129" s="26">
        <v>724.2</v>
      </c>
      <c r="AE129" s="26">
        <v>865.2</v>
      </c>
      <c r="AF129" s="26">
        <v>270.39999999999998</v>
      </c>
      <c r="AG129" s="26">
        <v>229.3</v>
      </c>
      <c r="AH129" s="26">
        <v>653</v>
      </c>
      <c r="AI129" s="26">
        <v>26.6</v>
      </c>
      <c r="AJ129" s="26">
        <v>14.5</v>
      </c>
      <c r="AK129" s="26">
        <v>326</v>
      </c>
      <c r="AL129" s="26">
        <v>1655.5</v>
      </c>
      <c r="AM129" s="26">
        <v>153809</v>
      </c>
      <c r="AN129" s="26">
        <v>143652</v>
      </c>
      <c r="AO129" s="26">
        <v>43008</v>
      </c>
      <c r="AP129" s="26">
        <v>43.1</v>
      </c>
      <c r="AQ129" s="26">
        <v>3.4</v>
      </c>
      <c r="AR129" s="26">
        <v>46.4</v>
      </c>
      <c r="BL129" s="26">
        <v>177.5</v>
      </c>
      <c r="BM129" s="26">
        <v>173.66666666666671</v>
      </c>
      <c r="BN129" s="26">
        <v>13557.8</v>
      </c>
      <c r="BO129" s="26">
        <v>10882.5</v>
      </c>
      <c r="BP129" s="26">
        <v>1</v>
      </c>
      <c r="BQ129" s="26">
        <v>4977.333333333333</v>
      </c>
      <c r="BR129" s="26">
        <v>13583.66666666667</v>
      </c>
      <c r="BS129" s="26">
        <v>193037.66666666669</v>
      </c>
    </row>
    <row r="130" spans="1:71">
      <c r="A130" s="55">
        <v>37346</v>
      </c>
      <c r="B130" s="26">
        <v>10789</v>
      </c>
      <c r="C130" s="26">
        <v>13397</v>
      </c>
      <c r="D130" s="26">
        <v>80.503</v>
      </c>
      <c r="E130" s="26">
        <v>7209.9</v>
      </c>
      <c r="F130" s="26">
        <v>9008.1</v>
      </c>
      <c r="G130" s="26">
        <v>80.040999999999997</v>
      </c>
      <c r="H130" s="26">
        <v>75.414000000000001</v>
      </c>
      <c r="I130" s="26">
        <v>68.953999999999994</v>
      </c>
      <c r="J130" s="26">
        <v>69.203000000000003</v>
      </c>
      <c r="K130" s="26">
        <v>67.921000000000006</v>
      </c>
      <c r="L130" s="26">
        <v>254.1</v>
      </c>
      <c r="M130" s="26">
        <v>244.9</v>
      </c>
      <c r="N130" s="26">
        <v>42.8</v>
      </c>
      <c r="O130" s="26">
        <v>1221</v>
      </c>
      <c r="P130" s="26">
        <v>55.2</v>
      </c>
      <c r="Q130" s="26">
        <v>1075.2</v>
      </c>
      <c r="R130" s="26">
        <v>744</v>
      </c>
      <c r="S130" s="26">
        <v>143.80000000000001</v>
      </c>
      <c r="T130" s="26">
        <v>2038.9</v>
      </c>
      <c r="U130" s="26">
        <v>746.9</v>
      </c>
      <c r="V130" s="26">
        <v>80.037999999999997</v>
      </c>
      <c r="W130" s="26">
        <v>713.9</v>
      </c>
      <c r="X130" s="26">
        <v>1325</v>
      </c>
      <c r="Y130" s="26">
        <v>946.9</v>
      </c>
      <c r="Z130" s="26">
        <v>1921.6</v>
      </c>
      <c r="AA130" s="26">
        <v>847.8</v>
      </c>
      <c r="AB130" s="26">
        <v>84.7</v>
      </c>
      <c r="AC130" s="26">
        <v>115.5</v>
      </c>
      <c r="AD130" s="26">
        <v>732</v>
      </c>
      <c r="AE130" s="26">
        <v>895</v>
      </c>
      <c r="AF130" s="26">
        <v>277.3</v>
      </c>
      <c r="AG130" s="26">
        <v>227.4</v>
      </c>
      <c r="AH130" s="26">
        <v>659.3</v>
      </c>
      <c r="AI130" s="26">
        <v>28.3</v>
      </c>
      <c r="AJ130" s="26">
        <v>14.9</v>
      </c>
      <c r="AK130" s="26">
        <v>326</v>
      </c>
      <c r="AL130" s="26">
        <v>1676.3</v>
      </c>
      <c r="AM130" s="26">
        <v>156084</v>
      </c>
      <c r="AN130" s="26">
        <v>145547</v>
      </c>
      <c r="AO130" s="26">
        <v>50609</v>
      </c>
      <c r="AP130" s="26">
        <v>40.700000000000003</v>
      </c>
      <c r="AQ130" s="26">
        <v>1.8</v>
      </c>
      <c r="AR130" s="26">
        <v>42.6</v>
      </c>
      <c r="BL130" s="26">
        <v>178.06666666666669</v>
      </c>
      <c r="BM130" s="26">
        <v>174.0333333333333</v>
      </c>
      <c r="BN130" s="26">
        <v>13651.1</v>
      </c>
      <c r="BO130" s="26">
        <v>10993.6</v>
      </c>
      <c r="BP130" s="26">
        <v>-1</v>
      </c>
      <c r="BQ130" s="26">
        <v>5004.333333333333</v>
      </c>
      <c r="BR130" s="26">
        <v>13639</v>
      </c>
      <c r="BS130" s="26">
        <v>198023.33333333331</v>
      </c>
    </row>
    <row r="131" spans="1:71">
      <c r="A131" s="55">
        <v>37437</v>
      </c>
      <c r="B131" s="26">
        <v>10893.2</v>
      </c>
      <c r="C131" s="26">
        <v>13478.2</v>
      </c>
      <c r="D131" s="26">
        <v>80.831999999999994</v>
      </c>
      <c r="E131" s="26">
        <v>7302.1</v>
      </c>
      <c r="F131" s="26">
        <v>9054.2999999999993</v>
      </c>
      <c r="G131" s="26">
        <v>80.650999999999996</v>
      </c>
      <c r="H131" s="26">
        <v>76.126999999999995</v>
      </c>
      <c r="I131" s="26">
        <v>69.578999999999994</v>
      </c>
      <c r="J131" s="26">
        <v>69.891000000000005</v>
      </c>
      <c r="K131" s="26">
        <v>68.290000000000006</v>
      </c>
      <c r="L131" s="26">
        <v>257.89999999999998</v>
      </c>
      <c r="M131" s="26">
        <v>243.8</v>
      </c>
      <c r="N131" s="26">
        <v>60.5</v>
      </c>
      <c r="O131" s="26">
        <v>1247.0999999999999</v>
      </c>
      <c r="P131" s="26">
        <v>56</v>
      </c>
      <c r="Q131" s="26">
        <v>1051</v>
      </c>
      <c r="R131" s="26">
        <v>751.3</v>
      </c>
      <c r="S131" s="26">
        <v>150</v>
      </c>
      <c r="T131" s="26">
        <v>2073.5</v>
      </c>
      <c r="U131" s="26">
        <v>755.3</v>
      </c>
      <c r="V131" s="26">
        <v>80.647999999999996</v>
      </c>
      <c r="W131" s="26">
        <v>734.7</v>
      </c>
      <c r="X131" s="26">
        <v>1338.8</v>
      </c>
      <c r="Y131" s="26">
        <v>965.3</v>
      </c>
      <c r="Z131" s="26">
        <v>1924.2</v>
      </c>
      <c r="AA131" s="26">
        <v>836.7</v>
      </c>
      <c r="AB131" s="26">
        <v>87.3</v>
      </c>
      <c r="AC131" s="26">
        <v>119.9</v>
      </c>
      <c r="AD131" s="26">
        <v>739.9</v>
      </c>
      <c r="AE131" s="26">
        <v>921</v>
      </c>
      <c r="AF131" s="26">
        <v>285.7</v>
      </c>
      <c r="AG131" s="26">
        <v>214.3</v>
      </c>
      <c r="AH131" s="26">
        <v>664</v>
      </c>
      <c r="AI131" s="26">
        <v>30.2</v>
      </c>
      <c r="AJ131" s="26">
        <v>15.4</v>
      </c>
      <c r="AK131" s="26">
        <v>326</v>
      </c>
      <c r="AL131" s="26">
        <v>1693.6</v>
      </c>
      <c r="AM131" s="26">
        <v>157455</v>
      </c>
      <c r="AN131" s="26">
        <v>146352</v>
      </c>
      <c r="AO131" s="26">
        <v>45405</v>
      </c>
      <c r="AP131" s="26">
        <v>39.200000000000003</v>
      </c>
      <c r="AQ131" s="26">
        <v>0.6</v>
      </c>
      <c r="AR131" s="26">
        <v>39.799999999999997</v>
      </c>
      <c r="BL131" s="26">
        <v>179.4666666666667</v>
      </c>
      <c r="BM131" s="26">
        <v>175.5333333333333</v>
      </c>
      <c r="BN131" s="26">
        <v>13741.2</v>
      </c>
      <c r="BO131" s="26">
        <v>11105.7</v>
      </c>
      <c r="BP131" s="26">
        <v>-1</v>
      </c>
      <c r="BQ131" s="26">
        <v>5039</v>
      </c>
      <c r="BR131" s="26">
        <v>13699.33333333333</v>
      </c>
      <c r="BS131" s="26">
        <v>194794</v>
      </c>
    </row>
    <row r="132" spans="1:71">
      <c r="A132" s="55">
        <v>37529</v>
      </c>
      <c r="B132" s="26">
        <v>10992.1</v>
      </c>
      <c r="C132" s="26">
        <v>13538.1</v>
      </c>
      <c r="D132" s="26">
        <v>81.177000000000007</v>
      </c>
      <c r="E132" s="26">
        <v>7390.9</v>
      </c>
      <c r="F132" s="26">
        <v>9119.9</v>
      </c>
      <c r="G132" s="26">
        <v>81.045000000000002</v>
      </c>
      <c r="H132" s="26">
        <v>76.78</v>
      </c>
      <c r="I132" s="26">
        <v>70.070999999999998</v>
      </c>
      <c r="J132" s="26">
        <v>70.453000000000003</v>
      </c>
      <c r="K132" s="26">
        <v>68.5</v>
      </c>
      <c r="L132" s="26">
        <v>261.60000000000002</v>
      </c>
      <c r="M132" s="26">
        <v>251.1</v>
      </c>
      <c r="N132" s="26">
        <v>56.9</v>
      </c>
      <c r="O132" s="26">
        <v>1259.9000000000001</v>
      </c>
      <c r="P132" s="26">
        <v>56.8</v>
      </c>
      <c r="Q132" s="26">
        <v>1044.0999999999999</v>
      </c>
      <c r="R132" s="26">
        <v>768.5</v>
      </c>
      <c r="S132" s="26">
        <v>158</v>
      </c>
      <c r="T132" s="26">
        <v>2100.4</v>
      </c>
      <c r="U132" s="26">
        <v>758.1</v>
      </c>
      <c r="V132" s="26">
        <v>81.040999999999997</v>
      </c>
      <c r="W132" s="26">
        <v>748.2</v>
      </c>
      <c r="X132" s="26">
        <v>1352.2</v>
      </c>
      <c r="Y132" s="26">
        <v>974.8</v>
      </c>
      <c r="Z132" s="26">
        <v>1929.8</v>
      </c>
      <c r="AA132" s="26">
        <v>825.3</v>
      </c>
      <c r="AB132" s="26">
        <v>88</v>
      </c>
      <c r="AC132" s="26">
        <v>126.5</v>
      </c>
      <c r="AD132" s="26">
        <v>742</v>
      </c>
      <c r="AE132" s="26">
        <v>925.2</v>
      </c>
      <c r="AF132" s="26">
        <v>294.3</v>
      </c>
      <c r="AG132" s="26">
        <v>218.8</v>
      </c>
      <c r="AH132" s="26">
        <v>680.5</v>
      </c>
      <c r="AI132" s="26">
        <v>31.5</v>
      </c>
      <c r="AJ132" s="26">
        <v>16.100000000000001</v>
      </c>
      <c r="AK132" s="26">
        <v>334.7</v>
      </c>
      <c r="AL132" s="26">
        <v>1723.7</v>
      </c>
      <c r="AM132" s="26">
        <v>164010</v>
      </c>
      <c r="AN132" s="26">
        <v>152896</v>
      </c>
      <c r="AO132" s="26">
        <v>41342</v>
      </c>
      <c r="AP132" s="26">
        <v>39.700000000000003</v>
      </c>
      <c r="AQ132" s="26">
        <v>1.7</v>
      </c>
      <c r="AR132" s="26">
        <v>41.3</v>
      </c>
      <c r="BL132" s="26">
        <v>180.43333333333331</v>
      </c>
      <c r="BM132" s="26">
        <v>176.5</v>
      </c>
      <c r="BN132" s="26">
        <v>13829.2</v>
      </c>
      <c r="BO132" s="26">
        <v>11228.4</v>
      </c>
      <c r="BP132" s="26">
        <v>-1</v>
      </c>
      <c r="BQ132" s="26">
        <v>5052.666666666667</v>
      </c>
      <c r="BR132" s="26">
        <v>13744.66666666667</v>
      </c>
      <c r="BS132" s="26">
        <v>196443.66666666669</v>
      </c>
    </row>
    <row r="133" spans="1:71">
      <c r="A133" s="55">
        <v>37621</v>
      </c>
      <c r="B133" s="26">
        <v>11071.5</v>
      </c>
      <c r="C133" s="26">
        <v>13559</v>
      </c>
      <c r="D133" s="26">
        <v>81.643000000000001</v>
      </c>
      <c r="E133" s="26">
        <v>7467.7</v>
      </c>
      <c r="F133" s="26">
        <v>9172.4</v>
      </c>
      <c r="G133" s="26">
        <v>81.42</v>
      </c>
      <c r="H133" s="26">
        <v>78.203000000000003</v>
      </c>
      <c r="I133" s="26">
        <v>70.655000000000001</v>
      </c>
      <c r="J133" s="26">
        <v>71.150999999999996</v>
      </c>
      <c r="K133" s="26">
        <v>68.617999999999995</v>
      </c>
      <c r="L133" s="26">
        <v>265.2</v>
      </c>
      <c r="M133" s="26">
        <v>260.3</v>
      </c>
      <c r="N133" s="26">
        <v>53.7</v>
      </c>
      <c r="O133" s="26">
        <v>1276.2</v>
      </c>
      <c r="P133" s="26">
        <v>57.6</v>
      </c>
      <c r="Q133" s="26">
        <v>1038.4000000000001</v>
      </c>
      <c r="R133" s="26">
        <v>776.3</v>
      </c>
      <c r="S133" s="26">
        <v>175.5</v>
      </c>
      <c r="T133" s="26">
        <v>2142</v>
      </c>
      <c r="U133" s="26">
        <v>760.8</v>
      </c>
      <c r="V133" s="26">
        <v>81.415999999999997</v>
      </c>
      <c r="W133" s="26">
        <v>775.1</v>
      </c>
      <c r="X133" s="26">
        <v>1366.9</v>
      </c>
      <c r="Y133" s="26">
        <v>991.3</v>
      </c>
      <c r="Z133" s="26">
        <v>1934.7</v>
      </c>
      <c r="AA133" s="26">
        <v>819.6</v>
      </c>
      <c r="AB133" s="26">
        <v>87.3</v>
      </c>
      <c r="AC133" s="26">
        <v>142</v>
      </c>
      <c r="AD133" s="26">
        <v>743.8</v>
      </c>
      <c r="AE133" s="26">
        <v>930.8</v>
      </c>
      <c r="AF133" s="26">
        <v>297.39999999999998</v>
      </c>
      <c r="AG133" s="26">
        <v>218.9</v>
      </c>
      <c r="AH133" s="26">
        <v>689</v>
      </c>
      <c r="AI133" s="26">
        <v>33.5</v>
      </c>
      <c r="AJ133" s="26">
        <v>17</v>
      </c>
      <c r="AK133" s="26">
        <v>345.4</v>
      </c>
      <c r="AL133" s="26">
        <v>1756.2</v>
      </c>
      <c r="AM133" s="26">
        <v>166934</v>
      </c>
      <c r="AN133" s="26">
        <v>155307</v>
      </c>
      <c r="AO133" s="26">
        <v>44814</v>
      </c>
      <c r="AP133" s="26">
        <v>42.3</v>
      </c>
      <c r="AQ133" s="26">
        <v>-0.4</v>
      </c>
      <c r="AR133" s="26">
        <v>41.9</v>
      </c>
      <c r="BL133" s="26">
        <v>181.5</v>
      </c>
      <c r="BM133" s="26">
        <v>177.4666666666667</v>
      </c>
      <c r="BN133" s="26">
        <v>13916</v>
      </c>
      <c r="BO133" s="26">
        <v>11363</v>
      </c>
      <c r="BP133" s="26">
        <v>-1</v>
      </c>
      <c r="BQ133" s="26">
        <v>5020.666666666667</v>
      </c>
      <c r="BR133" s="26">
        <v>13775</v>
      </c>
      <c r="BS133" s="26">
        <v>199770.66666666669</v>
      </c>
    </row>
    <row r="134" spans="1:71">
      <c r="A134" s="55">
        <v>37711</v>
      </c>
      <c r="B134" s="26">
        <v>11183.5</v>
      </c>
      <c r="C134" s="26">
        <v>13634.3</v>
      </c>
      <c r="D134" s="26">
        <v>82.046999999999997</v>
      </c>
      <c r="E134" s="26">
        <v>7555.8</v>
      </c>
      <c r="F134" s="26">
        <v>9215.5</v>
      </c>
      <c r="G134" s="26">
        <v>81.994</v>
      </c>
      <c r="H134" s="26">
        <v>79.075000000000003</v>
      </c>
      <c r="I134" s="26">
        <v>71.646000000000001</v>
      </c>
      <c r="J134" s="26">
        <v>72.248999999999995</v>
      </c>
      <c r="K134" s="26">
        <v>69.186999999999998</v>
      </c>
      <c r="L134" s="26">
        <v>268.89999999999998</v>
      </c>
      <c r="M134" s="26">
        <v>260.7</v>
      </c>
      <c r="N134" s="26">
        <v>51.8</v>
      </c>
      <c r="O134" s="26">
        <v>1294.5999999999999</v>
      </c>
      <c r="P134" s="26">
        <v>58.5</v>
      </c>
      <c r="Q134" s="26">
        <v>1021.3</v>
      </c>
      <c r="R134" s="26">
        <v>788.6</v>
      </c>
      <c r="S134" s="26">
        <v>196.1</v>
      </c>
      <c r="T134" s="26">
        <v>2172.4</v>
      </c>
      <c r="U134" s="26">
        <v>767.1</v>
      </c>
      <c r="V134" s="26">
        <v>81.99</v>
      </c>
      <c r="W134" s="26">
        <v>792.3</v>
      </c>
      <c r="X134" s="26">
        <v>1380</v>
      </c>
      <c r="Y134" s="26">
        <v>1002.2</v>
      </c>
      <c r="Z134" s="26">
        <v>1926.2</v>
      </c>
      <c r="AA134" s="26">
        <v>803.5</v>
      </c>
      <c r="AB134" s="26">
        <v>90.1</v>
      </c>
      <c r="AC134" s="26">
        <v>161.5</v>
      </c>
      <c r="AD134" s="26">
        <v>749.1</v>
      </c>
      <c r="AE134" s="26">
        <v>947.7</v>
      </c>
      <c r="AF134" s="26">
        <v>299.60000000000002</v>
      </c>
      <c r="AG134" s="26">
        <v>217.9</v>
      </c>
      <c r="AH134" s="26">
        <v>698.5</v>
      </c>
      <c r="AI134" s="26">
        <v>34.5</v>
      </c>
      <c r="AJ134" s="26">
        <v>18</v>
      </c>
      <c r="AK134" s="26">
        <v>347</v>
      </c>
      <c r="AL134" s="26">
        <v>1782.4</v>
      </c>
      <c r="AM134" s="26">
        <v>165906</v>
      </c>
      <c r="AN134" s="26">
        <v>154378</v>
      </c>
      <c r="AO134" s="26">
        <v>43171</v>
      </c>
      <c r="AP134" s="26">
        <v>47</v>
      </c>
      <c r="AQ134" s="26">
        <v>0.1</v>
      </c>
      <c r="AR134" s="26">
        <v>47.1</v>
      </c>
      <c r="BL134" s="26">
        <v>183.3666666666667</v>
      </c>
      <c r="BM134" s="26">
        <v>179.4666666666667</v>
      </c>
      <c r="BN134" s="26">
        <v>14002.4</v>
      </c>
      <c r="BO134" s="26">
        <v>11485.5</v>
      </c>
      <c r="BP134" s="26">
        <v>-1</v>
      </c>
      <c r="BQ134" s="26">
        <v>5029.333333333333</v>
      </c>
      <c r="BR134" s="26">
        <v>13801</v>
      </c>
      <c r="BS134" s="26">
        <v>197410.66666666669</v>
      </c>
    </row>
    <row r="135" spans="1:71">
      <c r="A135" s="55">
        <v>37802</v>
      </c>
      <c r="B135" s="26">
        <v>11312.9</v>
      </c>
      <c r="C135" s="26">
        <v>13751.5</v>
      </c>
      <c r="D135" s="26">
        <v>82.287000000000006</v>
      </c>
      <c r="E135" s="26">
        <v>7642.6</v>
      </c>
      <c r="F135" s="26">
        <v>9319</v>
      </c>
      <c r="G135" s="26">
        <v>82.015000000000001</v>
      </c>
      <c r="H135" s="26">
        <v>79.637</v>
      </c>
      <c r="I135" s="26">
        <v>71.683000000000007</v>
      </c>
      <c r="J135" s="26">
        <v>72.278000000000006</v>
      </c>
      <c r="K135" s="26">
        <v>69.259</v>
      </c>
      <c r="L135" s="26">
        <v>273.39999999999998</v>
      </c>
      <c r="M135" s="26">
        <v>260.10000000000002</v>
      </c>
      <c r="N135" s="26">
        <v>55.2</v>
      </c>
      <c r="O135" s="26">
        <v>1312.6</v>
      </c>
      <c r="P135" s="26">
        <v>59.7</v>
      </c>
      <c r="Q135" s="26">
        <v>1020.8</v>
      </c>
      <c r="R135" s="26">
        <v>800</v>
      </c>
      <c r="S135" s="26">
        <v>192.6</v>
      </c>
      <c r="T135" s="26">
        <v>2199.4</v>
      </c>
      <c r="U135" s="26">
        <v>777.8</v>
      </c>
      <c r="V135" s="26">
        <v>82.010999999999996</v>
      </c>
      <c r="W135" s="26">
        <v>825.5</v>
      </c>
      <c r="X135" s="26">
        <v>1374</v>
      </c>
      <c r="Y135" s="26">
        <v>1036.7</v>
      </c>
      <c r="Z135" s="26">
        <v>1916.7</v>
      </c>
      <c r="AA135" s="26">
        <v>812.9</v>
      </c>
      <c r="AB135" s="26">
        <v>90</v>
      </c>
      <c r="AC135" s="26">
        <v>160.9</v>
      </c>
      <c r="AD135" s="26">
        <v>758.6</v>
      </c>
      <c r="AE135" s="26">
        <v>964.3</v>
      </c>
      <c r="AF135" s="26">
        <v>323.3</v>
      </c>
      <c r="AG135" s="26">
        <v>207.9</v>
      </c>
      <c r="AH135" s="26">
        <v>709.9</v>
      </c>
      <c r="AI135" s="26">
        <v>31.7</v>
      </c>
      <c r="AJ135" s="26">
        <v>19.2</v>
      </c>
      <c r="AK135" s="26">
        <v>348.3</v>
      </c>
      <c r="AL135" s="26">
        <v>1784.5</v>
      </c>
      <c r="AM135" s="26">
        <v>171106</v>
      </c>
      <c r="AN135" s="26">
        <v>158020</v>
      </c>
      <c r="AO135" s="26">
        <v>48719</v>
      </c>
      <c r="AP135" s="26">
        <v>56.8</v>
      </c>
      <c r="AQ135" s="26">
        <v>0.3</v>
      </c>
      <c r="AR135" s="26">
        <v>57.1</v>
      </c>
      <c r="BL135" s="26">
        <v>183.06666666666669</v>
      </c>
      <c r="BM135" s="26">
        <v>178.93333333333331</v>
      </c>
      <c r="BN135" s="26">
        <v>14089.7</v>
      </c>
      <c r="BO135" s="26">
        <v>11591.1</v>
      </c>
      <c r="BP135" s="26">
        <v>-1</v>
      </c>
      <c r="BQ135" s="26">
        <v>5007.666666666667</v>
      </c>
      <c r="BR135" s="26">
        <v>13820</v>
      </c>
      <c r="BS135" s="26">
        <v>195858</v>
      </c>
    </row>
    <row r="136" spans="1:71">
      <c r="A136" s="55">
        <v>37894</v>
      </c>
      <c r="B136" s="26">
        <v>11567.3</v>
      </c>
      <c r="C136" s="26">
        <v>13985.1</v>
      </c>
      <c r="D136" s="26">
        <v>82.738</v>
      </c>
      <c r="E136" s="26">
        <v>7802.6</v>
      </c>
      <c r="F136" s="26">
        <v>9455.7000000000007</v>
      </c>
      <c r="G136" s="26">
        <v>82.522000000000006</v>
      </c>
      <c r="H136" s="26">
        <v>80.358999999999995</v>
      </c>
      <c r="I136" s="26">
        <v>72.156000000000006</v>
      </c>
      <c r="J136" s="26">
        <v>72.847999999999999</v>
      </c>
      <c r="K136" s="26">
        <v>69.346999999999994</v>
      </c>
      <c r="L136" s="26">
        <v>279</v>
      </c>
      <c r="M136" s="26">
        <v>271.7</v>
      </c>
      <c r="N136" s="26">
        <v>54.2</v>
      </c>
      <c r="O136" s="26">
        <v>1335.5</v>
      </c>
      <c r="P136" s="26">
        <v>61.1</v>
      </c>
      <c r="Q136" s="26">
        <v>950.7</v>
      </c>
      <c r="R136" s="26">
        <v>813</v>
      </c>
      <c r="S136" s="26">
        <v>213.9</v>
      </c>
      <c r="T136" s="26">
        <v>2221.1999999999998</v>
      </c>
      <c r="U136" s="26">
        <v>787.7</v>
      </c>
      <c r="V136" s="26">
        <v>82.516999999999996</v>
      </c>
      <c r="W136" s="26">
        <v>832.7</v>
      </c>
      <c r="X136" s="26">
        <v>1388.5</v>
      </c>
      <c r="Y136" s="26">
        <v>1036.4000000000001</v>
      </c>
      <c r="Z136" s="26">
        <v>1924.3</v>
      </c>
      <c r="AA136" s="26">
        <v>716.5</v>
      </c>
      <c r="AB136" s="26">
        <v>89.6</v>
      </c>
      <c r="AC136" s="26">
        <v>180.3</v>
      </c>
      <c r="AD136" s="26">
        <v>767.2</v>
      </c>
      <c r="AE136" s="26">
        <v>973.7</v>
      </c>
      <c r="AF136" s="26">
        <v>329.6</v>
      </c>
      <c r="AG136" s="26">
        <v>234.2</v>
      </c>
      <c r="AH136" s="26">
        <v>723.4</v>
      </c>
      <c r="AI136" s="26">
        <v>33.6</v>
      </c>
      <c r="AJ136" s="26">
        <v>20.5</v>
      </c>
      <c r="AK136" s="26">
        <v>361.8</v>
      </c>
      <c r="AL136" s="26">
        <v>1813</v>
      </c>
      <c r="AM136" s="26">
        <v>186792</v>
      </c>
      <c r="AN136" s="26">
        <v>174229</v>
      </c>
      <c r="AO136" s="26">
        <v>46443</v>
      </c>
      <c r="AP136" s="26">
        <v>46.9</v>
      </c>
      <c r="AQ136" s="26">
        <v>-1</v>
      </c>
      <c r="AR136" s="26">
        <v>45.9</v>
      </c>
      <c r="BL136" s="26">
        <v>184.43333333333331</v>
      </c>
      <c r="BM136" s="26">
        <v>180.2</v>
      </c>
      <c r="BN136" s="26">
        <v>14177.4</v>
      </c>
      <c r="BO136" s="26">
        <v>11726.4</v>
      </c>
      <c r="BP136" s="26">
        <v>-1</v>
      </c>
      <c r="BQ136" s="26">
        <v>4978.666666666667</v>
      </c>
      <c r="BR136" s="26">
        <v>13832.33333333333</v>
      </c>
      <c r="BS136" s="26">
        <v>200686</v>
      </c>
    </row>
    <row r="137" spans="1:71">
      <c r="A137" s="55">
        <v>37986</v>
      </c>
      <c r="B137" s="26">
        <v>11769.3</v>
      </c>
      <c r="C137" s="26">
        <v>14145.6</v>
      </c>
      <c r="D137" s="26">
        <v>83.195999999999998</v>
      </c>
      <c r="E137" s="26">
        <v>7891.5</v>
      </c>
      <c r="F137" s="26">
        <v>9519.7999999999993</v>
      </c>
      <c r="G137" s="26">
        <v>82.900999999999996</v>
      </c>
      <c r="H137" s="26">
        <v>80.960999999999999</v>
      </c>
      <c r="I137" s="26">
        <v>72.712999999999994</v>
      </c>
      <c r="J137" s="26">
        <v>73.497</v>
      </c>
      <c r="K137" s="26">
        <v>69.539000000000001</v>
      </c>
      <c r="L137" s="26">
        <v>285.5</v>
      </c>
      <c r="M137" s="26">
        <v>265.7</v>
      </c>
      <c r="N137" s="26">
        <v>51.5</v>
      </c>
      <c r="O137" s="26">
        <v>1341.2</v>
      </c>
      <c r="P137" s="26">
        <v>62.7</v>
      </c>
      <c r="Q137" s="26">
        <v>1021.3</v>
      </c>
      <c r="R137" s="26">
        <v>820.9</v>
      </c>
      <c r="S137" s="26">
        <v>236.6</v>
      </c>
      <c r="T137" s="26">
        <v>2251.8000000000002</v>
      </c>
      <c r="U137" s="26">
        <v>800.1</v>
      </c>
      <c r="V137" s="26">
        <v>82.894999999999996</v>
      </c>
      <c r="W137" s="26">
        <v>854.6</v>
      </c>
      <c r="X137" s="26">
        <v>1397.3</v>
      </c>
      <c r="Y137" s="26">
        <v>1055.7</v>
      </c>
      <c r="Z137" s="26">
        <v>1921.6</v>
      </c>
      <c r="AA137" s="26">
        <v>781.6</v>
      </c>
      <c r="AB137" s="26">
        <v>91.1</v>
      </c>
      <c r="AC137" s="26">
        <v>200.4</v>
      </c>
      <c r="AD137" s="26">
        <v>778.2</v>
      </c>
      <c r="AE137" s="26">
        <v>984.3</v>
      </c>
      <c r="AF137" s="26">
        <v>334.3</v>
      </c>
      <c r="AG137" s="26">
        <v>239.7</v>
      </c>
      <c r="AH137" s="26">
        <v>729.8</v>
      </c>
      <c r="AI137" s="26">
        <v>36.200000000000003</v>
      </c>
      <c r="AJ137" s="26">
        <v>22</v>
      </c>
      <c r="AK137" s="26">
        <v>357</v>
      </c>
      <c r="AL137" s="26">
        <v>1815.8</v>
      </c>
      <c r="AM137" s="26">
        <v>182543</v>
      </c>
      <c r="AN137" s="26">
        <v>170506</v>
      </c>
      <c r="AO137" s="26">
        <v>45507</v>
      </c>
      <c r="AP137" s="26">
        <v>45.1</v>
      </c>
      <c r="AQ137" s="26">
        <v>0.9</v>
      </c>
      <c r="AR137" s="26">
        <v>46</v>
      </c>
      <c r="BL137" s="26">
        <v>185.1333333333333</v>
      </c>
      <c r="BM137" s="26">
        <v>180.73333333333341</v>
      </c>
      <c r="BN137" s="26">
        <v>14266.5</v>
      </c>
      <c r="BO137" s="26">
        <v>11869.8</v>
      </c>
      <c r="BP137" s="26">
        <v>-1</v>
      </c>
      <c r="BQ137" s="26">
        <v>4985.333333333333</v>
      </c>
      <c r="BR137" s="26">
        <v>13824.33333333333</v>
      </c>
      <c r="BS137" s="26">
        <v>199340</v>
      </c>
    </row>
    <row r="138" spans="1:71">
      <c r="A138" s="55">
        <v>38077</v>
      </c>
      <c r="B138" s="26">
        <v>11920.2</v>
      </c>
      <c r="C138" s="26">
        <v>14221.1</v>
      </c>
      <c r="D138" s="26">
        <v>83.823999999999998</v>
      </c>
      <c r="E138" s="26">
        <v>8027.7</v>
      </c>
      <c r="F138" s="26">
        <v>9604.5</v>
      </c>
      <c r="G138" s="26">
        <v>83.588999999999999</v>
      </c>
      <c r="H138" s="26">
        <v>81.650000000000006</v>
      </c>
      <c r="I138" s="26">
        <v>73.644000000000005</v>
      </c>
      <c r="J138" s="26">
        <v>74.548000000000002</v>
      </c>
      <c r="K138" s="26">
        <v>69.992000000000004</v>
      </c>
      <c r="L138" s="26">
        <v>293</v>
      </c>
      <c r="M138" s="26">
        <v>283.39999999999998</v>
      </c>
      <c r="N138" s="26">
        <v>42.3</v>
      </c>
      <c r="O138" s="26">
        <v>1379.6</v>
      </c>
      <c r="P138" s="26">
        <v>64.8</v>
      </c>
      <c r="Q138" s="26">
        <v>1012.3</v>
      </c>
      <c r="R138" s="26">
        <v>847.3</v>
      </c>
      <c r="S138" s="26">
        <v>247</v>
      </c>
      <c r="T138" s="26">
        <v>2287.3000000000002</v>
      </c>
      <c r="U138" s="26">
        <v>813.4</v>
      </c>
      <c r="V138" s="26">
        <v>83.582999999999998</v>
      </c>
      <c r="W138" s="26">
        <v>871.3</v>
      </c>
      <c r="X138" s="26">
        <v>1416</v>
      </c>
      <c r="Y138" s="26">
        <v>1067.2</v>
      </c>
      <c r="Z138" s="26">
        <v>1922.7</v>
      </c>
      <c r="AA138" s="26">
        <v>773.2</v>
      </c>
      <c r="AB138" s="26">
        <v>94.1</v>
      </c>
      <c r="AC138" s="26">
        <v>209.2</v>
      </c>
      <c r="AD138" s="26">
        <v>790</v>
      </c>
      <c r="AE138" s="26">
        <v>1003.6</v>
      </c>
      <c r="AF138" s="26">
        <v>328</v>
      </c>
      <c r="AG138" s="26">
        <v>239</v>
      </c>
      <c r="AH138" s="26">
        <v>753.2</v>
      </c>
      <c r="AI138" s="26">
        <v>37.799999999999997</v>
      </c>
      <c r="AJ138" s="26">
        <v>23.4</v>
      </c>
      <c r="AK138" s="26">
        <v>376</v>
      </c>
      <c r="AL138" s="26">
        <v>1844.8</v>
      </c>
      <c r="AM138" s="26">
        <v>190070</v>
      </c>
      <c r="AN138" s="26">
        <v>177772</v>
      </c>
      <c r="AO138" s="26">
        <v>47601</v>
      </c>
      <c r="AP138" s="26">
        <v>43.9</v>
      </c>
      <c r="AQ138" s="26">
        <v>0.4</v>
      </c>
      <c r="AR138" s="26">
        <v>44.2</v>
      </c>
      <c r="BL138" s="26">
        <v>186.7</v>
      </c>
      <c r="BM138" s="26">
        <v>182.33333333333329</v>
      </c>
      <c r="BN138" s="26">
        <v>14357.5</v>
      </c>
      <c r="BO138" s="26">
        <v>12034.5</v>
      </c>
      <c r="BP138" s="26">
        <v>-1</v>
      </c>
      <c r="BQ138" s="26">
        <v>4968.333333333333</v>
      </c>
      <c r="BR138" s="26">
        <v>13859</v>
      </c>
      <c r="BS138" s="26">
        <v>197322.33333333331</v>
      </c>
    </row>
    <row r="139" spans="1:71">
      <c r="A139" s="55">
        <v>38168</v>
      </c>
      <c r="B139" s="26">
        <v>12109</v>
      </c>
      <c r="C139" s="26">
        <v>14329.5</v>
      </c>
      <c r="D139" s="26">
        <v>84.515000000000001</v>
      </c>
      <c r="E139" s="26">
        <v>8133</v>
      </c>
      <c r="F139" s="26">
        <v>9664.2999999999993</v>
      </c>
      <c r="G139" s="26">
        <v>84.162000000000006</v>
      </c>
      <c r="H139" s="26">
        <v>82.358000000000004</v>
      </c>
      <c r="I139" s="26">
        <v>74.698999999999998</v>
      </c>
      <c r="J139" s="26">
        <v>75.543000000000006</v>
      </c>
      <c r="K139" s="26">
        <v>71.278000000000006</v>
      </c>
      <c r="L139" s="26">
        <v>300.39999999999998</v>
      </c>
      <c r="M139" s="26">
        <v>293</v>
      </c>
      <c r="N139" s="26">
        <v>35.9</v>
      </c>
      <c r="O139" s="26">
        <v>1400.6</v>
      </c>
      <c r="P139" s="26">
        <v>66.400000000000006</v>
      </c>
      <c r="Q139" s="26">
        <v>1026.8</v>
      </c>
      <c r="R139" s="26">
        <v>859.9</v>
      </c>
      <c r="S139" s="26">
        <v>266.8</v>
      </c>
      <c r="T139" s="26">
        <v>2321.4</v>
      </c>
      <c r="U139" s="26">
        <v>828</v>
      </c>
      <c r="V139" s="26">
        <v>84.155000000000001</v>
      </c>
      <c r="W139" s="26">
        <v>884.2</v>
      </c>
      <c r="X139" s="26">
        <v>1437.2</v>
      </c>
      <c r="Y139" s="26">
        <v>1073.5999999999999</v>
      </c>
      <c r="Z139" s="26">
        <v>1924</v>
      </c>
      <c r="AA139" s="26">
        <v>792.4</v>
      </c>
      <c r="AB139" s="26">
        <v>94.8</v>
      </c>
      <c r="AC139" s="26">
        <v>226</v>
      </c>
      <c r="AD139" s="26">
        <v>803.5</v>
      </c>
      <c r="AE139" s="26">
        <v>1013.5</v>
      </c>
      <c r="AF139" s="26">
        <v>332.8</v>
      </c>
      <c r="AG139" s="26">
        <v>234.3</v>
      </c>
      <c r="AH139" s="26">
        <v>765.1</v>
      </c>
      <c r="AI139" s="26">
        <v>40.799999999999997</v>
      </c>
      <c r="AJ139" s="26">
        <v>24.5</v>
      </c>
      <c r="AK139" s="26">
        <v>387.1</v>
      </c>
      <c r="AL139" s="26">
        <v>1869.3</v>
      </c>
      <c r="AM139" s="26">
        <v>194963</v>
      </c>
      <c r="AN139" s="26">
        <v>182692</v>
      </c>
      <c r="AO139" s="26">
        <v>44213</v>
      </c>
      <c r="AP139" s="26">
        <v>43.3</v>
      </c>
      <c r="AQ139" s="26">
        <v>0.4</v>
      </c>
      <c r="AR139" s="26">
        <v>43.7</v>
      </c>
      <c r="BL139" s="26">
        <v>188.16666666666671</v>
      </c>
      <c r="BM139" s="26">
        <v>183.66666666666671</v>
      </c>
      <c r="BN139" s="26">
        <v>14450.4</v>
      </c>
      <c r="BO139" s="26">
        <v>12211.2</v>
      </c>
      <c r="BP139" s="26">
        <v>-1</v>
      </c>
      <c r="BQ139" s="26">
        <v>4974</v>
      </c>
      <c r="BR139" s="26">
        <v>13898</v>
      </c>
      <c r="BS139" s="26">
        <v>202356.33333333331</v>
      </c>
    </row>
    <row r="140" spans="1:71">
      <c r="A140" s="55">
        <v>38260</v>
      </c>
      <c r="B140" s="26">
        <v>12303.3</v>
      </c>
      <c r="C140" s="26">
        <v>14465</v>
      </c>
      <c r="D140" s="26">
        <v>85.06</v>
      </c>
      <c r="E140" s="26">
        <v>8264.2999999999993</v>
      </c>
      <c r="F140" s="26">
        <v>9771.1</v>
      </c>
      <c r="G140" s="26">
        <v>84.585999999999999</v>
      </c>
      <c r="H140" s="26">
        <v>83.111999999999995</v>
      </c>
      <c r="I140" s="26">
        <v>75.912999999999997</v>
      </c>
      <c r="J140" s="26">
        <v>76.58</v>
      </c>
      <c r="K140" s="26">
        <v>73.197000000000003</v>
      </c>
      <c r="L140" s="26">
        <v>308.60000000000002</v>
      </c>
      <c r="M140" s="26">
        <v>288.3</v>
      </c>
      <c r="N140" s="26">
        <v>34.700000000000003</v>
      </c>
      <c r="O140" s="26">
        <v>1409.8</v>
      </c>
      <c r="P140" s="26">
        <v>67.7</v>
      </c>
      <c r="Q140" s="26">
        <v>1064.4000000000001</v>
      </c>
      <c r="R140" s="26">
        <v>871.3</v>
      </c>
      <c r="S140" s="26">
        <v>288.3</v>
      </c>
      <c r="T140" s="26">
        <v>2357.1999999999998</v>
      </c>
      <c r="U140" s="26">
        <v>843.7</v>
      </c>
      <c r="V140" s="26">
        <v>84.578999999999994</v>
      </c>
      <c r="W140" s="26">
        <v>902.2</v>
      </c>
      <c r="X140" s="26">
        <v>1455</v>
      </c>
      <c r="Y140" s="26">
        <v>1085.5</v>
      </c>
      <c r="Z140" s="26">
        <v>1916.6</v>
      </c>
      <c r="AA140" s="26">
        <v>816.7</v>
      </c>
      <c r="AB140" s="26">
        <v>95.9</v>
      </c>
      <c r="AC140" s="26">
        <v>244.5</v>
      </c>
      <c r="AD140" s="26">
        <v>818.4</v>
      </c>
      <c r="AE140" s="26">
        <v>1024.0999999999999</v>
      </c>
      <c r="AF140" s="26">
        <v>328.4</v>
      </c>
      <c r="AG140" s="26">
        <v>247.7</v>
      </c>
      <c r="AH140" s="26">
        <v>775.4</v>
      </c>
      <c r="AI140" s="26">
        <v>43.9</v>
      </c>
      <c r="AJ140" s="26">
        <v>25.2</v>
      </c>
      <c r="AK140" s="26">
        <v>385.7</v>
      </c>
      <c r="AL140" s="26">
        <v>1896.4</v>
      </c>
      <c r="AM140" s="26">
        <v>186476</v>
      </c>
      <c r="AN140" s="26">
        <v>173330</v>
      </c>
      <c r="AO140" s="26">
        <v>50413</v>
      </c>
      <c r="AP140" s="26">
        <v>45</v>
      </c>
      <c r="AQ140" s="26">
        <v>0.4</v>
      </c>
      <c r="AR140" s="26">
        <v>45.4</v>
      </c>
      <c r="BL140" s="26">
        <v>189.3666666666667</v>
      </c>
      <c r="BM140" s="26">
        <v>184.8666666666667</v>
      </c>
      <c r="BN140" s="26">
        <v>14545.5</v>
      </c>
      <c r="BO140" s="26">
        <v>12371.8</v>
      </c>
      <c r="BP140" s="26">
        <v>-1</v>
      </c>
      <c r="BQ140" s="26">
        <v>4984</v>
      </c>
      <c r="BR140" s="26">
        <v>13909.33333333333</v>
      </c>
      <c r="BS140" s="26">
        <v>202328</v>
      </c>
    </row>
    <row r="141" spans="1:71">
      <c r="A141" s="55">
        <v>38352</v>
      </c>
      <c r="B141" s="26">
        <v>12522.4</v>
      </c>
      <c r="C141" s="26">
        <v>14609.9</v>
      </c>
      <c r="D141" s="26">
        <v>85.713999999999999</v>
      </c>
      <c r="E141" s="26">
        <v>8425.6</v>
      </c>
      <c r="F141" s="26">
        <v>9877.4</v>
      </c>
      <c r="G141" s="26">
        <v>85.308999999999997</v>
      </c>
      <c r="H141" s="26">
        <v>83.92</v>
      </c>
      <c r="I141" s="26">
        <v>77.22</v>
      </c>
      <c r="J141" s="26">
        <v>77.775999999999996</v>
      </c>
      <c r="K141" s="26">
        <v>74.954999999999998</v>
      </c>
      <c r="L141" s="26">
        <v>315.39999999999998</v>
      </c>
      <c r="M141" s="26">
        <v>294.5</v>
      </c>
      <c r="N141" s="26">
        <v>32.9</v>
      </c>
      <c r="O141" s="26">
        <v>1427.9</v>
      </c>
      <c r="P141" s="26">
        <v>68.7</v>
      </c>
      <c r="Q141" s="26">
        <v>1091.5999999999999</v>
      </c>
      <c r="R141" s="26">
        <v>893.8</v>
      </c>
      <c r="S141" s="26">
        <v>293.60000000000002</v>
      </c>
      <c r="T141" s="26">
        <v>2389.6999999999998</v>
      </c>
      <c r="U141" s="26">
        <v>849.5</v>
      </c>
      <c r="V141" s="26">
        <v>85.301000000000002</v>
      </c>
      <c r="W141" s="26">
        <v>909.3</v>
      </c>
      <c r="X141" s="26">
        <v>1480.3</v>
      </c>
      <c r="Y141" s="26">
        <v>1083.5999999999999</v>
      </c>
      <c r="Z141" s="26">
        <v>1917</v>
      </c>
      <c r="AA141" s="26">
        <v>829.8</v>
      </c>
      <c r="AB141" s="26">
        <v>96.2</v>
      </c>
      <c r="AC141" s="26">
        <v>249.2</v>
      </c>
      <c r="AD141" s="26">
        <v>824</v>
      </c>
      <c r="AE141" s="26">
        <v>1036.9000000000001</v>
      </c>
      <c r="AF141" s="26">
        <v>340</v>
      </c>
      <c r="AG141" s="26">
        <v>261.8</v>
      </c>
      <c r="AH141" s="26">
        <v>797.6</v>
      </c>
      <c r="AI141" s="26">
        <v>44.3</v>
      </c>
      <c r="AJ141" s="26">
        <v>25.5</v>
      </c>
      <c r="AK141" s="26">
        <v>391</v>
      </c>
      <c r="AL141" s="26">
        <v>1904.1</v>
      </c>
      <c r="AM141" s="26">
        <v>191752</v>
      </c>
      <c r="AN141" s="26">
        <v>177282</v>
      </c>
      <c r="AO141" s="26">
        <v>44947</v>
      </c>
      <c r="AP141" s="26">
        <v>51.9</v>
      </c>
      <c r="AQ141" s="26">
        <v>0.4</v>
      </c>
      <c r="AR141" s="26">
        <v>52.3</v>
      </c>
      <c r="BL141" s="26">
        <v>191.4</v>
      </c>
      <c r="BM141" s="26">
        <v>187.06666666666669</v>
      </c>
      <c r="BN141" s="26">
        <v>14642.1</v>
      </c>
      <c r="BO141" s="26">
        <v>12550</v>
      </c>
      <c r="BP141" s="26">
        <v>-1</v>
      </c>
      <c r="BQ141" s="26">
        <v>4995.333333333333</v>
      </c>
      <c r="BR141" s="26">
        <v>13958.66666666667</v>
      </c>
      <c r="BS141" s="26">
        <v>204931</v>
      </c>
    </row>
    <row r="142" spans="1:71">
      <c r="A142" s="55">
        <v>38442</v>
      </c>
      <c r="B142" s="26">
        <v>12761.3</v>
      </c>
      <c r="C142" s="26">
        <v>14771.6</v>
      </c>
      <c r="D142" s="26">
        <v>86.367999999999995</v>
      </c>
      <c r="E142" s="26">
        <v>8523</v>
      </c>
      <c r="F142" s="26">
        <v>9935</v>
      </c>
      <c r="G142" s="26">
        <v>85.795000000000002</v>
      </c>
      <c r="H142" s="26">
        <v>85.025999999999996</v>
      </c>
      <c r="I142" s="26">
        <v>77.909000000000006</v>
      </c>
      <c r="J142" s="26">
        <v>78.478999999999999</v>
      </c>
      <c r="K142" s="26">
        <v>75.587999999999994</v>
      </c>
      <c r="L142" s="26">
        <v>323.2</v>
      </c>
      <c r="M142" s="26">
        <v>301.3</v>
      </c>
      <c r="N142" s="26">
        <v>32.1</v>
      </c>
      <c r="O142" s="26">
        <v>1464.4</v>
      </c>
      <c r="P142" s="26">
        <v>70.3</v>
      </c>
      <c r="Q142" s="26">
        <v>1172.3</v>
      </c>
      <c r="R142" s="26">
        <v>915.1</v>
      </c>
      <c r="S142" s="26">
        <v>370.6</v>
      </c>
      <c r="T142" s="26">
        <v>2426.9</v>
      </c>
      <c r="U142" s="26">
        <v>862.7</v>
      </c>
      <c r="V142" s="26">
        <v>85.787000000000006</v>
      </c>
      <c r="W142" s="26">
        <v>931.5</v>
      </c>
      <c r="X142" s="26">
        <v>1495.4</v>
      </c>
      <c r="Y142" s="26">
        <v>1095.7</v>
      </c>
      <c r="Z142" s="26">
        <v>1919.3</v>
      </c>
      <c r="AA142" s="26">
        <v>902.9</v>
      </c>
      <c r="AB142" s="26">
        <v>97.2</v>
      </c>
      <c r="AC142" s="26">
        <v>315.3</v>
      </c>
      <c r="AD142" s="26">
        <v>837.4</v>
      </c>
      <c r="AE142" s="26">
        <v>1065.3</v>
      </c>
      <c r="AF142" s="26">
        <v>341.6</v>
      </c>
      <c r="AG142" s="26">
        <v>269.39999999999998</v>
      </c>
      <c r="AH142" s="26">
        <v>817.9</v>
      </c>
      <c r="AI142" s="26">
        <v>55.3</v>
      </c>
      <c r="AJ142" s="26">
        <v>25.3</v>
      </c>
      <c r="AK142" s="26">
        <v>399.1</v>
      </c>
      <c r="AL142" s="26">
        <v>1926.1</v>
      </c>
      <c r="AM142" s="26">
        <v>199036</v>
      </c>
      <c r="AN142" s="26">
        <v>183908</v>
      </c>
      <c r="AO142" s="26">
        <v>49943</v>
      </c>
      <c r="AP142" s="26">
        <v>56.4</v>
      </c>
      <c r="AQ142" s="26">
        <v>0.4</v>
      </c>
      <c r="AR142" s="26">
        <v>56.7</v>
      </c>
      <c r="BL142" s="26">
        <v>192.3666666666667</v>
      </c>
      <c r="BM142" s="26">
        <v>187.93333333333331</v>
      </c>
      <c r="BN142" s="26">
        <v>14737.1</v>
      </c>
      <c r="BO142" s="26">
        <v>12731.5</v>
      </c>
      <c r="BP142" s="26">
        <v>-1</v>
      </c>
      <c r="BQ142" s="26">
        <v>5015.666666666667</v>
      </c>
      <c r="BR142" s="26">
        <v>13994.66666666667</v>
      </c>
      <c r="BS142" s="26">
        <v>207202</v>
      </c>
    </row>
    <row r="143" spans="1:71">
      <c r="A143" s="55">
        <v>38533</v>
      </c>
      <c r="B143" s="26">
        <v>12910</v>
      </c>
      <c r="C143" s="26">
        <v>14839.8</v>
      </c>
      <c r="D143" s="26">
        <v>86.977000000000004</v>
      </c>
      <c r="E143" s="26">
        <v>8671.4</v>
      </c>
      <c r="F143" s="26">
        <v>10047.799999999999</v>
      </c>
      <c r="G143" s="26">
        <v>86.31</v>
      </c>
      <c r="H143" s="26">
        <v>85.793000000000006</v>
      </c>
      <c r="I143" s="26">
        <v>78.900000000000006</v>
      </c>
      <c r="J143" s="26">
        <v>79.364000000000004</v>
      </c>
      <c r="K143" s="26">
        <v>77.010000000000005</v>
      </c>
      <c r="L143" s="26">
        <v>329.2</v>
      </c>
      <c r="M143" s="26">
        <v>310.8</v>
      </c>
      <c r="N143" s="26">
        <v>30.9</v>
      </c>
      <c r="O143" s="26">
        <v>1486</v>
      </c>
      <c r="P143" s="26">
        <v>71.2</v>
      </c>
      <c r="Q143" s="26">
        <v>1196.3</v>
      </c>
      <c r="R143" s="26">
        <v>937.3</v>
      </c>
      <c r="S143" s="26">
        <v>359</v>
      </c>
      <c r="T143" s="26">
        <v>2452.9</v>
      </c>
      <c r="U143" s="26">
        <v>871</v>
      </c>
      <c r="V143" s="26">
        <v>86.302000000000007</v>
      </c>
      <c r="W143" s="26">
        <v>939</v>
      </c>
      <c r="X143" s="26">
        <v>1513.9</v>
      </c>
      <c r="Y143" s="26">
        <v>1094.5</v>
      </c>
      <c r="Z143" s="26">
        <v>1918.8</v>
      </c>
      <c r="AA143" s="26">
        <v>925.8</v>
      </c>
      <c r="AB143" s="26">
        <v>101.4</v>
      </c>
      <c r="AC143" s="26">
        <v>306.10000000000002</v>
      </c>
      <c r="AD143" s="26">
        <v>846</v>
      </c>
      <c r="AE143" s="26">
        <v>1076</v>
      </c>
      <c r="AF143" s="26">
        <v>344.8</v>
      </c>
      <c r="AG143" s="26">
        <v>270.39999999999998</v>
      </c>
      <c r="AH143" s="26">
        <v>835.9</v>
      </c>
      <c r="AI143" s="26">
        <v>53</v>
      </c>
      <c r="AJ143" s="26">
        <v>25</v>
      </c>
      <c r="AK143" s="26">
        <v>410</v>
      </c>
      <c r="AL143" s="26">
        <v>1953.8</v>
      </c>
      <c r="AM143" s="26">
        <v>200246</v>
      </c>
      <c r="AN143" s="26">
        <v>185818</v>
      </c>
      <c r="AO143" s="26">
        <v>51172</v>
      </c>
      <c r="AP143" s="26">
        <v>60.3</v>
      </c>
      <c r="AQ143" s="26">
        <v>0.4</v>
      </c>
      <c r="AR143" s="26">
        <v>60.7</v>
      </c>
      <c r="BL143" s="26">
        <v>193.66666666666671</v>
      </c>
      <c r="BM143" s="26">
        <v>189.23333333333341</v>
      </c>
      <c r="BN143" s="26">
        <v>14829.4</v>
      </c>
      <c r="BO143" s="26">
        <v>12901</v>
      </c>
      <c r="BP143" s="26">
        <v>-1</v>
      </c>
      <c r="BQ143" s="26">
        <v>5023.333333333333</v>
      </c>
      <c r="BR143" s="26">
        <v>14012</v>
      </c>
      <c r="BS143" s="26">
        <v>215946</v>
      </c>
    </row>
    <row r="144" spans="1:71">
      <c r="A144" s="55">
        <v>38625</v>
      </c>
      <c r="B144" s="26">
        <v>13142.9</v>
      </c>
      <c r="C144" s="26">
        <v>14972.1</v>
      </c>
      <c r="D144" s="26">
        <v>87.793999999999997</v>
      </c>
      <c r="E144" s="26">
        <v>8849.2000000000007</v>
      </c>
      <c r="F144" s="26">
        <v>10145.299999999999</v>
      </c>
      <c r="G144" s="26">
        <v>87.231999999999999</v>
      </c>
      <c r="H144" s="26">
        <v>86.688000000000002</v>
      </c>
      <c r="I144" s="26">
        <v>80.16</v>
      </c>
      <c r="J144" s="26">
        <v>80.515000000000001</v>
      </c>
      <c r="K144" s="26">
        <v>78.724999999999994</v>
      </c>
      <c r="L144" s="26">
        <v>335.1</v>
      </c>
      <c r="M144" s="26">
        <v>300.10000000000002</v>
      </c>
      <c r="N144" s="26">
        <v>31.6</v>
      </c>
      <c r="O144" s="26">
        <v>1501</v>
      </c>
      <c r="P144" s="26">
        <v>72.099999999999994</v>
      </c>
      <c r="Q144" s="26">
        <v>1225.5</v>
      </c>
      <c r="R144" s="26">
        <v>952.1</v>
      </c>
      <c r="S144" s="26">
        <v>365.2</v>
      </c>
      <c r="T144" s="26">
        <v>2495.1</v>
      </c>
      <c r="U144" s="26">
        <v>884.2</v>
      </c>
      <c r="V144" s="26">
        <v>87.224999999999994</v>
      </c>
      <c r="W144" s="26">
        <v>956.1</v>
      </c>
      <c r="X144" s="26">
        <v>1539</v>
      </c>
      <c r="Y144" s="26">
        <v>1102.9000000000001</v>
      </c>
      <c r="Z144" s="26">
        <v>1920</v>
      </c>
      <c r="AA144" s="26">
        <v>949.5</v>
      </c>
      <c r="AB144" s="26">
        <v>100.3</v>
      </c>
      <c r="AC144" s="26">
        <v>311.89999999999998</v>
      </c>
      <c r="AD144" s="26">
        <v>859.8</v>
      </c>
      <c r="AE144" s="26">
        <v>1091.8</v>
      </c>
      <c r="AF144" s="26">
        <v>342.5</v>
      </c>
      <c r="AG144" s="26">
        <v>276</v>
      </c>
      <c r="AH144" s="26">
        <v>851.8</v>
      </c>
      <c r="AI144" s="26">
        <v>53.3</v>
      </c>
      <c r="AJ144" s="26">
        <v>24.4</v>
      </c>
      <c r="AK144" s="26">
        <v>409.1</v>
      </c>
      <c r="AL144" s="26">
        <v>1979</v>
      </c>
      <c r="AM144" s="26">
        <v>195231</v>
      </c>
      <c r="AN144" s="26">
        <v>179683</v>
      </c>
      <c r="AO144" s="26">
        <v>47383</v>
      </c>
      <c r="AP144" s="26">
        <v>61.6</v>
      </c>
      <c r="AQ144" s="26">
        <v>0.4</v>
      </c>
      <c r="AR144" s="26">
        <v>62</v>
      </c>
      <c r="BL144" s="26">
        <v>196.6</v>
      </c>
      <c r="BM144" s="26">
        <v>192.56666666666669</v>
      </c>
      <c r="BN144" s="26">
        <v>14920.2</v>
      </c>
      <c r="BO144" s="26">
        <v>13097.4</v>
      </c>
      <c r="BP144" s="26">
        <v>-1</v>
      </c>
      <c r="BQ144" s="26">
        <v>5039.333333333333</v>
      </c>
      <c r="BR144" s="26">
        <v>14085.33333333333</v>
      </c>
      <c r="BS144" s="26">
        <v>219407.66666666669</v>
      </c>
    </row>
    <row r="145" spans="1:71">
      <c r="A145" s="55">
        <v>38717</v>
      </c>
      <c r="B145" s="26">
        <v>13332.3</v>
      </c>
      <c r="C145" s="26">
        <v>15066.6</v>
      </c>
      <c r="D145" s="26">
        <v>88.489000000000004</v>
      </c>
      <c r="E145" s="26">
        <v>8944.9</v>
      </c>
      <c r="F145" s="26">
        <v>10175.4</v>
      </c>
      <c r="G145" s="26">
        <v>87.912999999999997</v>
      </c>
      <c r="H145" s="26">
        <v>87.31</v>
      </c>
      <c r="I145" s="26">
        <v>81.466999999999999</v>
      </c>
      <c r="J145" s="26">
        <v>81.873000000000005</v>
      </c>
      <c r="K145" s="26">
        <v>79.822999999999993</v>
      </c>
      <c r="L145" s="26">
        <v>341</v>
      </c>
      <c r="M145" s="26">
        <v>305.39999999999998</v>
      </c>
      <c r="N145" s="26">
        <v>32.5</v>
      </c>
      <c r="O145" s="26">
        <v>1512.3</v>
      </c>
      <c r="P145" s="26">
        <v>73</v>
      </c>
      <c r="Q145" s="26">
        <v>1255.8</v>
      </c>
      <c r="R145" s="26">
        <v>965.3</v>
      </c>
      <c r="S145" s="26">
        <v>402.9</v>
      </c>
      <c r="T145" s="26">
        <v>2529.1</v>
      </c>
      <c r="U145" s="26">
        <v>894.1</v>
      </c>
      <c r="V145" s="26">
        <v>87.906999999999996</v>
      </c>
      <c r="W145" s="26">
        <v>963.3</v>
      </c>
      <c r="X145" s="26">
        <v>1565.8</v>
      </c>
      <c r="Y145" s="26">
        <v>1103.3</v>
      </c>
      <c r="Z145" s="26">
        <v>1922.1</v>
      </c>
      <c r="AA145" s="26">
        <v>970.6</v>
      </c>
      <c r="AB145" s="26">
        <v>98.7</v>
      </c>
      <c r="AC145" s="26">
        <v>344.7</v>
      </c>
      <c r="AD145" s="26">
        <v>870.4</v>
      </c>
      <c r="AE145" s="26">
        <v>1104.4000000000001</v>
      </c>
      <c r="AF145" s="26">
        <v>345.1</v>
      </c>
      <c r="AG145" s="26">
        <v>285.2</v>
      </c>
      <c r="AH145" s="26">
        <v>866.6</v>
      </c>
      <c r="AI145" s="26">
        <v>58.2</v>
      </c>
      <c r="AJ145" s="26">
        <v>23.7</v>
      </c>
      <c r="AK145" s="26">
        <v>407.9</v>
      </c>
      <c r="AL145" s="26">
        <v>2025.5</v>
      </c>
      <c r="AM145" s="26">
        <v>197352</v>
      </c>
      <c r="AN145" s="26">
        <v>182944</v>
      </c>
      <c r="AO145" s="26">
        <v>49225</v>
      </c>
      <c r="AP145" s="26">
        <v>63.9</v>
      </c>
      <c r="AQ145" s="26">
        <v>0.4</v>
      </c>
      <c r="AR145" s="26">
        <v>64.2</v>
      </c>
      <c r="BL145" s="26">
        <v>198.43333333333331</v>
      </c>
      <c r="BM145" s="26">
        <v>194.2</v>
      </c>
      <c r="BN145" s="26">
        <v>15008.9</v>
      </c>
      <c r="BO145" s="26">
        <v>13281.3</v>
      </c>
      <c r="BP145" s="26">
        <v>-1</v>
      </c>
      <c r="BQ145" s="26">
        <v>5047.666666666667</v>
      </c>
      <c r="BR145" s="26">
        <v>14072.33333333333</v>
      </c>
      <c r="BS145" s="26">
        <v>222763.66666666669</v>
      </c>
    </row>
    <row r="146" spans="1:71">
      <c r="A146" s="55">
        <v>38807</v>
      </c>
      <c r="B146" s="26">
        <v>13603.9</v>
      </c>
      <c r="C146" s="26">
        <v>15267</v>
      </c>
      <c r="D146" s="26">
        <v>89.100999999999999</v>
      </c>
      <c r="E146" s="26">
        <v>9090.7000000000007</v>
      </c>
      <c r="F146" s="26">
        <v>10288.9</v>
      </c>
      <c r="G146" s="26">
        <v>88.358999999999995</v>
      </c>
      <c r="H146" s="26">
        <v>88.045000000000002</v>
      </c>
      <c r="I146" s="26">
        <v>82.046000000000006</v>
      </c>
      <c r="J146" s="26">
        <v>82.474000000000004</v>
      </c>
      <c r="K146" s="26">
        <v>80.319000000000003</v>
      </c>
      <c r="L146" s="26">
        <v>389.6</v>
      </c>
      <c r="M146" s="26">
        <v>291.3</v>
      </c>
      <c r="N146" s="26">
        <v>30.3</v>
      </c>
      <c r="O146" s="26">
        <v>1566.7</v>
      </c>
      <c r="P146" s="26">
        <v>74.400000000000006</v>
      </c>
      <c r="Q146" s="26">
        <v>1320.5</v>
      </c>
      <c r="R146" s="26">
        <v>981.8</v>
      </c>
      <c r="S146" s="26">
        <v>416.9</v>
      </c>
      <c r="T146" s="26">
        <v>2580.6999999999998</v>
      </c>
      <c r="U146" s="26">
        <v>917.9</v>
      </c>
      <c r="V146" s="26">
        <v>88.353999999999999</v>
      </c>
      <c r="W146" s="26">
        <v>996.6</v>
      </c>
      <c r="X146" s="26">
        <v>1584.1</v>
      </c>
      <c r="Y146" s="26">
        <v>1131.9000000000001</v>
      </c>
      <c r="Z146" s="26">
        <v>1930.8</v>
      </c>
      <c r="AA146" s="26">
        <v>1025.5</v>
      </c>
      <c r="AB146" s="26">
        <v>99.1</v>
      </c>
      <c r="AC146" s="26">
        <v>357.2</v>
      </c>
      <c r="AD146" s="26">
        <v>895.1</v>
      </c>
      <c r="AE146" s="26">
        <v>1172.7</v>
      </c>
      <c r="AF146" s="26">
        <v>340</v>
      </c>
      <c r="AG146" s="26">
        <v>294.89999999999998</v>
      </c>
      <c r="AH146" s="26">
        <v>882.7</v>
      </c>
      <c r="AI146" s="26">
        <v>59.6</v>
      </c>
      <c r="AJ146" s="26">
        <v>22.8</v>
      </c>
      <c r="AK146" s="26">
        <v>394</v>
      </c>
      <c r="AL146" s="26">
        <v>2009.1</v>
      </c>
      <c r="AM146" s="26">
        <v>191747</v>
      </c>
      <c r="AN146" s="26">
        <v>175956</v>
      </c>
      <c r="AO146" s="26">
        <v>53557</v>
      </c>
      <c r="AP146" s="26">
        <v>55.4</v>
      </c>
      <c r="AQ146" s="26">
        <v>0.4</v>
      </c>
      <c r="AR146" s="26">
        <v>55.7</v>
      </c>
      <c r="BL146" s="26">
        <v>199.4666666666667</v>
      </c>
      <c r="BM146" s="26">
        <v>195.13333333333341</v>
      </c>
      <c r="BN146" s="26">
        <v>15095.2</v>
      </c>
      <c r="BO146" s="26">
        <v>13450.8</v>
      </c>
      <c r="BP146" s="26">
        <v>-1</v>
      </c>
      <c r="BQ146" s="26">
        <v>5047</v>
      </c>
      <c r="BR146" s="26">
        <v>14098</v>
      </c>
      <c r="BS146" s="26">
        <v>230117.66666666669</v>
      </c>
    </row>
    <row r="147" spans="1:71">
      <c r="A147" s="55">
        <v>38898</v>
      </c>
      <c r="B147" s="26">
        <v>13749.8</v>
      </c>
      <c r="C147" s="26">
        <v>15302.7</v>
      </c>
      <c r="D147" s="26">
        <v>89.844999999999999</v>
      </c>
      <c r="E147" s="26">
        <v>9210.2000000000007</v>
      </c>
      <c r="F147" s="26">
        <v>10341</v>
      </c>
      <c r="G147" s="26">
        <v>89.069000000000003</v>
      </c>
      <c r="H147" s="26">
        <v>88.656999999999996</v>
      </c>
      <c r="I147" s="26">
        <v>83.29</v>
      </c>
      <c r="J147" s="26">
        <v>83.587000000000003</v>
      </c>
      <c r="K147" s="26">
        <v>82.088999999999999</v>
      </c>
      <c r="L147" s="26">
        <v>395.6</v>
      </c>
      <c r="M147" s="26">
        <v>294.89999999999998</v>
      </c>
      <c r="N147" s="26">
        <v>29.5</v>
      </c>
      <c r="O147" s="26">
        <v>1583.2</v>
      </c>
      <c r="P147" s="26">
        <v>74.900000000000006</v>
      </c>
      <c r="Q147" s="26">
        <v>1351.3</v>
      </c>
      <c r="R147" s="26">
        <v>991.7</v>
      </c>
      <c r="S147" s="26">
        <v>427.6</v>
      </c>
      <c r="T147" s="26">
        <v>2610.9</v>
      </c>
      <c r="U147" s="26">
        <v>922.7</v>
      </c>
      <c r="V147" s="26">
        <v>89.064999999999998</v>
      </c>
      <c r="W147" s="26">
        <v>996.6</v>
      </c>
      <c r="X147" s="26">
        <v>1614.3</v>
      </c>
      <c r="Y147" s="26">
        <v>1124.0999999999999</v>
      </c>
      <c r="Z147" s="26">
        <v>1938.2</v>
      </c>
      <c r="AA147" s="26">
        <v>1041.2</v>
      </c>
      <c r="AB147" s="26">
        <v>99.5</v>
      </c>
      <c r="AC147" s="26">
        <v>367.3</v>
      </c>
      <c r="AD147" s="26">
        <v>900.8</v>
      </c>
      <c r="AE147" s="26">
        <v>1184</v>
      </c>
      <c r="AF147" s="26">
        <v>341.5</v>
      </c>
      <c r="AG147" s="26">
        <v>310.10000000000002</v>
      </c>
      <c r="AH147" s="26">
        <v>892.2</v>
      </c>
      <c r="AI147" s="26">
        <v>60.3</v>
      </c>
      <c r="AJ147" s="26">
        <v>21.9</v>
      </c>
      <c r="AK147" s="26">
        <v>399.2</v>
      </c>
      <c r="AL147" s="26">
        <v>2043.2</v>
      </c>
      <c r="AM147" s="26">
        <v>189018</v>
      </c>
      <c r="AN147" s="26">
        <v>176530</v>
      </c>
      <c r="AO147" s="26">
        <v>53237</v>
      </c>
      <c r="AP147" s="26">
        <v>51.2</v>
      </c>
      <c r="AQ147" s="26">
        <v>0.4</v>
      </c>
      <c r="AR147" s="26">
        <v>51.5</v>
      </c>
      <c r="BL147" s="26">
        <v>201.26666666666671</v>
      </c>
      <c r="BM147" s="26">
        <v>196.93333333333331</v>
      </c>
      <c r="BN147" s="26">
        <v>15179.4</v>
      </c>
      <c r="BO147" s="26">
        <v>13639</v>
      </c>
      <c r="BP147" s="26">
        <v>-1</v>
      </c>
      <c r="BQ147" s="26">
        <v>5068.333333333333</v>
      </c>
      <c r="BR147" s="26">
        <v>14119.66666666667</v>
      </c>
      <c r="BS147" s="26">
        <v>238436</v>
      </c>
    </row>
    <row r="148" spans="1:71">
      <c r="A148" s="55">
        <v>38990</v>
      </c>
      <c r="B148" s="26">
        <v>13867.5</v>
      </c>
      <c r="C148" s="26">
        <v>15326.4</v>
      </c>
      <c r="D148" s="26">
        <v>90.504999999999995</v>
      </c>
      <c r="E148" s="26">
        <v>9333</v>
      </c>
      <c r="F148" s="26">
        <v>10403.799999999999</v>
      </c>
      <c r="G148" s="26">
        <v>89.710999999999999</v>
      </c>
      <c r="H148" s="26">
        <v>89.314999999999998</v>
      </c>
      <c r="I148" s="26">
        <v>84.123999999999995</v>
      </c>
      <c r="J148" s="26">
        <v>84.346000000000004</v>
      </c>
      <c r="K148" s="26">
        <v>83.231999999999999</v>
      </c>
      <c r="L148" s="26">
        <v>402.1</v>
      </c>
      <c r="M148" s="26">
        <v>308.7</v>
      </c>
      <c r="N148" s="26">
        <v>30.6</v>
      </c>
      <c r="O148" s="26">
        <v>1608.5</v>
      </c>
      <c r="P148" s="26">
        <v>75.5</v>
      </c>
      <c r="Q148" s="26">
        <v>1358.6</v>
      </c>
      <c r="R148" s="26">
        <v>1004.1</v>
      </c>
      <c r="S148" s="26">
        <v>446.6</v>
      </c>
      <c r="T148" s="26">
        <v>2630.7</v>
      </c>
      <c r="U148" s="26">
        <v>927.2</v>
      </c>
      <c r="V148" s="26">
        <v>89.707999999999998</v>
      </c>
      <c r="W148" s="26">
        <v>994.9</v>
      </c>
      <c r="X148" s="26">
        <v>1635.7</v>
      </c>
      <c r="Y148" s="26">
        <v>1113.9000000000001</v>
      </c>
      <c r="Z148" s="26">
        <v>1944.5</v>
      </c>
      <c r="AA148" s="26">
        <v>1060.9000000000001</v>
      </c>
      <c r="AB148" s="26">
        <v>100.2</v>
      </c>
      <c r="AC148" s="26">
        <v>384.8</v>
      </c>
      <c r="AD148" s="26">
        <v>906.2</v>
      </c>
      <c r="AE148" s="26">
        <v>1194.0999999999999</v>
      </c>
      <c r="AF148" s="26">
        <v>347.9</v>
      </c>
      <c r="AG148" s="26">
        <v>297.7</v>
      </c>
      <c r="AH148" s="26">
        <v>903.9</v>
      </c>
      <c r="AI148" s="26">
        <v>61.8</v>
      </c>
      <c r="AJ148" s="26">
        <v>21</v>
      </c>
      <c r="AK148" s="26">
        <v>414.4</v>
      </c>
      <c r="AL148" s="26">
        <v>2079.3000000000002</v>
      </c>
      <c r="AM148" s="26">
        <v>197488</v>
      </c>
      <c r="AN148" s="26">
        <v>186733</v>
      </c>
      <c r="AO148" s="26">
        <v>52165</v>
      </c>
      <c r="AP148" s="26">
        <v>49.5</v>
      </c>
      <c r="AQ148" s="26">
        <v>0.4</v>
      </c>
      <c r="AR148" s="26">
        <v>49.9</v>
      </c>
      <c r="BL148" s="26">
        <v>203.16666666666671</v>
      </c>
      <c r="BM148" s="26">
        <v>198.8</v>
      </c>
      <c r="BN148" s="26">
        <v>15259.8</v>
      </c>
      <c r="BO148" s="26">
        <v>13807.3</v>
      </c>
      <c r="BP148" s="26">
        <v>-1</v>
      </c>
      <c r="BQ148" s="26">
        <v>5086</v>
      </c>
      <c r="BR148" s="26">
        <v>14201</v>
      </c>
      <c r="BS148" s="26">
        <v>238965</v>
      </c>
    </row>
    <row r="149" spans="1:71">
      <c r="A149" s="55">
        <v>39082</v>
      </c>
      <c r="B149" s="26">
        <v>14037.2</v>
      </c>
      <c r="C149" s="26">
        <v>15456.9</v>
      </c>
      <c r="D149" s="26">
        <v>90.844999999999999</v>
      </c>
      <c r="E149" s="26">
        <v>9407.5</v>
      </c>
      <c r="F149" s="26">
        <v>10504.5</v>
      </c>
      <c r="G149" s="26">
        <v>89.558999999999997</v>
      </c>
      <c r="H149" s="26">
        <v>89.78</v>
      </c>
      <c r="I149" s="26">
        <v>85.007999999999996</v>
      </c>
      <c r="J149" s="26">
        <v>84.971999999999994</v>
      </c>
      <c r="K149" s="26">
        <v>85.185000000000002</v>
      </c>
      <c r="L149" s="26">
        <v>409.1</v>
      </c>
      <c r="M149" s="26">
        <v>301.39999999999998</v>
      </c>
      <c r="N149" s="26">
        <v>31.1</v>
      </c>
      <c r="O149" s="26">
        <v>1613.8</v>
      </c>
      <c r="P149" s="26">
        <v>76.3</v>
      </c>
      <c r="Q149" s="26">
        <v>1397.5</v>
      </c>
      <c r="R149" s="26">
        <v>1010.5</v>
      </c>
      <c r="S149" s="26">
        <v>409.8</v>
      </c>
      <c r="T149" s="26">
        <v>2674.7</v>
      </c>
      <c r="U149" s="26">
        <v>940.8</v>
      </c>
      <c r="V149" s="26">
        <v>89.557000000000002</v>
      </c>
      <c r="W149" s="26">
        <v>1014.6</v>
      </c>
      <c r="X149" s="26">
        <v>1660.1</v>
      </c>
      <c r="Y149" s="26">
        <v>1130.2</v>
      </c>
      <c r="Z149" s="26">
        <v>1952.9</v>
      </c>
      <c r="AA149" s="26">
        <v>1095.8</v>
      </c>
      <c r="AB149" s="26">
        <v>98.1</v>
      </c>
      <c r="AC149" s="26">
        <v>354.6</v>
      </c>
      <c r="AD149" s="26">
        <v>920.6</v>
      </c>
      <c r="AE149" s="26">
        <v>1205.5999999999999</v>
      </c>
      <c r="AF149" s="26">
        <v>334.7</v>
      </c>
      <c r="AG149" s="26">
        <v>301.7</v>
      </c>
      <c r="AH149" s="26">
        <v>912.4</v>
      </c>
      <c r="AI149" s="26">
        <v>55.2</v>
      </c>
      <c r="AJ149" s="26">
        <v>20.2</v>
      </c>
      <c r="AK149" s="26">
        <v>408.1</v>
      </c>
      <c r="AL149" s="26">
        <v>2094.9</v>
      </c>
      <c r="AM149" s="26">
        <v>189083</v>
      </c>
      <c r="AN149" s="26">
        <v>177659</v>
      </c>
      <c r="AO149" s="26">
        <v>51704</v>
      </c>
      <c r="AP149" s="26">
        <v>48.3</v>
      </c>
      <c r="AQ149" s="26">
        <v>0.4</v>
      </c>
      <c r="AR149" s="26">
        <v>48.7</v>
      </c>
      <c r="BL149" s="26">
        <v>202.33333333333329</v>
      </c>
      <c r="BM149" s="26">
        <v>197.56666666666661</v>
      </c>
      <c r="BN149" s="26">
        <v>15336.4</v>
      </c>
      <c r="BO149" s="26">
        <v>13927.8</v>
      </c>
      <c r="BP149" s="26">
        <v>-1</v>
      </c>
      <c r="BQ149" s="26">
        <v>5098.333333333333</v>
      </c>
      <c r="BR149" s="26">
        <v>14251.33333333333</v>
      </c>
      <c r="BS149" s="26">
        <v>242956.33333333331</v>
      </c>
    </row>
    <row r="150" spans="1:71">
      <c r="A150" s="55">
        <v>39172</v>
      </c>
      <c r="B150" s="26">
        <v>14208.6</v>
      </c>
      <c r="C150" s="26">
        <v>15493.3</v>
      </c>
      <c r="D150" s="26">
        <v>91.777000000000001</v>
      </c>
      <c r="E150" s="26">
        <v>9549.4</v>
      </c>
      <c r="F150" s="26">
        <v>10563.3</v>
      </c>
      <c r="G150" s="26">
        <v>90.406000000000006</v>
      </c>
      <c r="H150" s="26">
        <v>90.549000000000007</v>
      </c>
      <c r="I150" s="26">
        <v>86.64</v>
      </c>
      <c r="J150" s="26">
        <v>86.478999999999999</v>
      </c>
      <c r="K150" s="26">
        <v>87.334000000000003</v>
      </c>
      <c r="L150" s="26">
        <v>416.4</v>
      </c>
      <c r="M150" s="26">
        <v>332.5</v>
      </c>
      <c r="N150" s="26">
        <v>32.299999999999997</v>
      </c>
      <c r="O150" s="26">
        <v>1680.2</v>
      </c>
      <c r="P150" s="26">
        <v>78</v>
      </c>
      <c r="Q150" s="26">
        <v>1466.5</v>
      </c>
      <c r="R150" s="26">
        <v>1025.9000000000001</v>
      </c>
      <c r="S150" s="26">
        <v>413.6</v>
      </c>
      <c r="T150" s="26">
        <v>2719.2</v>
      </c>
      <c r="U150" s="26">
        <v>960.4</v>
      </c>
      <c r="V150" s="26">
        <v>90.402000000000001</v>
      </c>
      <c r="W150" s="26">
        <v>1017.2</v>
      </c>
      <c r="X150" s="26">
        <v>1702</v>
      </c>
      <c r="Y150" s="26">
        <v>1123.5</v>
      </c>
      <c r="Z150" s="26">
        <v>1964.6</v>
      </c>
      <c r="AA150" s="26">
        <v>1146</v>
      </c>
      <c r="AB150" s="26">
        <v>93.9</v>
      </c>
      <c r="AC150" s="26">
        <v>354.5</v>
      </c>
      <c r="AD150" s="26">
        <v>940.9</v>
      </c>
      <c r="AE150" s="26">
        <v>1240.0999999999999</v>
      </c>
      <c r="AF150" s="26">
        <v>358.4</v>
      </c>
      <c r="AG150" s="26">
        <v>320.5</v>
      </c>
      <c r="AH150" s="26">
        <v>931.9</v>
      </c>
      <c r="AI150" s="26">
        <v>59.2</v>
      </c>
      <c r="AJ150" s="26">
        <v>19.399999999999999</v>
      </c>
      <c r="AK150" s="26">
        <v>440.1</v>
      </c>
      <c r="AL150" s="26">
        <v>2166.9</v>
      </c>
      <c r="AM150" s="26">
        <v>209347</v>
      </c>
      <c r="AN150" s="26">
        <v>200218</v>
      </c>
      <c r="AO150" s="26">
        <v>50937</v>
      </c>
      <c r="AP150" s="26">
        <v>47.6</v>
      </c>
      <c r="AQ150" s="26">
        <v>1.9</v>
      </c>
      <c r="AR150" s="26">
        <v>49.5</v>
      </c>
      <c r="BL150" s="26">
        <v>204.31700000000001</v>
      </c>
      <c r="BM150" s="26">
        <v>199.553</v>
      </c>
      <c r="BN150" s="26">
        <v>15412.4</v>
      </c>
      <c r="BO150" s="26">
        <v>14134.4</v>
      </c>
      <c r="BP150" s="26">
        <v>-1</v>
      </c>
      <c r="BQ150" s="26">
        <v>5106.333333333333</v>
      </c>
      <c r="BR150" s="26">
        <v>14287.33333333333</v>
      </c>
      <c r="BS150" s="26">
        <v>258254.33333333331</v>
      </c>
    </row>
    <row r="151" spans="1:71">
      <c r="A151" s="55">
        <v>39263</v>
      </c>
      <c r="B151" s="26">
        <v>14382.4</v>
      </c>
      <c r="C151" s="26">
        <v>15582.1</v>
      </c>
      <c r="D151" s="26">
        <v>92.338999999999999</v>
      </c>
      <c r="E151" s="26">
        <v>9644.7000000000007</v>
      </c>
      <c r="F151" s="26">
        <v>10582.8</v>
      </c>
      <c r="G151" s="26">
        <v>91.138999999999996</v>
      </c>
      <c r="H151" s="26">
        <v>91.272000000000006</v>
      </c>
      <c r="I151" s="26">
        <v>87.564999999999998</v>
      </c>
      <c r="J151" s="26">
        <v>87.406000000000006</v>
      </c>
      <c r="K151" s="26">
        <v>88.247</v>
      </c>
      <c r="L151" s="26">
        <v>424.1</v>
      </c>
      <c r="M151" s="26">
        <v>314.7</v>
      </c>
      <c r="N151" s="26">
        <v>31.8</v>
      </c>
      <c r="O151" s="26">
        <v>1680.4</v>
      </c>
      <c r="P151" s="26">
        <v>78.8</v>
      </c>
      <c r="Q151" s="26">
        <v>1495.9</v>
      </c>
      <c r="R151" s="26">
        <v>1033.0999999999999</v>
      </c>
      <c r="S151" s="26">
        <v>407.2</v>
      </c>
      <c r="T151" s="26">
        <v>2770.3</v>
      </c>
      <c r="U151" s="26">
        <v>962</v>
      </c>
      <c r="V151" s="26">
        <v>91.135999999999996</v>
      </c>
      <c r="W151" s="26">
        <v>1042</v>
      </c>
      <c r="X151" s="26">
        <v>1728.3</v>
      </c>
      <c r="Y151" s="26">
        <v>1141.9000000000001</v>
      </c>
      <c r="Z151" s="26">
        <v>1973.8</v>
      </c>
      <c r="AA151" s="26">
        <v>1163.9000000000001</v>
      </c>
      <c r="AB151" s="26">
        <v>93.7</v>
      </c>
      <c r="AC151" s="26">
        <v>347.7</v>
      </c>
      <c r="AD151" s="26">
        <v>943.1</v>
      </c>
      <c r="AE151" s="26">
        <v>1256.7</v>
      </c>
      <c r="AF151" s="26">
        <v>359.4</v>
      </c>
      <c r="AG151" s="26">
        <v>332</v>
      </c>
      <c r="AH151" s="26">
        <v>939.4</v>
      </c>
      <c r="AI151" s="26">
        <v>59.4</v>
      </c>
      <c r="AJ151" s="26">
        <v>18.899999999999999</v>
      </c>
      <c r="AK151" s="26">
        <v>423.7</v>
      </c>
      <c r="AL151" s="26">
        <v>2183</v>
      </c>
      <c r="AM151" s="26">
        <v>201383</v>
      </c>
      <c r="AN151" s="26">
        <v>190602</v>
      </c>
      <c r="AO151" s="26">
        <v>56121</v>
      </c>
      <c r="AP151" s="26">
        <v>47.5</v>
      </c>
      <c r="AQ151" s="26">
        <v>10.7</v>
      </c>
      <c r="AR151" s="26">
        <v>58.2</v>
      </c>
      <c r="BL151" s="26">
        <v>206.631</v>
      </c>
      <c r="BM151" s="26">
        <v>202.077</v>
      </c>
      <c r="BN151" s="26">
        <v>15488</v>
      </c>
      <c r="BO151" s="26">
        <v>14295.6</v>
      </c>
      <c r="BP151" s="26">
        <v>-1</v>
      </c>
      <c r="BQ151" s="26">
        <v>5124.333333333333</v>
      </c>
      <c r="BR151" s="26">
        <v>14336</v>
      </c>
      <c r="BS151" s="26">
        <v>266203.66666666669</v>
      </c>
    </row>
    <row r="152" spans="1:71">
      <c r="A152" s="55">
        <v>39355</v>
      </c>
      <c r="B152" s="26">
        <v>14535</v>
      </c>
      <c r="C152" s="26">
        <v>15666.7</v>
      </c>
      <c r="D152" s="26">
        <v>92.724999999999994</v>
      </c>
      <c r="E152" s="26">
        <v>9753.7999999999993</v>
      </c>
      <c r="F152" s="26">
        <v>10642.5</v>
      </c>
      <c r="G152" s="26">
        <v>91.653000000000006</v>
      </c>
      <c r="H152" s="26">
        <v>91.899000000000001</v>
      </c>
      <c r="I152" s="26">
        <v>88.522999999999996</v>
      </c>
      <c r="J152" s="26">
        <v>88.388999999999996</v>
      </c>
      <c r="K152" s="26">
        <v>89.096999999999994</v>
      </c>
      <c r="L152" s="26">
        <v>432</v>
      </c>
      <c r="M152" s="26">
        <v>319.60000000000002</v>
      </c>
      <c r="N152" s="26">
        <v>32.799999999999997</v>
      </c>
      <c r="O152" s="26">
        <v>1700.2</v>
      </c>
      <c r="P152" s="26">
        <v>79.599999999999994</v>
      </c>
      <c r="Q152" s="26">
        <v>1498.9</v>
      </c>
      <c r="R152" s="26">
        <v>1035.8</v>
      </c>
      <c r="S152" s="26">
        <v>370.9</v>
      </c>
      <c r="T152" s="26">
        <v>2809</v>
      </c>
      <c r="U152" s="26">
        <v>965.3</v>
      </c>
      <c r="V152" s="26">
        <v>91.65</v>
      </c>
      <c r="W152" s="26">
        <v>1058.3</v>
      </c>
      <c r="X152" s="26">
        <v>1750.7</v>
      </c>
      <c r="Y152" s="26">
        <v>1151.7</v>
      </c>
      <c r="Z152" s="26">
        <v>1977.8</v>
      </c>
      <c r="AA152" s="26">
        <v>1179.3</v>
      </c>
      <c r="AB152" s="26">
        <v>95.4</v>
      </c>
      <c r="AC152" s="26">
        <v>314.60000000000002</v>
      </c>
      <c r="AD152" s="26">
        <v>946.7</v>
      </c>
      <c r="AE152" s="26">
        <v>1270.2</v>
      </c>
      <c r="AF152" s="26">
        <v>359.8</v>
      </c>
      <c r="AG152" s="26">
        <v>319.60000000000002</v>
      </c>
      <c r="AH152" s="26">
        <v>940.4</v>
      </c>
      <c r="AI152" s="26">
        <v>56.3</v>
      </c>
      <c r="AJ152" s="26">
        <v>18.5</v>
      </c>
      <c r="AK152" s="26">
        <v>429.9</v>
      </c>
      <c r="AL152" s="26">
        <v>2206.6</v>
      </c>
      <c r="AM152" s="26">
        <v>204318</v>
      </c>
      <c r="AN152" s="26">
        <v>194111</v>
      </c>
      <c r="AO152" s="26">
        <v>55528</v>
      </c>
      <c r="AP152" s="26">
        <v>47.2</v>
      </c>
      <c r="AQ152" s="26">
        <v>8.8000000000000007</v>
      </c>
      <c r="AR152" s="26">
        <v>55.9</v>
      </c>
      <c r="BL152" s="26">
        <v>207.93899999999999</v>
      </c>
      <c r="BM152" s="26">
        <v>203.37</v>
      </c>
      <c r="BN152" s="26">
        <v>15563.8</v>
      </c>
      <c r="BO152" s="26">
        <v>14439.6</v>
      </c>
      <c r="BP152" s="26">
        <v>-1</v>
      </c>
      <c r="BQ152" s="26">
        <v>5122</v>
      </c>
      <c r="BR152" s="26">
        <v>14369.33333333333</v>
      </c>
      <c r="BS152" s="26">
        <v>271640.33333333331</v>
      </c>
    </row>
    <row r="153" spans="1:71">
      <c r="A153" s="55">
        <v>39447</v>
      </c>
      <c r="B153" s="26">
        <v>14681.5</v>
      </c>
      <c r="C153" s="26">
        <v>15762</v>
      </c>
      <c r="D153" s="26">
        <v>93.15</v>
      </c>
      <c r="E153" s="26">
        <v>9877.7999999999993</v>
      </c>
      <c r="F153" s="26">
        <v>10672.8</v>
      </c>
      <c r="G153" s="26">
        <v>92.552999999999997</v>
      </c>
      <c r="H153" s="26">
        <v>92.635999999999996</v>
      </c>
      <c r="I153" s="26">
        <v>89.802999999999997</v>
      </c>
      <c r="J153" s="26">
        <v>89.722999999999999</v>
      </c>
      <c r="K153" s="26">
        <v>90.144999999999996</v>
      </c>
      <c r="L153" s="26">
        <v>440.3</v>
      </c>
      <c r="M153" s="26">
        <v>329.9</v>
      </c>
      <c r="N153" s="26">
        <v>34</v>
      </c>
      <c r="O153" s="26">
        <v>1728.6</v>
      </c>
      <c r="P153" s="26">
        <v>80.3</v>
      </c>
      <c r="Q153" s="26">
        <v>1508.6</v>
      </c>
      <c r="R153" s="26">
        <v>1052.5999999999999</v>
      </c>
      <c r="S153" s="26">
        <v>352.7</v>
      </c>
      <c r="T153" s="26">
        <v>2864.9</v>
      </c>
      <c r="U153" s="26">
        <v>976.9</v>
      </c>
      <c r="V153" s="26">
        <v>92.551000000000002</v>
      </c>
      <c r="W153" s="26">
        <v>1084.5999999999999</v>
      </c>
      <c r="X153" s="26">
        <v>1780.3</v>
      </c>
      <c r="Y153" s="26">
        <v>1170.8</v>
      </c>
      <c r="Z153" s="26">
        <v>1982.5</v>
      </c>
      <c r="AA153" s="26">
        <v>1194.4000000000001</v>
      </c>
      <c r="AB153" s="26">
        <v>95.5</v>
      </c>
      <c r="AC153" s="26">
        <v>296.2</v>
      </c>
      <c r="AD153" s="26">
        <v>958.4</v>
      </c>
      <c r="AE153" s="26">
        <v>1286.3</v>
      </c>
      <c r="AF153" s="26">
        <v>358.9</v>
      </c>
      <c r="AG153" s="26">
        <v>314.2</v>
      </c>
      <c r="AH153" s="26">
        <v>957.1</v>
      </c>
      <c r="AI153" s="26">
        <v>56.6</v>
      </c>
      <c r="AJ153" s="26">
        <v>18.5</v>
      </c>
      <c r="AK153" s="26">
        <v>442.3</v>
      </c>
      <c r="AL153" s="26">
        <v>2242.5</v>
      </c>
      <c r="AM153" s="26">
        <v>206110</v>
      </c>
      <c r="AN153" s="26">
        <v>196028</v>
      </c>
      <c r="AO153" s="26">
        <v>54619</v>
      </c>
      <c r="AP153" s="26">
        <v>47.5</v>
      </c>
      <c r="AQ153" s="26">
        <v>7.2</v>
      </c>
      <c r="AR153" s="26">
        <v>54.7</v>
      </c>
      <c r="BL153" s="26">
        <v>210.48966666666669</v>
      </c>
      <c r="BM153" s="26">
        <v>206.08566666666661</v>
      </c>
      <c r="BN153" s="26">
        <v>15638.8</v>
      </c>
      <c r="BO153" s="26">
        <v>14566.7</v>
      </c>
      <c r="BP153" s="26">
        <v>1</v>
      </c>
      <c r="BQ153" s="26">
        <v>5136</v>
      </c>
      <c r="BR153" s="26">
        <v>14455</v>
      </c>
      <c r="BS153" s="26">
        <v>276454.66666666669</v>
      </c>
    </row>
    <row r="154" spans="1:71">
      <c r="A154" s="55">
        <v>39538</v>
      </c>
      <c r="B154" s="26">
        <v>14651</v>
      </c>
      <c r="C154" s="26">
        <v>15671.4</v>
      </c>
      <c r="D154" s="26">
        <v>93.569000000000003</v>
      </c>
      <c r="E154" s="26">
        <v>9934.2999999999993</v>
      </c>
      <c r="F154" s="26">
        <v>10644.4</v>
      </c>
      <c r="G154" s="26">
        <v>93.328999999999994</v>
      </c>
      <c r="H154" s="26">
        <v>93.415999999999997</v>
      </c>
      <c r="I154" s="26">
        <v>91.253</v>
      </c>
      <c r="J154" s="26">
        <v>91.317999999999998</v>
      </c>
      <c r="K154" s="26">
        <v>90.998999999999995</v>
      </c>
      <c r="L154" s="26">
        <v>448.8</v>
      </c>
      <c r="M154" s="26">
        <v>331.6</v>
      </c>
      <c r="N154" s="26">
        <v>36.299999999999997</v>
      </c>
      <c r="O154" s="26">
        <v>1768.2</v>
      </c>
      <c r="P154" s="26">
        <v>80.5</v>
      </c>
      <c r="Q154" s="26">
        <v>1535.1</v>
      </c>
      <c r="R154" s="26">
        <v>1045.7</v>
      </c>
      <c r="S154" s="26">
        <v>291.89999999999998</v>
      </c>
      <c r="T154" s="26">
        <v>2909.3</v>
      </c>
      <c r="U154" s="26">
        <v>988.8</v>
      </c>
      <c r="V154" s="26">
        <v>93.328000000000003</v>
      </c>
      <c r="W154" s="26">
        <v>1110.3</v>
      </c>
      <c r="X154" s="26">
        <v>1799</v>
      </c>
      <c r="Y154" s="26">
        <v>1188.4000000000001</v>
      </c>
      <c r="Z154" s="26">
        <v>1971.4</v>
      </c>
      <c r="AA154" s="26">
        <v>1201.7</v>
      </c>
      <c r="AB154" s="26">
        <v>93.2</v>
      </c>
      <c r="AC154" s="26">
        <v>241.7</v>
      </c>
      <c r="AD154" s="26">
        <v>970.2</v>
      </c>
      <c r="AE154" s="26">
        <v>1321.9</v>
      </c>
      <c r="AF154" s="26">
        <v>365.7</v>
      </c>
      <c r="AG154" s="26">
        <v>333.4</v>
      </c>
      <c r="AH154" s="26">
        <v>952.5</v>
      </c>
      <c r="AI154" s="26">
        <v>50.2</v>
      </c>
      <c r="AJ154" s="26">
        <v>18.600000000000001</v>
      </c>
      <c r="AK154" s="26">
        <v>446.3</v>
      </c>
      <c r="AL154" s="26">
        <v>2256.6999999999998</v>
      </c>
      <c r="AM154" s="26">
        <v>209603</v>
      </c>
      <c r="AN154" s="26">
        <v>200294</v>
      </c>
      <c r="AO154" s="26">
        <v>56613</v>
      </c>
      <c r="AP154" s="26">
        <v>48</v>
      </c>
      <c r="AQ154" s="26">
        <v>4</v>
      </c>
      <c r="AR154" s="26">
        <v>51.9</v>
      </c>
      <c r="BL154" s="26">
        <v>212.76966666666669</v>
      </c>
      <c r="BM154" s="26">
        <v>208.51599999999999</v>
      </c>
      <c r="BN154" s="26">
        <v>15712.6</v>
      </c>
      <c r="BO154" s="26">
        <v>14689.5</v>
      </c>
      <c r="BP154" s="26">
        <v>1</v>
      </c>
      <c r="BQ154" s="26">
        <v>5148.666666666667</v>
      </c>
      <c r="BR154" s="26">
        <v>14521.66666666667</v>
      </c>
      <c r="BS154" s="26">
        <v>278038.33333333331</v>
      </c>
    </row>
    <row r="155" spans="1:71">
      <c r="A155" s="55">
        <v>39629</v>
      </c>
      <c r="B155" s="26">
        <v>14805.6</v>
      </c>
      <c r="C155" s="26">
        <v>15752.3</v>
      </c>
      <c r="D155" s="26">
        <v>93.935000000000002</v>
      </c>
      <c r="E155" s="26">
        <v>10052.799999999999</v>
      </c>
      <c r="F155" s="26">
        <v>10661.7</v>
      </c>
      <c r="G155" s="26">
        <v>94.289000000000001</v>
      </c>
      <c r="H155" s="26">
        <v>94.373000000000005</v>
      </c>
      <c r="I155" s="26">
        <v>92.54</v>
      </c>
      <c r="J155" s="26">
        <v>92.748000000000005</v>
      </c>
      <c r="K155" s="26">
        <v>91.698999999999998</v>
      </c>
      <c r="L155" s="26">
        <v>457.3</v>
      </c>
      <c r="M155" s="26">
        <v>339.2</v>
      </c>
      <c r="N155" s="26">
        <v>38.200000000000003</v>
      </c>
      <c r="O155" s="26">
        <v>2113</v>
      </c>
      <c r="P155" s="26">
        <v>81</v>
      </c>
      <c r="Q155" s="26">
        <v>1552.5</v>
      </c>
      <c r="R155" s="26">
        <v>1054.7</v>
      </c>
      <c r="S155" s="26">
        <v>278.7</v>
      </c>
      <c r="T155" s="26">
        <v>2971.1</v>
      </c>
      <c r="U155" s="26">
        <v>991</v>
      </c>
      <c r="V155" s="26">
        <v>94.289000000000001</v>
      </c>
      <c r="W155" s="26">
        <v>1145.5</v>
      </c>
      <c r="X155" s="26">
        <v>1825.6</v>
      </c>
      <c r="Y155" s="26">
        <v>1213.5999999999999</v>
      </c>
      <c r="Z155" s="26">
        <v>1972.8</v>
      </c>
      <c r="AA155" s="26">
        <v>1191.3</v>
      </c>
      <c r="AB155" s="26">
        <v>95.3</v>
      </c>
      <c r="AC155" s="26">
        <v>227.1</v>
      </c>
      <c r="AD155" s="26">
        <v>972.3</v>
      </c>
      <c r="AE155" s="26">
        <v>1657</v>
      </c>
      <c r="AF155" s="26">
        <v>371.5</v>
      </c>
      <c r="AG155" s="26">
        <v>361.1</v>
      </c>
      <c r="AH155" s="26">
        <v>959.4</v>
      </c>
      <c r="AI155" s="26">
        <v>51.6</v>
      </c>
      <c r="AJ155" s="26">
        <v>18.7</v>
      </c>
      <c r="AK155" s="26">
        <v>456</v>
      </c>
      <c r="AL155" s="26">
        <v>2293.8000000000002</v>
      </c>
      <c r="AM155" s="26">
        <v>216570</v>
      </c>
      <c r="AN155" s="26">
        <v>203794</v>
      </c>
      <c r="AO155" s="26">
        <v>58842</v>
      </c>
      <c r="AP155" s="26">
        <v>48.7</v>
      </c>
      <c r="AQ155" s="26">
        <v>2.9</v>
      </c>
      <c r="AR155" s="26">
        <v>51.7</v>
      </c>
      <c r="BL155" s="26">
        <v>215.53766666666669</v>
      </c>
      <c r="BM155" s="26">
        <v>211.5026666666667</v>
      </c>
      <c r="BN155" s="26">
        <v>15783.7</v>
      </c>
      <c r="BO155" s="26">
        <v>14835.1</v>
      </c>
      <c r="BP155" s="26">
        <v>1</v>
      </c>
      <c r="BQ155" s="26">
        <v>5166</v>
      </c>
      <c r="BR155" s="26">
        <v>14560.33333333333</v>
      </c>
      <c r="BS155" s="26">
        <v>283074.33333333331</v>
      </c>
    </row>
    <row r="156" spans="1:71">
      <c r="A156" s="55">
        <v>39721</v>
      </c>
      <c r="B156" s="26">
        <v>14835.2</v>
      </c>
      <c r="C156" s="26">
        <v>15667</v>
      </c>
      <c r="D156" s="26">
        <v>94.653999999999996</v>
      </c>
      <c r="E156" s="26">
        <v>10081</v>
      </c>
      <c r="F156" s="26">
        <v>10581.9</v>
      </c>
      <c r="G156" s="26">
        <v>95.266000000000005</v>
      </c>
      <c r="H156" s="26">
        <v>95.09</v>
      </c>
      <c r="I156" s="26">
        <v>93.766000000000005</v>
      </c>
      <c r="J156" s="26">
        <v>93.984999999999999</v>
      </c>
      <c r="K156" s="26">
        <v>92.884</v>
      </c>
      <c r="L156" s="26">
        <v>465.9</v>
      </c>
      <c r="M156" s="26">
        <v>340.8</v>
      </c>
      <c r="N156" s="26">
        <v>58.2</v>
      </c>
      <c r="O156" s="26">
        <v>1905.3</v>
      </c>
      <c r="P156" s="26">
        <v>81.2</v>
      </c>
      <c r="Q156" s="26">
        <v>1497.5</v>
      </c>
      <c r="R156" s="26">
        <v>1058.5</v>
      </c>
      <c r="S156" s="26">
        <v>264.39999999999998</v>
      </c>
      <c r="T156" s="26">
        <v>3027.5</v>
      </c>
      <c r="U156" s="26">
        <v>996.4</v>
      </c>
      <c r="V156" s="26">
        <v>95.266000000000005</v>
      </c>
      <c r="W156" s="26">
        <v>1168.7</v>
      </c>
      <c r="X156" s="26">
        <v>1858.9</v>
      </c>
      <c r="Y156" s="26">
        <v>1228.8</v>
      </c>
      <c r="Z156" s="26">
        <v>1982.5</v>
      </c>
      <c r="AA156" s="26">
        <v>1173.7</v>
      </c>
      <c r="AB156" s="26">
        <v>93.7</v>
      </c>
      <c r="AC156" s="26">
        <v>211.5</v>
      </c>
      <c r="AD156" s="26">
        <v>977.6</v>
      </c>
      <c r="AE156" s="26">
        <v>1445.3</v>
      </c>
      <c r="AF156" s="26">
        <v>368.8</v>
      </c>
      <c r="AG156" s="26">
        <v>323.8</v>
      </c>
      <c r="AH156" s="26">
        <v>964.8</v>
      </c>
      <c r="AI156" s="26">
        <v>52.8</v>
      </c>
      <c r="AJ156" s="26">
        <v>18.7</v>
      </c>
      <c r="AK156" s="26">
        <v>460</v>
      </c>
      <c r="AL156" s="26">
        <v>2337.9</v>
      </c>
      <c r="AM156" s="26">
        <v>213016</v>
      </c>
      <c r="AN156" s="26">
        <v>205059</v>
      </c>
      <c r="AO156" s="26">
        <v>56868</v>
      </c>
      <c r="AP156" s="26">
        <v>49.8</v>
      </c>
      <c r="AQ156" s="26">
        <v>2.2000000000000002</v>
      </c>
      <c r="AR156" s="26">
        <v>52</v>
      </c>
      <c r="BL156" s="26">
        <v>218.86099999999999</v>
      </c>
      <c r="BM156" s="26">
        <v>215.13</v>
      </c>
      <c r="BN156" s="26">
        <v>15850.9</v>
      </c>
      <c r="BO156" s="26">
        <v>15009.3</v>
      </c>
      <c r="BP156" s="26">
        <v>1</v>
      </c>
      <c r="BQ156" s="26">
        <v>5196.333333333333</v>
      </c>
      <c r="BR156" s="26">
        <v>14594</v>
      </c>
      <c r="BS156" s="26">
        <v>287093.66666666669</v>
      </c>
    </row>
    <row r="157" spans="1:71">
      <c r="A157" s="55">
        <v>39813</v>
      </c>
      <c r="B157" s="26">
        <v>14559.5</v>
      </c>
      <c r="C157" s="26">
        <v>15328</v>
      </c>
      <c r="D157" s="26">
        <v>94.896000000000001</v>
      </c>
      <c r="E157" s="26">
        <v>9837.2999999999993</v>
      </c>
      <c r="F157" s="26">
        <v>10483.4</v>
      </c>
      <c r="G157" s="26">
        <v>93.835999999999999</v>
      </c>
      <c r="H157" s="26">
        <v>94.646000000000001</v>
      </c>
      <c r="I157" s="26">
        <v>92.673000000000002</v>
      </c>
      <c r="J157" s="26">
        <v>92.22</v>
      </c>
      <c r="K157" s="26">
        <v>94.585999999999999</v>
      </c>
      <c r="L157" s="26">
        <v>474.5</v>
      </c>
      <c r="M157" s="26">
        <v>341.8</v>
      </c>
      <c r="N157" s="26">
        <v>71.900000000000006</v>
      </c>
      <c r="O157" s="26">
        <v>1890.8</v>
      </c>
      <c r="P157" s="26">
        <v>81.2</v>
      </c>
      <c r="Q157" s="26">
        <v>1444.9</v>
      </c>
      <c r="R157" s="26">
        <v>1040</v>
      </c>
      <c r="S157" s="26">
        <v>162.6</v>
      </c>
      <c r="T157" s="26">
        <v>3020</v>
      </c>
      <c r="U157" s="26">
        <v>996.6</v>
      </c>
      <c r="V157" s="26">
        <v>93.837000000000003</v>
      </c>
      <c r="W157" s="26">
        <v>1177.9000000000001</v>
      </c>
      <c r="X157" s="26">
        <v>1842.2</v>
      </c>
      <c r="Y157" s="26">
        <v>1244.3</v>
      </c>
      <c r="Z157" s="26">
        <v>1987.8</v>
      </c>
      <c r="AA157" s="26">
        <v>1139.8</v>
      </c>
      <c r="AB157" s="26">
        <v>93.7</v>
      </c>
      <c r="AC157" s="26">
        <v>127.5</v>
      </c>
      <c r="AD157" s="26">
        <v>977.8</v>
      </c>
      <c r="AE157" s="26">
        <v>1428.7</v>
      </c>
      <c r="AF157" s="26">
        <v>378.6</v>
      </c>
      <c r="AG157" s="26">
        <v>305.10000000000002</v>
      </c>
      <c r="AH157" s="26">
        <v>946.3</v>
      </c>
      <c r="AI157" s="26">
        <v>35.1</v>
      </c>
      <c r="AJ157" s="26">
        <v>18.8</v>
      </c>
      <c r="AK157" s="26">
        <v>462.1</v>
      </c>
      <c r="AL157" s="26">
        <v>2337.3000000000002</v>
      </c>
      <c r="AM157" s="26">
        <v>217491</v>
      </c>
      <c r="AN157" s="26">
        <v>208505</v>
      </c>
      <c r="AO157" s="26">
        <v>58177</v>
      </c>
      <c r="AP157" s="26">
        <v>51.8</v>
      </c>
      <c r="AQ157" s="26">
        <v>2.8</v>
      </c>
      <c r="AR157" s="26">
        <v>54.6</v>
      </c>
      <c r="BL157" s="26">
        <v>213.8486666666667</v>
      </c>
      <c r="BM157" s="26">
        <v>208.83866666666671</v>
      </c>
      <c r="BN157" s="26">
        <v>15913.8</v>
      </c>
      <c r="BO157" s="26">
        <v>15116</v>
      </c>
      <c r="BP157" s="26">
        <v>1</v>
      </c>
      <c r="BQ157" s="26">
        <v>5189</v>
      </c>
      <c r="BR157" s="26">
        <v>14591</v>
      </c>
      <c r="BS157" s="26">
        <v>288334</v>
      </c>
    </row>
    <row r="158" spans="1:71">
      <c r="A158" s="55">
        <v>39903</v>
      </c>
      <c r="B158" s="26">
        <v>14394.5</v>
      </c>
      <c r="C158" s="26">
        <v>15155.9</v>
      </c>
      <c r="D158" s="26">
        <v>94.959000000000003</v>
      </c>
      <c r="E158" s="26">
        <v>9756.1</v>
      </c>
      <c r="F158" s="26">
        <v>10459.700000000001</v>
      </c>
      <c r="G158" s="26">
        <v>93.274000000000001</v>
      </c>
      <c r="H158" s="26">
        <v>93.876000000000005</v>
      </c>
      <c r="I158" s="26">
        <v>91.481999999999999</v>
      </c>
      <c r="J158" s="26">
        <v>90.61</v>
      </c>
      <c r="K158" s="26">
        <v>95.176000000000002</v>
      </c>
      <c r="L158" s="26">
        <v>482.9</v>
      </c>
      <c r="M158" s="26">
        <v>358.4</v>
      </c>
      <c r="N158" s="26">
        <v>101.6</v>
      </c>
      <c r="O158" s="26">
        <v>2001.9</v>
      </c>
      <c r="P158" s="26">
        <v>80.599999999999994</v>
      </c>
      <c r="Q158" s="26">
        <v>1202.4000000000001</v>
      </c>
      <c r="R158" s="26">
        <v>1015.9</v>
      </c>
      <c r="S158" s="26">
        <v>166.5</v>
      </c>
      <c r="T158" s="26">
        <v>3019.7</v>
      </c>
      <c r="U158" s="26">
        <v>964.7</v>
      </c>
      <c r="V158" s="26">
        <v>93.272999999999996</v>
      </c>
      <c r="W158" s="26">
        <v>1183</v>
      </c>
      <c r="X158" s="26">
        <v>1836.7</v>
      </c>
      <c r="Y158" s="26">
        <v>1260.0999999999999</v>
      </c>
      <c r="Z158" s="26">
        <v>2007.7</v>
      </c>
      <c r="AA158" s="26">
        <v>921.2</v>
      </c>
      <c r="AB158" s="26">
        <v>86.7</v>
      </c>
      <c r="AC158" s="26">
        <v>122.7</v>
      </c>
      <c r="AD158" s="26">
        <v>946</v>
      </c>
      <c r="AE158" s="26">
        <v>1521.8</v>
      </c>
      <c r="AF158" s="26">
        <v>421.1</v>
      </c>
      <c r="AG158" s="26">
        <v>281.10000000000002</v>
      </c>
      <c r="AH158" s="26">
        <v>929.2</v>
      </c>
      <c r="AI158" s="26">
        <v>43.7</v>
      </c>
      <c r="AJ158" s="26">
        <v>18.8</v>
      </c>
      <c r="AK158" s="26">
        <v>480.2</v>
      </c>
      <c r="AL158" s="26">
        <v>2371.3000000000002</v>
      </c>
      <c r="AM158" s="26">
        <v>266407</v>
      </c>
      <c r="AN158" s="26">
        <v>256944</v>
      </c>
      <c r="AO158" s="26">
        <v>58334</v>
      </c>
      <c r="AP158" s="26">
        <v>53.4</v>
      </c>
      <c r="AQ158" s="26">
        <v>2</v>
      </c>
      <c r="AR158" s="26">
        <v>55.4</v>
      </c>
      <c r="BL158" s="26">
        <v>212.3776666666667</v>
      </c>
      <c r="BM158" s="26">
        <v>206.94333333333341</v>
      </c>
      <c r="BN158" s="26">
        <v>15971.4</v>
      </c>
      <c r="BO158" s="26">
        <v>15169.1</v>
      </c>
      <c r="BP158" s="26">
        <v>1</v>
      </c>
      <c r="BQ158" s="26">
        <v>5192</v>
      </c>
      <c r="BR158" s="26">
        <v>14587</v>
      </c>
      <c r="BS158" s="26">
        <v>289591.33333333331</v>
      </c>
    </row>
    <row r="159" spans="1:71">
      <c r="A159" s="55">
        <v>39994</v>
      </c>
      <c r="B159" s="26">
        <v>14352.9</v>
      </c>
      <c r="C159" s="26">
        <v>15134.1</v>
      </c>
      <c r="D159" s="26">
        <v>94.855999999999995</v>
      </c>
      <c r="E159" s="26">
        <v>9760.2000000000007</v>
      </c>
      <c r="F159" s="26">
        <v>10417.299999999999</v>
      </c>
      <c r="G159" s="26">
        <v>93.692999999999998</v>
      </c>
      <c r="H159" s="26">
        <v>93.894999999999996</v>
      </c>
      <c r="I159" s="26">
        <v>91.694999999999993</v>
      </c>
      <c r="J159" s="26">
        <v>91.072000000000003</v>
      </c>
      <c r="K159" s="26">
        <v>94.34</v>
      </c>
      <c r="L159" s="26">
        <v>490.4</v>
      </c>
      <c r="M159" s="26">
        <v>368.9</v>
      </c>
      <c r="N159" s="26">
        <v>130.30000000000001</v>
      </c>
      <c r="O159" s="26">
        <v>2140</v>
      </c>
      <c r="P159" s="26">
        <v>80.3</v>
      </c>
      <c r="Q159" s="26">
        <v>1131.0999999999999</v>
      </c>
      <c r="R159" s="26">
        <v>1017.3</v>
      </c>
      <c r="S159" s="26">
        <v>188.6</v>
      </c>
      <c r="T159" s="26">
        <v>3067.6</v>
      </c>
      <c r="U159" s="26">
        <v>971.2</v>
      </c>
      <c r="V159" s="26">
        <v>93.691999999999993</v>
      </c>
      <c r="W159" s="26">
        <v>1210.8</v>
      </c>
      <c r="X159" s="26">
        <v>1856.7</v>
      </c>
      <c r="Y159" s="26">
        <v>1289.7</v>
      </c>
      <c r="Z159" s="26">
        <v>2024.9</v>
      </c>
      <c r="AA159" s="26">
        <v>855.5</v>
      </c>
      <c r="AB159" s="26">
        <v>94.3</v>
      </c>
      <c r="AC159" s="26">
        <v>138.9</v>
      </c>
      <c r="AD159" s="26">
        <v>952.6</v>
      </c>
      <c r="AE159" s="26">
        <v>1648</v>
      </c>
      <c r="AF159" s="26">
        <v>473.9</v>
      </c>
      <c r="AG159" s="26">
        <v>275.60000000000002</v>
      </c>
      <c r="AH159" s="26">
        <v>923</v>
      </c>
      <c r="AI159" s="26">
        <v>49.6</v>
      </c>
      <c r="AJ159" s="26">
        <v>18.7</v>
      </c>
      <c r="AK159" s="26">
        <v>492</v>
      </c>
      <c r="AL159" s="26">
        <v>2419.5</v>
      </c>
      <c r="AM159" s="26">
        <v>284526</v>
      </c>
      <c r="AN159" s="26">
        <v>274664</v>
      </c>
      <c r="AO159" s="26">
        <v>59643</v>
      </c>
      <c r="AP159" s="26">
        <v>54.3</v>
      </c>
      <c r="AQ159" s="26">
        <v>1.2</v>
      </c>
      <c r="AR159" s="26">
        <v>55.5</v>
      </c>
      <c r="BL159" s="26">
        <v>213.50700000000001</v>
      </c>
      <c r="BM159" s="26">
        <v>208.39033333333339</v>
      </c>
      <c r="BN159" s="26">
        <v>16025</v>
      </c>
      <c r="BO159" s="26">
        <v>15197.8</v>
      </c>
      <c r="BP159" s="26">
        <v>1</v>
      </c>
      <c r="BQ159" s="26">
        <v>5181.666666666667</v>
      </c>
      <c r="BR159" s="26">
        <v>14576.33333333333</v>
      </c>
      <c r="BS159" s="26">
        <v>292223.66666666669</v>
      </c>
    </row>
    <row r="160" spans="1:71">
      <c r="A160" s="55">
        <v>40086</v>
      </c>
      <c r="B160" s="26">
        <v>14420.3</v>
      </c>
      <c r="C160" s="26">
        <v>15189.2</v>
      </c>
      <c r="D160" s="26">
        <v>94.912000000000006</v>
      </c>
      <c r="E160" s="26">
        <v>9895.4</v>
      </c>
      <c r="F160" s="26">
        <v>10489.2</v>
      </c>
      <c r="G160" s="26">
        <v>94.34</v>
      </c>
      <c r="H160" s="26">
        <v>94.188000000000002</v>
      </c>
      <c r="I160" s="26">
        <v>92.165999999999997</v>
      </c>
      <c r="J160" s="26">
        <v>91.855999999999995</v>
      </c>
      <c r="K160" s="26">
        <v>93.49</v>
      </c>
      <c r="L160" s="26">
        <v>496.7</v>
      </c>
      <c r="M160" s="26">
        <v>378.2</v>
      </c>
      <c r="N160" s="26">
        <v>144.4</v>
      </c>
      <c r="O160" s="26">
        <v>2136.9</v>
      </c>
      <c r="P160" s="26">
        <v>79.900000000000006</v>
      </c>
      <c r="Q160" s="26">
        <v>1135.3</v>
      </c>
      <c r="R160" s="26">
        <v>1028.8</v>
      </c>
      <c r="S160" s="26">
        <v>200.7</v>
      </c>
      <c r="T160" s="26">
        <v>3089</v>
      </c>
      <c r="U160" s="26">
        <v>968.8</v>
      </c>
      <c r="V160" s="26">
        <v>94.338999999999999</v>
      </c>
      <c r="W160" s="26">
        <v>1225.5</v>
      </c>
      <c r="X160" s="26">
        <v>1863.5</v>
      </c>
      <c r="Y160" s="26">
        <v>1301.3</v>
      </c>
      <c r="Z160" s="26">
        <v>2021.8</v>
      </c>
      <c r="AA160" s="26">
        <v>842</v>
      </c>
      <c r="AB160" s="26">
        <v>91.4</v>
      </c>
      <c r="AC160" s="26">
        <v>159.4</v>
      </c>
      <c r="AD160" s="26">
        <v>950.3</v>
      </c>
      <c r="AE160" s="26">
        <v>1634.5</v>
      </c>
      <c r="AF160" s="26">
        <v>465.4</v>
      </c>
      <c r="AG160" s="26">
        <v>293.3</v>
      </c>
      <c r="AH160" s="26">
        <v>937.4</v>
      </c>
      <c r="AI160" s="26">
        <v>41.3</v>
      </c>
      <c r="AJ160" s="26">
        <v>18.5</v>
      </c>
      <c r="AK160" s="26">
        <v>502.4</v>
      </c>
      <c r="AL160" s="26">
        <v>2446.5</v>
      </c>
      <c r="AM160" s="26">
        <v>273903</v>
      </c>
      <c r="AN160" s="26">
        <v>263924</v>
      </c>
      <c r="AO160" s="26">
        <v>67126</v>
      </c>
      <c r="AP160" s="26">
        <v>65.900000000000006</v>
      </c>
      <c r="AQ160" s="26">
        <v>1.2</v>
      </c>
      <c r="AR160" s="26">
        <v>67.099999999999994</v>
      </c>
      <c r="BL160" s="26">
        <v>215.34399999999999</v>
      </c>
      <c r="BM160" s="26">
        <v>210.69499999999999</v>
      </c>
      <c r="BN160" s="26">
        <v>16075.4</v>
      </c>
      <c r="BO160" s="26">
        <v>15261.7</v>
      </c>
      <c r="BP160" s="26">
        <v>-1</v>
      </c>
      <c r="BQ160" s="26">
        <v>5145.333333333333</v>
      </c>
      <c r="BR160" s="26">
        <v>14532</v>
      </c>
      <c r="BS160" s="26">
        <v>287368</v>
      </c>
    </row>
    <row r="161" spans="1:71">
      <c r="A161" s="55">
        <v>40178</v>
      </c>
      <c r="B161" s="26">
        <v>14628</v>
      </c>
      <c r="C161" s="26">
        <v>15356.1</v>
      </c>
      <c r="D161" s="26">
        <v>95.269000000000005</v>
      </c>
      <c r="E161" s="26">
        <v>9957.1</v>
      </c>
      <c r="F161" s="26">
        <v>10473.6</v>
      </c>
      <c r="G161" s="26">
        <v>95.07</v>
      </c>
      <c r="H161" s="26">
        <v>94.896000000000001</v>
      </c>
      <c r="I161" s="26">
        <v>92.85</v>
      </c>
      <c r="J161" s="26">
        <v>92.715999999999994</v>
      </c>
      <c r="K161" s="26">
        <v>93.418000000000006</v>
      </c>
      <c r="L161" s="26">
        <v>501.8</v>
      </c>
      <c r="M161" s="26">
        <v>372.8</v>
      </c>
      <c r="N161" s="26">
        <v>148.6</v>
      </c>
      <c r="O161" s="26">
        <v>2152.1</v>
      </c>
      <c r="P161" s="26">
        <v>79.5</v>
      </c>
      <c r="Q161" s="26">
        <v>1140.7</v>
      </c>
      <c r="R161" s="26">
        <v>1045.3</v>
      </c>
      <c r="S161" s="26">
        <v>234.2</v>
      </c>
      <c r="T161" s="26">
        <v>3117.8</v>
      </c>
      <c r="U161" s="26">
        <v>972.2</v>
      </c>
      <c r="V161" s="26">
        <v>95.067999999999998</v>
      </c>
      <c r="W161" s="26">
        <v>1253.4000000000001</v>
      </c>
      <c r="X161" s="26">
        <v>1864.4</v>
      </c>
      <c r="Y161" s="26">
        <v>1321</v>
      </c>
      <c r="Z161" s="26">
        <v>2007.9</v>
      </c>
      <c r="AA161" s="26">
        <v>847.5</v>
      </c>
      <c r="AB161" s="26">
        <v>93.2</v>
      </c>
      <c r="AC161" s="26">
        <v>190.8</v>
      </c>
      <c r="AD161" s="26">
        <v>953.9</v>
      </c>
      <c r="AE161" s="26">
        <v>1653.9</v>
      </c>
      <c r="AF161" s="26">
        <v>472.1</v>
      </c>
      <c r="AG161" s="26">
        <v>293.3</v>
      </c>
      <c r="AH161" s="26">
        <v>952.1</v>
      </c>
      <c r="AI161" s="26">
        <v>43.4</v>
      </c>
      <c r="AJ161" s="26">
        <v>18.3</v>
      </c>
      <c r="AK161" s="26">
        <v>498.2</v>
      </c>
      <c r="AL161" s="26">
        <v>2444.1</v>
      </c>
      <c r="AM161" s="26">
        <v>272345</v>
      </c>
      <c r="AN161" s="26">
        <v>261944</v>
      </c>
      <c r="AO161" s="26">
        <v>68543</v>
      </c>
      <c r="AP161" s="26">
        <v>54.3</v>
      </c>
      <c r="AQ161" s="26">
        <v>1.2</v>
      </c>
      <c r="AR161" s="26">
        <v>55.5</v>
      </c>
      <c r="BL161" s="26">
        <v>217.03</v>
      </c>
      <c r="BM161" s="26">
        <v>212.63266666666661</v>
      </c>
      <c r="BN161" s="26">
        <v>16124.4</v>
      </c>
      <c r="BO161" s="26">
        <v>15359.8</v>
      </c>
      <c r="BP161" s="26">
        <v>-1</v>
      </c>
      <c r="BQ161" s="26">
        <v>5153.333333333333</v>
      </c>
      <c r="BR161" s="26">
        <v>14521</v>
      </c>
      <c r="BS161" s="26">
        <v>274301</v>
      </c>
    </row>
    <row r="162" spans="1:71">
      <c r="A162" s="55">
        <v>40268</v>
      </c>
      <c r="B162" s="26">
        <v>14721.4</v>
      </c>
      <c r="C162" s="26">
        <v>15415.1</v>
      </c>
      <c r="D162" s="26">
        <v>95.491</v>
      </c>
      <c r="E162" s="26">
        <v>10040.5</v>
      </c>
      <c r="F162" s="26">
        <v>10525.4</v>
      </c>
      <c r="G162" s="26">
        <v>95.394999999999996</v>
      </c>
      <c r="H162" s="26">
        <v>95.483999999999995</v>
      </c>
      <c r="I162" s="26">
        <v>93.766000000000005</v>
      </c>
      <c r="J162" s="26">
        <v>93.781000000000006</v>
      </c>
      <c r="K162" s="26">
        <v>93.683000000000007</v>
      </c>
      <c r="L162" s="26">
        <v>506</v>
      </c>
      <c r="M162" s="26">
        <v>382.1</v>
      </c>
      <c r="N162" s="26">
        <v>159.30000000000001</v>
      </c>
      <c r="O162" s="26">
        <v>2262.1999999999998</v>
      </c>
      <c r="P162" s="26">
        <v>79.5</v>
      </c>
      <c r="Q162" s="26">
        <v>1191.8</v>
      </c>
      <c r="R162" s="26">
        <v>1044.5999999999999</v>
      </c>
      <c r="S162" s="26">
        <v>249.8</v>
      </c>
      <c r="T162" s="26">
        <v>3131.9</v>
      </c>
      <c r="U162" s="26">
        <v>978.6</v>
      </c>
      <c r="V162" s="26">
        <v>95.393000000000001</v>
      </c>
      <c r="W162" s="26">
        <v>1275.7</v>
      </c>
      <c r="X162" s="26">
        <v>1856.2</v>
      </c>
      <c r="Y162" s="26">
        <v>1336.1</v>
      </c>
      <c r="Z162" s="26">
        <v>1979.5</v>
      </c>
      <c r="AA162" s="26">
        <v>903.4</v>
      </c>
      <c r="AB162" s="26">
        <v>93.1</v>
      </c>
      <c r="AC162" s="26">
        <v>204.7</v>
      </c>
      <c r="AD162" s="26">
        <v>960.6</v>
      </c>
      <c r="AE162" s="26">
        <v>1753.5</v>
      </c>
      <c r="AF162" s="26">
        <v>496.2</v>
      </c>
      <c r="AG162" s="26">
        <v>288.39999999999998</v>
      </c>
      <c r="AH162" s="26">
        <v>951.6</v>
      </c>
      <c r="AI162" s="26">
        <v>45.1</v>
      </c>
      <c r="AJ162" s="26">
        <v>18</v>
      </c>
      <c r="AK162" s="26">
        <v>508.7</v>
      </c>
      <c r="AL162" s="26">
        <v>2439.6999999999998</v>
      </c>
      <c r="AM162" s="26">
        <v>283268</v>
      </c>
      <c r="AN162" s="26">
        <v>271844</v>
      </c>
      <c r="AO162" s="26">
        <v>64721</v>
      </c>
      <c r="AP162" s="26">
        <v>53.2</v>
      </c>
      <c r="AQ162" s="26">
        <v>1.6</v>
      </c>
      <c r="AR162" s="26">
        <v>54.8</v>
      </c>
      <c r="BL162" s="26">
        <v>217.374</v>
      </c>
      <c r="BM162" s="26">
        <v>213.23699999999999</v>
      </c>
      <c r="BN162" s="26">
        <v>16173.6</v>
      </c>
      <c r="BO162" s="26">
        <v>15445.7</v>
      </c>
      <c r="BP162" s="26">
        <v>-1</v>
      </c>
      <c r="BQ162" s="26">
        <v>5144</v>
      </c>
      <c r="BR162" s="26">
        <v>14466</v>
      </c>
      <c r="BS162" s="26">
        <v>268022</v>
      </c>
    </row>
    <row r="163" spans="1:71">
      <c r="A163" s="55">
        <v>40359</v>
      </c>
      <c r="B163" s="26">
        <v>14926.1</v>
      </c>
      <c r="C163" s="26">
        <v>15557.3</v>
      </c>
      <c r="D163" s="26">
        <v>95.912000000000006</v>
      </c>
      <c r="E163" s="26">
        <v>10131.799999999999</v>
      </c>
      <c r="F163" s="26">
        <v>10609.1</v>
      </c>
      <c r="G163" s="26">
        <v>95.503</v>
      </c>
      <c r="H163" s="26">
        <v>96.213999999999999</v>
      </c>
      <c r="I163" s="26">
        <v>94.382000000000005</v>
      </c>
      <c r="J163" s="26">
        <v>94.444000000000003</v>
      </c>
      <c r="K163" s="26">
        <v>94.09</v>
      </c>
      <c r="L163" s="26">
        <v>510.5</v>
      </c>
      <c r="M163" s="26">
        <v>385.7</v>
      </c>
      <c r="N163" s="26">
        <v>141.19999999999999</v>
      </c>
      <c r="O163" s="26">
        <v>2268.6999999999998</v>
      </c>
      <c r="P163" s="26">
        <v>79.3</v>
      </c>
      <c r="Q163" s="26">
        <v>1213.2</v>
      </c>
      <c r="R163" s="26">
        <v>1062.0999999999999</v>
      </c>
      <c r="S163" s="26">
        <v>255.6</v>
      </c>
      <c r="T163" s="26">
        <v>3164.7</v>
      </c>
      <c r="U163" s="26">
        <v>989.5</v>
      </c>
      <c r="V163" s="26">
        <v>95.5</v>
      </c>
      <c r="W163" s="26">
        <v>1302.5999999999999</v>
      </c>
      <c r="X163" s="26">
        <v>1862.1</v>
      </c>
      <c r="Y163" s="26">
        <v>1353.9</v>
      </c>
      <c r="Z163" s="26">
        <v>1972.8</v>
      </c>
      <c r="AA163" s="26">
        <v>935.2</v>
      </c>
      <c r="AB163" s="26">
        <v>96.4</v>
      </c>
      <c r="AC163" s="26">
        <v>212.2</v>
      </c>
      <c r="AD163" s="26">
        <v>971.7</v>
      </c>
      <c r="AE163" s="26">
        <v>1755.7</v>
      </c>
      <c r="AF163" s="26">
        <v>492.6</v>
      </c>
      <c r="AG163" s="26">
        <v>278</v>
      </c>
      <c r="AH163" s="26">
        <v>965.7</v>
      </c>
      <c r="AI163" s="26">
        <v>43.4</v>
      </c>
      <c r="AJ163" s="26">
        <v>17.7</v>
      </c>
      <c r="AK163" s="26">
        <v>513</v>
      </c>
      <c r="AL163" s="26">
        <v>2444.3000000000002</v>
      </c>
      <c r="AM163" s="26">
        <v>290808</v>
      </c>
      <c r="AN163" s="26">
        <v>272456</v>
      </c>
      <c r="AO163" s="26">
        <v>73737</v>
      </c>
      <c r="AP163" s="26">
        <v>53.4</v>
      </c>
      <c r="AQ163" s="26">
        <v>2.1</v>
      </c>
      <c r="AR163" s="26">
        <v>55.5</v>
      </c>
      <c r="BL163" s="26">
        <v>217.29733333333331</v>
      </c>
      <c r="BM163" s="26">
        <v>213.15066666666669</v>
      </c>
      <c r="BN163" s="26">
        <v>16224.4</v>
      </c>
      <c r="BO163" s="26">
        <v>15566.2</v>
      </c>
      <c r="BP163" s="26">
        <v>-1</v>
      </c>
      <c r="BQ163" s="26">
        <v>5136.666666666667</v>
      </c>
      <c r="BR163" s="26">
        <v>14434</v>
      </c>
      <c r="BS163" s="26">
        <v>274526.66666666669</v>
      </c>
    </row>
    <row r="164" spans="1:71">
      <c r="A164" s="55">
        <v>40451</v>
      </c>
      <c r="B164" s="26">
        <v>15079.9</v>
      </c>
      <c r="C164" s="26">
        <v>15672</v>
      </c>
      <c r="D164" s="26">
        <v>96.251000000000005</v>
      </c>
      <c r="E164" s="26">
        <v>10220.6</v>
      </c>
      <c r="F164" s="26">
        <v>10683.3</v>
      </c>
      <c r="G164" s="26">
        <v>95.671000000000006</v>
      </c>
      <c r="H164" s="26">
        <v>96.596999999999994</v>
      </c>
      <c r="I164" s="26">
        <v>94.872</v>
      </c>
      <c r="J164" s="26">
        <v>94.978999999999999</v>
      </c>
      <c r="K164" s="26">
        <v>94.385999999999996</v>
      </c>
      <c r="L164" s="26">
        <v>515.70000000000005</v>
      </c>
      <c r="M164" s="26">
        <v>405.6</v>
      </c>
      <c r="N164" s="26">
        <v>131</v>
      </c>
      <c r="O164" s="26">
        <v>2292</v>
      </c>
      <c r="P164" s="26">
        <v>79.3</v>
      </c>
      <c r="Q164" s="26">
        <v>1256.3</v>
      </c>
      <c r="R164" s="26">
        <v>1069.0999999999999</v>
      </c>
      <c r="S164" s="26">
        <v>272.60000000000002</v>
      </c>
      <c r="T164" s="26">
        <v>3157.9</v>
      </c>
      <c r="U164" s="26">
        <v>992.3</v>
      </c>
      <c r="V164" s="26">
        <v>95.668999999999997</v>
      </c>
      <c r="W164" s="26">
        <v>1302.3</v>
      </c>
      <c r="X164" s="26">
        <v>1855.6</v>
      </c>
      <c r="Y164" s="26">
        <v>1348.1</v>
      </c>
      <c r="Z164" s="26">
        <v>1955.8</v>
      </c>
      <c r="AA164" s="26">
        <v>958.5</v>
      </c>
      <c r="AB164" s="26">
        <v>98.9</v>
      </c>
      <c r="AC164" s="26">
        <v>227.1</v>
      </c>
      <c r="AD164" s="26">
        <v>974.6</v>
      </c>
      <c r="AE164" s="26">
        <v>1758.8</v>
      </c>
      <c r="AF164" s="26">
        <v>517.79999999999995</v>
      </c>
      <c r="AG164" s="26">
        <v>297.8</v>
      </c>
      <c r="AH164" s="26">
        <v>970.1</v>
      </c>
      <c r="AI164" s="26">
        <v>45.5</v>
      </c>
      <c r="AJ164" s="26">
        <v>17.7</v>
      </c>
      <c r="AK164" s="26">
        <v>533.20000000000005</v>
      </c>
      <c r="AL164" s="26">
        <v>2453</v>
      </c>
      <c r="AM164" s="26">
        <v>297130</v>
      </c>
      <c r="AN164" s="26">
        <v>283691</v>
      </c>
      <c r="AO164" s="26">
        <v>74821</v>
      </c>
      <c r="AP164" s="26">
        <v>54.4</v>
      </c>
      <c r="AQ164" s="26">
        <v>1.6</v>
      </c>
      <c r="AR164" s="26">
        <v>56</v>
      </c>
      <c r="BL164" s="26">
        <v>217.93433333333331</v>
      </c>
      <c r="BM164" s="26">
        <v>213.82</v>
      </c>
      <c r="BN164" s="26">
        <v>16277.7</v>
      </c>
      <c r="BO164" s="26">
        <v>15662.7</v>
      </c>
      <c r="BP164" s="26">
        <v>-1</v>
      </c>
      <c r="BQ164" s="26">
        <v>5129.333333333333</v>
      </c>
      <c r="BR164" s="26">
        <v>14327.66666666667</v>
      </c>
      <c r="BS164" s="26">
        <v>277232.33333333331</v>
      </c>
    </row>
    <row r="165" spans="1:71">
      <c r="A165" s="55">
        <v>40543</v>
      </c>
      <c r="B165" s="26">
        <v>15240.8</v>
      </c>
      <c r="C165" s="26">
        <v>15750.6</v>
      </c>
      <c r="D165" s="26">
        <v>96.781000000000006</v>
      </c>
      <c r="E165" s="26">
        <v>10350.5</v>
      </c>
      <c r="F165" s="26">
        <v>10754</v>
      </c>
      <c r="G165" s="26">
        <v>96.25</v>
      </c>
      <c r="H165" s="26">
        <v>97.388999999999996</v>
      </c>
      <c r="I165" s="26">
        <v>95.658000000000001</v>
      </c>
      <c r="J165" s="26">
        <v>95.847999999999999</v>
      </c>
      <c r="K165" s="26">
        <v>94.81</v>
      </c>
      <c r="L165" s="26">
        <v>521.4</v>
      </c>
      <c r="M165" s="26">
        <v>414.1</v>
      </c>
      <c r="N165" s="26">
        <v>123.9</v>
      </c>
      <c r="O165" s="26">
        <v>2302.6999999999998</v>
      </c>
      <c r="P165" s="26">
        <v>79.5</v>
      </c>
      <c r="Q165" s="26">
        <v>1289.0999999999999</v>
      </c>
      <c r="R165" s="26">
        <v>1076.4000000000001</v>
      </c>
      <c r="S165" s="26">
        <v>284</v>
      </c>
      <c r="T165" s="26">
        <v>3164.1</v>
      </c>
      <c r="U165" s="26">
        <v>994.3</v>
      </c>
      <c r="V165" s="26">
        <v>96.248000000000005</v>
      </c>
      <c r="W165" s="26">
        <v>1311.1</v>
      </c>
      <c r="X165" s="26">
        <v>1853</v>
      </c>
      <c r="Y165" s="26">
        <v>1346.2</v>
      </c>
      <c r="Z165" s="26">
        <v>1937</v>
      </c>
      <c r="AA165" s="26">
        <v>977.2</v>
      </c>
      <c r="AB165" s="26">
        <v>98.7</v>
      </c>
      <c r="AC165" s="26">
        <v>233.6</v>
      </c>
      <c r="AD165" s="26">
        <v>976.6</v>
      </c>
      <c r="AE165" s="26">
        <v>1761.9</v>
      </c>
      <c r="AF165" s="26">
        <v>514.4</v>
      </c>
      <c r="AG165" s="26">
        <v>311.89999999999998</v>
      </c>
      <c r="AH165" s="26">
        <v>977.7</v>
      </c>
      <c r="AI165" s="26">
        <v>50.4</v>
      </c>
      <c r="AJ165" s="26">
        <v>17.7</v>
      </c>
      <c r="AK165" s="26">
        <v>540.79999999999995</v>
      </c>
      <c r="AL165" s="26">
        <v>2453.6999999999998</v>
      </c>
      <c r="AM165" s="26">
        <v>309668</v>
      </c>
      <c r="AN165" s="26">
        <v>297609</v>
      </c>
      <c r="AO165" s="26">
        <v>75022</v>
      </c>
      <c r="AP165" s="26">
        <v>56</v>
      </c>
      <c r="AQ165" s="26">
        <v>1</v>
      </c>
      <c r="AR165" s="26">
        <v>56.9</v>
      </c>
      <c r="BL165" s="26">
        <v>219.69900000000001</v>
      </c>
      <c r="BM165" s="26">
        <v>215.76400000000001</v>
      </c>
      <c r="BN165" s="26">
        <v>16333.2</v>
      </c>
      <c r="BO165" s="26">
        <v>15804.5</v>
      </c>
      <c r="BP165" s="26">
        <v>-1</v>
      </c>
      <c r="BQ165" s="26">
        <v>5137</v>
      </c>
      <c r="BR165" s="26">
        <v>14279</v>
      </c>
      <c r="BS165" s="26">
        <v>269906.33333333331</v>
      </c>
    </row>
    <row r="166" spans="1:71">
      <c r="A166" s="55">
        <v>40633</v>
      </c>
      <c r="B166" s="26">
        <v>15285.8</v>
      </c>
      <c r="C166" s="26">
        <v>15712.8</v>
      </c>
      <c r="D166" s="26">
        <v>97.275999999999996</v>
      </c>
      <c r="E166" s="26">
        <v>10485.4</v>
      </c>
      <c r="F166" s="26">
        <v>10799.7</v>
      </c>
      <c r="G166" s="26">
        <v>97.090999999999994</v>
      </c>
      <c r="H166" s="26">
        <v>98.266000000000005</v>
      </c>
      <c r="I166" s="26">
        <v>96.637</v>
      </c>
      <c r="J166" s="26">
        <v>96.92</v>
      </c>
      <c r="K166" s="26">
        <v>95.382999999999996</v>
      </c>
      <c r="L166" s="26">
        <v>527.6</v>
      </c>
      <c r="M166" s="26">
        <v>418.8</v>
      </c>
      <c r="N166" s="26">
        <v>116.7</v>
      </c>
      <c r="O166" s="26">
        <v>2313</v>
      </c>
      <c r="P166" s="26">
        <v>80.400000000000006</v>
      </c>
      <c r="Q166" s="26">
        <v>1426.6</v>
      </c>
      <c r="R166" s="26">
        <v>1091.5</v>
      </c>
      <c r="S166" s="26">
        <v>277.3</v>
      </c>
      <c r="T166" s="26">
        <v>3156</v>
      </c>
      <c r="U166" s="26">
        <v>916.2</v>
      </c>
      <c r="V166" s="26">
        <v>97.088999999999999</v>
      </c>
      <c r="W166" s="26">
        <v>1304.7</v>
      </c>
      <c r="X166" s="26">
        <v>1851.2</v>
      </c>
      <c r="Y166" s="26">
        <v>1327.7</v>
      </c>
      <c r="Z166" s="26">
        <v>1915.5</v>
      </c>
      <c r="AA166" s="26">
        <v>1111.4000000000001</v>
      </c>
      <c r="AB166" s="26">
        <v>104.7</v>
      </c>
      <c r="AC166" s="26">
        <v>228.9</v>
      </c>
      <c r="AD166" s="26">
        <v>898.3</v>
      </c>
      <c r="AE166" s="26">
        <v>1768.6</v>
      </c>
      <c r="AF166" s="26">
        <v>500.5</v>
      </c>
      <c r="AG166" s="26">
        <v>315.2</v>
      </c>
      <c r="AH166" s="26">
        <v>986.8</v>
      </c>
      <c r="AI166" s="26">
        <v>48.4</v>
      </c>
      <c r="AJ166" s="26">
        <v>17.899999999999999</v>
      </c>
      <c r="AK166" s="26">
        <v>544.4</v>
      </c>
      <c r="AL166" s="26">
        <v>2452.6999999999998</v>
      </c>
      <c r="AM166" s="26">
        <v>293840</v>
      </c>
      <c r="AN166" s="26">
        <v>282445</v>
      </c>
      <c r="AO166" s="26">
        <v>70503</v>
      </c>
      <c r="AP166" s="26">
        <v>58</v>
      </c>
      <c r="AQ166" s="26">
        <v>0.9</v>
      </c>
      <c r="AR166" s="26">
        <v>58.9</v>
      </c>
      <c r="BL166" s="26">
        <v>222.0436666666667</v>
      </c>
      <c r="BM166" s="26">
        <v>218.41566666666671</v>
      </c>
      <c r="BN166" s="26">
        <v>16390.900000000001</v>
      </c>
      <c r="BO166" s="26">
        <v>15945.5</v>
      </c>
      <c r="BP166" s="26">
        <v>-1</v>
      </c>
      <c r="BQ166" s="26">
        <v>5113.333333333333</v>
      </c>
      <c r="BR166" s="26">
        <v>14232.66666666667</v>
      </c>
      <c r="BS166" s="26">
        <v>258077</v>
      </c>
    </row>
    <row r="167" spans="1:71">
      <c r="A167" s="55">
        <v>40724</v>
      </c>
      <c r="B167" s="26">
        <v>15496.2</v>
      </c>
      <c r="C167" s="26">
        <v>15825.1</v>
      </c>
      <c r="D167" s="26">
        <v>97.974999999999994</v>
      </c>
      <c r="E167" s="26">
        <v>10612.1</v>
      </c>
      <c r="F167" s="26">
        <v>10823.7</v>
      </c>
      <c r="G167" s="26">
        <v>98.048000000000002</v>
      </c>
      <c r="H167" s="26">
        <v>99.155000000000001</v>
      </c>
      <c r="I167" s="26">
        <v>97.801000000000002</v>
      </c>
      <c r="J167" s="26">
        <v>98.129000000000005</v>
      </c>
      <c r="K167" s="26">
        <v>96.346999999999994</v>
      </c>
      <c r="L167" s="26">
        <v>533.4</v>
      </c>
      <c r="M167" s="26">
        <v>409.7</v>
      </c>
      <c r="N167" s="26">
        <v>109.3</v>
      </c>
      <c r="O167" s="26">
        <v>2312.1</v>
      </c>
      <c r="P167" s="26">
        <v>81.5</v>
      </c>
      <c r="Q167" s="26">
        <v>1445.9</v>
      </c>
      <c r="R167" s="26">
        <v>1105.5</v>
      </c>
      <c r="S167" s="26">
        <v>276.89999999999998</v>
      </c>
      <c r="T167" s="26">
        <v>3168.6</v>
      </c>
      <c r="U167" s="26">
        <v>918.9</v>
      </c>
      <c r="V167" s="26">
        <v>98.046000000000006</v>
      </c>
      <c r="W167" s="26">
        <v>1311.8</v>
      </c>
      <c r="X167" s="26">
        <v>1856.7</v>
      </c>
      <c r="Y167" s="26">
        <v>1322.9</v>
      </c>
      <c r="Z167" s="26">
        <v>1898.4</v>
      </c>
      <c r="AA167" s="26">
        <v>1126.5</v>
      </c>
      <c r="AB167" s="26">
        <v>109.1</v>
      </c>
      <c r="AC167" s="26">
        <v>227.2</v>
      </c>
      <c r="AD167" s="26">
        <v>900.9</v>
      </c>
      <c r="AE167" s="26">
        <v>1777.4</v>
      </c>
      <c r="AF167" s="26">
        <v>503.4</v>
      </c>
      <c r="AG167" s="26">
        <v>319.39999999999998</v>
      </c>
      <c r="AH167" s="26">
        <v>996.4</v>
      </c>
      <c r="AI167" s="26">
        <v>49.8</v>
      </c>
      <c r="AJ167" s="26">
        <v>18</v>
      </c>
      <c r="AK167" s="26">
        <v>534.70000000000005</v>
      </c>
      <c r="AL167" s="26">
        <v>2446.1999999999998</v>
      </c>
      <c r="AM167" s="26">
        <v>288900</v>
      </c>
      <c r="AN167" s="26">
        <v>277196</v>
      </c>
      <c r="AO167" s="26">
        <v>69145</v>
      </c>
      <c r="AP167" s="26">
        <v>59.5</v>
      </c>
      <c r="AQ167" s="26">
        <v>0.4</v>
      </c>
      <c r="AR167" s="26">
        <v>59.9</v>
      </c>
      <c r="BL167" s="26">
        <v>224.5683333333333</v>
      </c>
      <c r="BM167" s="26">
        <v>221.28766666666669</v>
      </c>
      <c r="BN167" s="26">
        <v>16450.900000000001</v>
      </c>
      <c r="BO167" s="26">
        <v>16109</v>
      </c>
      <c r="BP167" s="26">
        <v>-1</v>
      </c>
      <c r="BQ167" s="26">
        <v>5084.333333333333</v>
      </c>
      <c r="BR167" s="26">
        <v>14207.66666666667</v>
      </c>
      <c r="BS167" s="26">
        <v>251739</v>
      </c>
    </row>
    <row r="168" spans="1:71">
      <c r="A168" s="55">
        <v>40816</v>
      </c>
      <c r="B168" s="26">
        <v>15591.9</v>
      </c>
      <c r="C168" s="26">
        <v>15820.7</v>
      </c>
      <c r="D168" s="26">
        <v>98.519000000000005</v>
      </c>
      <c r="E168" s="26">
        <v>10705.4</v>
      </c>
      <c r="F168" s="26">
        <v>10866</v>
      </c>
      <c r="G168" s="26">
        <v>98.522999999999996</v>
      </c>
      <c r="H168" s="26">
        <v>99.498000000000005</v>
      </c>
      <c r="I168" s="26">
        <v>98.313999999999993</v>
      </c>
      <c r="J168" s="26">
        <v>98.510999999999996</v>
      </c>
      <c r="K168" s="26">
        <v>97.436000000000007</v>
      </c>
      <c r="L168" s="26">
        <v>538.5</v>
      </c>
      <c r="M168" s="26">
        <v>396.4</v>
      </c>
      <c r="N168" s="26">
        <v>102.9</v>
      </c>
      <c r="O168" s="26">
        <v>2303.1999999999998</v>
      </c>
      <c r="P168" s="26">
        <v>82.7</v>
      </c>
      <c r="Q168" s="26">
        <v>1471.4</v>
      </c>
      <c r="R168" s="26">
        <v>1103.9000000000001</v>
      </c>
      <c r="S168" s="26">
        <v>248.2</v>
      </c>
      <c r="T168" s="26">
        <v>3137.5</v>
      </c>
      <c r="U168" s="26">
        <v>927.3</v>
      </c>
      <c r="V168" s="26">
        <v>98.521000000000001</v>
      </c>
      <c r="W168" s="26">
        <v>1288</v>
      </c>
      <c r="X168" s="26">
        <v>1849.5</v>
      </c>
      <c r="Y168" s="26">
        <v>1294.4000000000001</v>
      </c>
      <c r="Z168" s="26">
        <v>1881.1</v>
      </c>
      <c r="AA168" s="26">
        <v>1144.2</v>
      </c>
      <c r="AB168" s="26">
        <v>109.4</v>
      </c>
      <c r="AC168" s="26">
        <v>201.7</v>
      </c>
      <c r="AD168" s="26">
        <v>909.4</v>
      </c>
      <c r="AE168" s="26">
        <v>1782.4</v>
      </c>
      <c r="AF168" s="26">
        <v>448.3</v>
      </c>
      <c r="AG168" s="26">
        <v>327.2</v>
      </c>
      <c r="AH168" s="26">
        <v>994.5</v>
      </c>
      <c r="AI168" s="26">
        <v>46.4</v>
      </c>
      <c r="AJ168" s="26">
        <v>17.899999999999999</v>
      </c>
      <c r="AK168" s="26">
        <v>520.70000000000005</v>
      </c>
      <c r="AL168" s="26">
        <v>2424.5</v>
      </c>
      <c r="AM168" s="26">
        <v>248813</v>
      </c>
      <c r="AN168" s="26">
        <v>237739</v>
      </c>
      <c r="AO168" s="26">
        <v>65916</v>
      </c>
      <c r="AP168" s="26">
        <v>59.7</v>
      </c>
      <c r="AQ168" s="26">
        <v>0.4</v>
      </c>
      <c r="AR168" s="26">
        <v>60.2</v>
      </c>
      <c r="BL168" s="26">
        <v>226.0326666666667</v>
      </c>
      <c r="BM168" s="26">
        <v>222.738</v>
      </c>
      <c r="BN168" s="26">
        <v>16513.3</v>
      </c>
      <c r="BO168" s="26">
        <v>16274.4</v>
      </c>
      <c r="BP168" s="26">
        <v>-1</v>
      </c>
      <c r="BQ168" s="26">
        <v>5069.666666666667</v>
      </c>
      <c r="BR168" s="26">
        <v>14094</v>
      </c>
      <c r="BS168" s="26">
        <v>253215.33333333331</v>
      </c>
    </row>
    <row r="169" spans="1:71">
      <c r="A169" s="55">
        <v>40908</v>
      </c>
      <c r="B169" s="26">
        <v>15796.5</v>
      </c>
      <c r="C169" s="26">
        <v>16004.1</v>
      </c>
      <c r="D169" s="26">
        <v>98.676000000000002</v>
      </c>
      <c r="E169" s="26">
        <v>10761.6</v>
      </c>
      <c r="F169" s="26">
        <v>10885.9</v>
      </c>
      <c r="G169" s="26">
        <v>98.86</v>
      </c>
      <c r="H169" s="26">
        <v>99.363</v>
      </c>
      <c r="I169" s="26">
        <v>98.203999999999994</v>
      </c>
      <c r="J169" s="26">
        <v>98.167000000000002</v>
      </c>
      <c r="K169" s="26">
        <v>98.352000000000004</v>
      </c>
      <c r="L169" s="26">
        <v>542.9</v>
      </c>
      <c r="M169" s="26">
        <v>399.3</v>
      </c>
      <c r="N169" s="26">
        <v>99.8</v>
      </c>
      <c r="O169" s="26">
        <v>2312.1999999999998</v>
      </c>
      <c r="P169" s="26">
        <v>84.1</v>
      </c>
      <c r="Q169" s="26">
        <v>1470.9</v>
      </c>
      <c r="R169" s="26">
        <v>1114</v>
      </c>
      <c r="S169" s="26">
        <v>287</v>
      </c>
      <c r="T169" s="26">
        <v>3131.4</v>
      </c>
      <c r="U169" s="26">
        <v>921.9</v>
      </c>
      <c r="V169" s="26">
        <v>98.858000000000004</v>
      </c>
      <c r="W169" s="26">
        <v>1291.2</v>
      </c>
      <c r="X169" s="26">
        <v>1840.3</v>
      </c>
      <c r="Y169" s="26">
        <v>1299.4000000000001</v>
      </c>
      <c r="Z169" s="26">
        <v>1873.8</v>
      </c>
      <c r="AA169" s="26">
        <v>1141</v>
      </c>
      <c r="AB169" s="26">
        <v>111.4</v>
      </c>
      <c r="AC169" s="26">
        <v>238</v>
      </c>
      <c r="AD169" s="26">
        <v>904.2</v>
      </c>
      <c r="AE169" s="26">
        <v>1789.3</v>
      </c>
      <c r="AF169" s="26">
        <v>437.7</v>
      </c>
      <c r="AG169" s="26">
        <v>329.9</v>
      </c>
      <c r="AH169" s="26">
        <v>1002.7</v>
      </c>
      <c r="AI169" s="26">
        <v>49</v>
      </c>
      <c r="AJ169" s="26">
        <v>17.7</v>
      </c>
      <c r="AK169" s="26">
        <v>522.9</v>
      </c>
      <c r="AL169" s="26">
        <v>2419.1</v>
      </c>
      <c r="AM169" s="26">
        <v>249625</v>
      </c>
      <c r="AN169" s="26">
        <v>239291</v>
      </c>
      <c r="AO169" s="26">
        <v>70531</v>
      </c>
      <c r="AP169" s="26">
        <v>60.6</v>
      </c>
      <c r="AQ169" s="26">
        <v>0.4</v>
      </c>
      <c r="AR169" s="26">
        <v>61.1</v>
      </c>
      <c r="BL169" s="26">
        <v>227.04733333333331</v>
      </c>
      <c r="BM169" s="26">
        <v>223.77466666666669</v>
      </c>
      <c r="BN169" s="26">
        <v>16577.3</v>
      </c>
      <c r="BO169" s="26">
        <v>16362.2</v>
      </c>
      <c r="BP169" s="26">
        <v>-1</v>
      </c>
      <c r="BQ169" s="26">
        <v>5051</v>
      </c>
      <c r="BR169" s="26">
        <v>14080.66666666667</v>
      </c>
      <c r="BS169" s="26">
        <v>258046</v>
      </c>
    </row>
    <row r="170" spans="1:71">
      <c r="A170" s="55">
        <v>40999</v>
      </c>
      <c r="B170" s="26">
        <v>16019.8</v>
      </c>
      <c r="C170" s="26">
        <v>16129.4</v>
      </c>
      <c r="D170" s="26">
        <v>99.284000000000006</v>
      </c>
      <c r="E170" s="26">
        <v>10922.4</v>
      </c>
      <c r="F170" s="26">
        <v>10973.3</v>
      </c>
      <c r="G170" s="26">
        <v>99.537999999999997</v>
      </c>
      <c r="H170" s="26">
        <v>99.704999999999998</v>
      </c>
      <c r="I170" s="26">
        <v>99.403000000000006</v>
      </c>
      <c r="J170" s="26">
        <v>99.471999999999994</v>
      </c>
      <c r="K170" s="26">
        <v>99.088999999999999</v>
      </c>
      <c r="L170" s="26">
        <v>547</v>
      </c>
      <c r="M170" s="26">
        <v>400.6</v>
      </c>
      <c r="N170" s="26">
        <v>94.6</v>
      </c>
      <c r="O170" s="26">
        <v>2296.8000000000002</v>
      </c>
      <c r="P170" s="26">
        <v>85.2</v>
      </c>
      <c r="Q170" s="26">
        <v>1468.3</v>
      </c>
      <c r="R170" s="26">
        <v>1130.9000000000001</v>
      </c>
      <c r="S170" s="26">
        <v>310.7</v>
      </c>
      <c r="T170" s="26">
        <v>3144.7</v>
      </c>
      <c r="U170" s="26">
        <v>944.9</v>
      </c>
      <c r="V170" s="26">
        <v>99.537000000000006</v>
      </c>
      <c r="W170" s="26">
        <v>1295.5999999999999</v>
      </c>
      <c r="X170" s="26">
        <v>1849</v>
      </c>
      <c r="Y170" s="26">
        <v>1299.4000000000001</v>
      </c>
      <c r="Z170" s="26">
        <v>1860.1</v>
      </c>
      <c r="AA170" s="26">
        <v>1138.3</v>
      </c>
      <c r="AB170" s="26">
        <v>113.9</v>
      </c>
      <c r="AC170" s="26">
        <v>261.5</v>
      </c>
      <c r="AD170" s="26">
        <v>927.5</v>
      </c>
      <c r="AE170" s="26">
        <v>1772.9</v>
      </c>
      <c r="AF170" s="26">
        <v>441.7</v>
      </c>
      <c r="AG170" s="26">
        <v>330.1</v>
      </c>
      <c r="AH170" s="26">
        <v>1016.9</v>
      </c>
      <c r="AI170" s="26">
        <v>49.2</v>
      </c>
      <c r="AJ170" s="26">
        <v>17.399999999999999</v>
      </c>
      <c r="AK170" s="26">
        <v>523.9</v>
      </c>
      <c r="AL170" s="26">
        <v>2432.4</v>
      </c>
      <c r="AM170" s="26">
        <v>258161</v>
      </c>
      <c r="AN170" s="26">
        <v>246248</v>
      </c>
      <c r="AO170" s="26">
        <v>67107</v>
      </c>
      <c r="AP170" s="26">
        <v>57.9</v>
      </c>
      <c r="AQ170" s="26">
        <v>0.5</v>
      </c>
      <c r="AR170" s="26">
        <v>58.4</v>
      </c>
      <c r="BL170" s="26">
        <v>228.32599999999999</v>
      </c>
      <c r="BM170" s="26">
        <v>225.08733333333331</v>
      </c>
      <c r="BN170" s="26">
        <v>16642.900000000001</v>
      </c>
      <c r="BO170" s="26">
        <v>16529.8</v>
      </c>
      <c r="BP170" s="26">
        <v>-1</v>
      </c>
      <c r="BQ170" s="26">
        <v>5048</v>
      </c>
      <c r="BR170" s="26">
        <v>14067.66666666667</v>
      </c>
      <c r="BS170" s="26">
        <v>254528.33333333331</v>
      </c>
    </row>
    <row r="171" spans="1:71">
      <c r="A171" s="55">
        <v>41090</v>
      </c>
      <c r="B171" s="26">
        <v>16152.3</v>
      </c>
      <c r="C171" s="26">
        <v>16198.8</v>
      </c>
      <c r="D171" s="26">
        <v>99.688999999999993</v>
      </c>
      <c r="E171" s="26">
        <v>10964.9</v>
      </c>
      <c r="F171" s="26">
        <v>10989.6</v>
      </c>
      <c r="G171" s="26">
        <v>99.775999999999996</v>
      </c>
      <c r="H171" s="26">
        <v>99.927999999999997</v>
      </c>
      <c r="I171" s="26">
        <v>99.4</v>
      </c>
      <c r="J171" s="26">
        <v>99.293999999999997</v>
      </c>
      <c r="K171" s="26">
        <v>99.879000000000005</v>
      </c>
      <c r="L171" s="26">
        <v>551.6</v>
      </c>
      <c r="M171" s="26">
        <v>421.7</v>
      </c>
      <c r="N171" s="26">
        <v>86.3</v>
      </c>
      <c r="O171" s="26">
        <v>2321.8000000000002</v>
      </c>
      <c r="P171" s="26">
        <v>86.3</v>
      </c>
      <c r="Q171" s="26">
        <v>1487.7</v>
      </c>
      <c r="R171" s="26">
        <v>1133.9000000000001</v>
      </c>
      <c r="S171" s="26">
        <v>325</v>
      </c>
      <c r="T171" s="26">
        <v>3131</v>
      </c>
      <c r="U171" s="26">
        <v>949.4</v>
      </c>
      <c r="V171" s="26">
        <v>99.775000000000006</v>
      </c>
      <c r="W171" s="26">
        <v>1288.2</v>
      </c>
      <c r="X171" s="26">
        <v>1842.9</v>
      </c>
      <c r="Y171" s="26">
        <v>1289.0999999999999</v>
      </c>
      <c r="Z171" s="26">
        <v>1854</v>
      </c>
      <c r="AA171" s="26">
        <v>1150.5999999999999</v>
      </c>
      <c r="AB171" s="26">
        <v>114.4</v>
      </c>
      <c r="AC171" s="26">
        <v>275.5</v>
      </c>
      <c r="AD171" s="26">
        <v>932.2</v>
      </c>
      <c r="AE171" s="26">
        <v>1777.5</v>
      </c>
      <c r="AF171" s="26">
        <v>447.9</v>
      </c>
      <c r="AG171" s="26">
        <v>337</v>
      </c>
      <c r="AH171" s="26">
        <v>1019.5</v>
      </c>
      <c r="AI171" s="26">
        <v>49.5</v>
      </c>
      <c r="AJ171" s="26">
        <v>17.2</v>
      </c>
      <c r="AK171" s="26">
        <v>544.4</v>
      </c>
      <c r="AL171" s="26">
        <v>2448.3000000000002</v>
      </c>
      <c r="AM171" s="26">
        <v>273390</v>
      </c>
      <c r="AN171" s="26">
        <v>262324</v>
      </c>
      <c r="AO171" s="26">
        <v>67670</v>
      </c>
      <c r="AP171" s="26">
        <v>57.6</v>
      </c>
      <c r="AQ171" s="26">
        <v>0.5</v>
      </c>
      <c r="AR171" s="26">
        <v>58.1</v>
      </c>
      <c r="BL171" s="26">
        <v>228.80799999999999</v>
      </c>
      <c r="BM171" s="26">
        <v>225.45933333333329</v>
      </c>
      <c r="BN171" s="26">
        <v>16710.5</v>
      </c>
      <c r="BO171" s="26">
        <v>16662.5</v>
      </c>
      <c r="BP171" s="26">
        <v>-1</v>
      </c>
      <c r="BQ171" s="26">
        <v>5055.333333333333</v>
      </c>
      <c r="BR171" s="26">
        <v>14044.33333333333</v>
      </c>
      <c r="BS171" s="26">
        <v>254598.66666666669</v>
      </c>
    </row>
    <row r="172" spans="1:71">
      <c r="A172" s="55">
        <v>41182</v>
      </c>
      <c r="B172" s="26">
        <v>16257.2</v>
      </c>
      <c r="C172" s="26">
        <v>16220.7</v>
      </c>
      <c r="D172" s="26">
        <v>100.29900000000001</v>
      </c>
      <c r="E172" s="26">
        <v>11014.2</v>
      </c>
      <c r="F172" s="26">
        <v>11007.5</v>
      </c>
      <c r="G172" s="26">
        <v>100.062</v>
      </c>
      <c r="H172" s="26">
        <v>100.122</v>
      </c>
      <c r="I172" s="26">
        <v>99.988</v>
      </c>
      <c r="J172" s="26">
        <v>99.894000000000005</v>
      </c>
      <c r="K172" s="26">
        <v>100.417</v>
      </c>
      <c r="L172" s="26">
        <v>557.1</v>
      </c>
      <c r="M172" s="26">
        <v>419</v>
      </c>
      <c r="N172" s="26">
        <v>78.400000000000006</v>
      </c>
      <c r="O172" s="26">
        <v>2325.6</v>
      </c>
      <c r="P172" s="26">
        <v>86.9</v>
      </c>
      <c r="Q172" s="26">
        <v>1510</v>
      </c>
      <c r="R172" s="26">
        <v>1131.3</v>
      </c>
      <c r="S172" s="26">
        <v>332.9</v>
      </c>
      <c r="T172" s="26">
        <v>3139.6</v>
      </c>
      <c r="U172" s="26">
        <v>952.3</v>
      </c>
      <c r="V172" s="26">
        <v>100.06100000000001</v>
      </c>
      <c r="W172" s="26">
        <v>1293.3</v>
      </c>
      <c r="X172" s="26">
        <v>1846.3</v>
      </c>
      <c r="Y172" s="26">
        <v>1291.7</v>
      </c>
      <c r="Z172" s="26">
        <v>1846.5</v>
      </c>
      <c r="AA172" s="26">
        <v>1163.8</v>
      </c>
      <c r="AB172" s="26">
        <v>114.7</v>
      </c>
      <c r="AC172" s="26">
        <v>280.8</v>
      </c>
      <c r="AD172" s="26">
        <v>935.2</v>
      </c>
      <c r="AE172" s="26">
        <v>1783.6</v>
      </c>
      <c r="AF172" s="26">
        <v>440</v>
      </c>
      <c r="AG172" s="26">
        <v>346.2</v>
      </c>
      <c r="AH172" s="26">
        <v>1016.6</v>
      </c>
      <c r="AI172" s="26">
        <v>52.1</v>
      </c>
      <c r="AJ172" s="26">
        <v>17.100000000000001</v>
      </c>
      <c r="AK172" s="26">
        <v>542</v>
      </c>
      <c r="AL172" s="26">
        <v>2449.6</v>
      </c>
      <c r="AM172" s="26">
        <v>263079</v>
      </c>
      <c r="AN172" s="26">
        <v>250540</v>
      </c>
      <c r="AO172" s="26">
        <v>65880</v>
      </c>
      <c r="AP172" s="26">
        <v>55.8</v>
      </c>
      <c r="AQ172" s="26">
        <v>0.5</v>
      </c>
      <c r="AR172" s="26">
        <v>56.3</v>
      </c>
      <c r="BL172" s="26">
        <v>229.84100000000001</v>
      </c>
      <c r="BM172" s="26">
        <v>226.357</v>
      </c>
      <c r="BN172" s="26">
        <v>16779.7</v>
      </c>
      <c r="BO172" s="26">
        <v>16817.400000000001</v>
      </c>
      <c r="BP172" s="26">
        <v>-1</v>
      </c>
      <c r="BQ172" s="26">
        <v>5064.666666666667</v>
      </c>
      <c r="BR172" s="26">
        <v>14034.33333333333</v>
      </c>
      <c r="BS172" s="26">
        <v>252248.66666666669</v>
      </c>
    </row>
    <row r="173" spans="1:71">
      <c r="A173" s="55">
        <v>41274</v>
      </c>
      <c r="B173" s="26">
        <v>16358.9</v>
      </c>
      <c r="C173" s="26">
        <v>16239.1</v>
      </c>
      <c r="D173" s="26">
        <v>100.72799999999999</v>
      </c>
      <c r="E173" s="26">
        <v>11125.7</v>
      </c>
      <c r="F173" s="26">
        <v>11056.9</v>
      </c>
      <c r="G173" s="26">
        <v>100.624</v>
      </c>
      <c r="H173" s="26">
        <v>100.245</v>
      </c>
      <c r="I173" s="26">
        <v>101.21</v>
      </c>
      <c r="J173" s="26">
        <v>101.339</v>
      </c>
      <c r="K173" s="26">
        <v>100.61499999999999</v>
      </c>
      <c r="L173" s="26">
        <v>563.4</v>
      </c>
      <c r="M173" s="26">
        <v>428.9</v>
      </c>
      <c r="N173" s="26">
        <v>75.099999999999994</v>
      </c>
      <c r="O173" s="26">
        <v>2346.1</v>
      </c>
      <c r="P173" s="26">
        <v>86.8</v>
      </c>
      <c r="Q173" s="26">
        <v>1572</v>
      </c>
      <c r="R173" s="26">
        <v>1148.4000000000001</v>
      </c>
      <c r="S173" s="26">
        <v>332.8</v>
      </c>
      <c r="T173" s="26">
        <v>3132.7</v>
      </c>
      <c r="U173" s="26">
        <v>974.1</v>
      </c>
      <c r="V173" s="26">
        <v>100.623</v>
      </c>
      <c r="W173" s="26">
        <v>1269.0999999999999</v>
      </c>
      <c r="X173" s="26">
        <v>1863.7</v>
      </c>
      <c r="Y173" s="26">
        <v>1265.9000000000001</v>
      </c>
      <c r="Z173" s="26">
        <v>1841.4</v>
      </c>
      <c r="AA173" s="26">
        <v>1212.9000000000001</v>
      </c>
      <c r="AB173" s="26">
        <v>117.6</v>
      </c>
      <c r="AC173" s="26">
        <v>280.89999999999998</v>
      </c>
      <c r="AD173" s="26">
        <v>957</v>
      </c>
      <c r="AE173" s="26">
        <v>1793.4</v>
      </c>
      <c r="AF173" s="26">
        <v>448.2</v>
      </c>
      <c r="AG173" s="26">
        <v>359.2</v>
      </c>
      <c r="AH173" s="26">
        <v>1030.8</v>
      </c>
      <c r="AI173" s="26">
        <v>51.9</v>
      </c>
      <c r="AJ173" s="26">
        <v>17.100000000000001</v>
      </c>
      <c r="AK173" s="26">
        <v>552.70000000000005</v>
      </c>
      <c r="AL173" s="26">
        <v>2476.6999999999998</v>
      </c>
      <c r="AM173" s="26">
        <v>269710</v>
      </c>
      <c r="AN173" s="26">
        <v>259562</v>
      </c>
      <c r="AO173" s="26">
        <v>65507</v>
      </c>
      <c r="AP173" s="26">
        <v>58.9</v>
      </c>
      <c r="AQ173" s="26">
        <v>0.5</v>
      </c>
      <c r="AR173" s="26">
        <v>59.4</v>
      </c>
      <c r="BL173" s="26">
        <v>231.36933333333329</v>
      </c>
      <c r="BM173" s="26">
        <v>227.97166666666669</v>
      </c>
      <c r="BN173" s="26">
        <v>16850.099999999999</v>
      </c>
      <c r="BO173" s="26">
        <v>16974.5</v>
      </c>
      <c r="BP173" s="26">
        <v>-1</v>
      </c>
      <c r="BQ173" s="26">
        <v>5051.666666666667</v>
      </c>
      <c r="BR173" s="26">
        <v>14026.33333333333</v>
      </c>
      <c r="BS173" s="26">
        <v>246424.33333333331</v>
      </c>
    </row>
    <row r="174" spans="1:71">
      <c r="A174" s="55">
        <v>41364</v>
      </c>
      <c r="B174" s="26">
        <v>16569.599999999999</v>
      </c>
      <c r="C174" s="26">
        <v>16383</v>
      </c>
      <c r="D174" s="26">
        <v>101.123</v>
      </c>
      <c r="E174" s="26">
        <v>11223.2</v>
      </c>
      <c r="F174" s="26">
        <v>11114.2</v>
      </c>
      <c r="G174" s="26">
        <v>100.982</v>
      </c>
      <c r="H174" s="26">
        <v>100.241</v>
      </c>
      <c r="I174" s="26">
        <v>102.318</v>
      </c>
      <c r="J174" s="26">
        <v>102.598</v>
      </c>
      <c r="K174" s="26">
        <v>101.023</v>
      </c>
      <c r="L174" s="26">
        <v>570.29999999999995</v>
      </c>
      <c r="M174" s="26">
        <v>424.8</v>
      </c>
      <c r="N174" s="26">
        <v>69</v>
      </c>
      <c r="O174" s="26">
        <v>2365.6999999999998</v>
      </c>
      <c r="P174" s="26">
        <v>86.6</v>
      </c>
      <c r="Q174" s="26">
        <v>1650</v>
      </c>
      <c r="R174" s="26">
        <v>1174.5999999999999</v>
      </c>
      <c r="S174" s="26">
        <v>350.8</v>
      </c>
      <c r="T174" s="26">
        <v>3125</v>
      </c>
      <c r="U174" s="26">
        <v>1095.9000000000001</v>
      </c>
      <c r="V174" s="26">
        <v>100.98099999999999</v>
      </c>
      <c r="W174" s="26">
        <v>1240</v>
      </c>
      <c r="X174" s="26">
        <v>1885</v>
      </c>
      <c r="Y174" s="26">
        <v>1236.9000000000001</v>
      </c>
      <c r="Z174" s="26">
        <v>1842.3</v>
      </c>
      <c r="AA174" s="26">
        <v>1273.5</v>
      </c>
      <c r="AB174" s="26">
        <v>122.3</v>
      </c>
      <c r="AC174" s="26">
        <v>297</v>
      </c>
      <c r="AD174" s="26">
        <v>1078.5999999999999</v>
      </c>
      <c r="AE174" s="26">
        <v>1817.3</v>
      </c>
      <c r="AF174" s="26">
        <v>440</v>
      </c>
      <c r="AG174" s="26">
        <v>376.5</v>
      </c>
      <c r="AH174" s="26">
        <v>1052.3</v>
      </c>
      <c r="AI174" s="26">
        <v>53.8</v>
      </c>
      <c r="AJ174" s="26">
        <v>17.3</v>
      </c>
      <c r="AK174" s="26">
        <v>548.4</v>
      </c>
      <c r="AL174" s="26">
        <v>2486.1999999999998</v>
      </c>
      <c r="AM174" s="26">
        <v>272063</v>
      </c>
      <c r="AN174" s="26">
        <v>258450</v>
      </c>
      <c r="AO174" s="26">
        <v>67564</v>
      </c>
      <c r="AP174" s="26">
        <v>58.9</v>
      </c>
      <c r="AQ174" s="26">
        <v>0.5</v>
      </c>
      <c r="AR174" s="26">
        <v>59.4</v>
      </c>
      <c r="BL174" s="26">
        <v>232.29933333333341</v>
      </c>
      <c r="BM174" s="26">
        <v>228.8366666666667</v>
      </c>
      <c r="BN174" s="26">
        <v>16921.8</v>
      </c>
      <c r="BO174" s="26">
        <v>17114.599999999999</v>
      </c>
      <c r="BP174" s="26">
        <v>-1</v>
      </c>
      <c r="BQ174" s="26">
        <v>5042</v>
      </c>
      <c r="BR174" s="26">
        <v>14029.33333333333</v>
      </c>
      <c r="BS174" s="26">
        <v>242924.33333333331</v>
      </c>
    </row>
    <row r="175" spans="1:71">
      <c r="A175" s="55">
        <v>41455</v>
      </c>
      <c r="B175" s="26">
        <v>16637.900000000001</v>
      </c>
      <c r="C175" s="26">
        <v>16403.2</v>
      </c>
      <c r="D175" s="26">
        <v>101.431</v>
      </c>
      <c r="E175" s="26">
        <v>11239.6</v>
      </c>
      <c r="F175" s="26">
        <v>11122.2</v>
      </c>
      <c r="G175" s="26">
        <v>101.057</v>
      </c>
      <c r="H175" s="26">
        <v>100.43600000000001</v>
      </c>
      <c r="I175" s="26">
        <v>102.861</v>
      </c>
      <c r="J175" s="26">
        <v>103.14700000000001</v>
      </c>
      <c r="K175" s="26">
        <v>101.538</v>
      </c>
      <c r="L175" s="26">
        <v>567.1</v>
      </c>
      <c r="M175" s="26">
        <v>438.4</v>
      </c>
      <c r="N175" s="26">
        <v>64.8</v>
      </c>
      <c r="O175" s="26">
        <v>2378.3000000000002</v>
      </c>
      <c r="P175" s="26">
        <v>86.8</v>
      </c>
      <c r="Q175" s="26">
        <v>1682.5</v>
      </c>
      <c r="R175" s="26">
        <v>1180.8</v>
      </c>
      <c r="S175" s="26">
        <v>347.3</v>
      </c>
      <c r="T175" s="26">
        <v>3132</v>
      </c>
      <c r="U175" s="26">
        <v>1108.2</v>
      </c>
      <c r="V175" s="26">
        <v>101.056</v>
      </c>
      <c r="W175" s="26">
        <v>1232.3</v>
      </c>
      <c r="X175" s="26">
        <v>1899.6</v>
      </c>
      <c r="Y175" s="26">
        <v>1226.8</v>
      </c>
      <c r="Z175" s="26">
        <v>1846.8</v>
      </c>
      <c r="AA175" s="26">
        <v>1296.4000000000001</v>
      </c>
      <c r="AB175" s="26">
        <v>124.4</v>
      </c>
      <c r="AC175" s="26">
        <v>293.2</v>
      </c>
      <c r="AD175" s="26">
        <v>1090.7</v>
      </c>
      <c r="AE175" s="26">
        <v>1815.5</v>
      </c>
      <c r="AF175" s="26">
        <v>459.2</v>
      </c>
      <c r="AG175" s="26">
        <v>386.1</v>
      </c>
      <c r="AH175" s="26">
        <v>1056.4000000000001</v>
      </c>
      <c r="AI175" s="26">
        <v>54.1</v>
      </c>
      <c r="AJ175" s="26">
        <v>17.5</v>
      </c>
      <c r="AK175" s="26">
        <v>562.79999999999995</v>
      </c>
      <c r="AL175" s="26">
        <v>2508.1999999999998</v>
      </c>
      <c r="AM175" s="26">
        <v>283408</v>
      </c>
      <c r="AN175" s="26">
        <v>270887</v>
      </c>
      <c r="AO175" s="26">
        <v>63979</v>
      </c>
      <c r="AP175" s="26">
        <v>59.6</v>
      </c>
      <c r="AQ175" s="26">
        <v>0.5</v>
      </c>
      <c r="AR175" s="26">
        <v>60.1</v>
      </c>
      <c r="BL175" s="26">
        <v>232.04499999999999</v>
      </c>
      <c r="BM175" s="26">
        <v>228.40966666666671</v>
      </c>
      <c r="BN175" s="26">
        <v>16994.900000000001</v>
      </c>
      <c r="BO175" s="26">
        <v>17238</v>
      </c>
      <c r="BP175" s="26">
        <v>-1</v>
      </c>
      <c r="BQ175" s="26">
        <v>5044.666666666667</v>
      </c>
      <c r="BR175" s="26">
        <v>14033</v>
      </c>
      <c r="BS175" s="26">
        <v>245991.66666666669</v>
      </c>
    </row>
    <row r="176" spans="1:71">
      <c r="A176" s="55">
        <v>41547</v>
      </c>
      <c r="B176" s="26">
        <v>16848.7</v>
      </c>
      <c r="C176" s="26">
        <v>16531.7</v>
      </c>
      <c r="D176" s="26">
        <v>101.985</v>
      </c>
      <c r="E176" s="26">
        <v>11330.9</v>
      </c>
      <c r="F176" s="26">
        <v>11167.4</v>
      </c>
      <c r="G176" s="26">
        <v>101.46599999999999</v>
      </c>
      <c r="H176" s="26">
        <v>100.759</v>
      </c>
      <c r="I176" s="26">
        <v>103.676</v>
      </c>
      <c r="J176" s="26">
        <v>104.02</v>
      </c>
      <c r="K176" s="26">
        <v>102.08499999999999</v>
      </c>
      <c r="L176" s="26">
        <v>573.70000000000005</v>
      </c>
      <c r="M176" s="26">
        <v>448.2</v>
      </c>
      <c r="N176" s="26">
        <v>59.1</v>
      </c>
      <c r="O176" s="26">
        <v>2396</v>
      </c>
      <c r="P176" s="26">
        <v>87.5</v>
      </c>
      <c r="Q176" s="26">
        <v>1674.9</v>
      </c>
      <c r="R176" s="26">
        <v>1195</v>
      </c>
      <c r="S176" s="26">
        <v>354.3</v>
      </c>
      <c r="T176" s="26">
        <v>3134.1</v>
      </c>
      <c r="U176" s="26">
        <v>1111.4000000000001</v>
      </c>
      <c r="V176" s="26">
        <v>101.464</v>
      </c>
      <c r="W176" s="26">
        <v>1218.4000000000001</v>
      </c>
      <c r="X176" s="26">
        <v>1915.7</v>
      </c>
      <c r="Y176" s="26">
        <v>1209.0999999999999</v>
      </c>
      <c r="Z176" s="26">
        <v>1847.8</v>
      </c>
      <c r="AA176" s="26">
        <v>1308.3</v>
      </c>
      <c r="AB176" s="26">
        <v>126.4</v>
      </c>
      <c r="AC176" s="26">
        <v>301.2</v>
      </c>
      <c r="AD176" s="26">
        <v>1093.5999999999999</v>
      </c>
      <c r="AE176" s="26">
        <v>1823.2</v>
      </c>
      <c r="AF176" s="26">
        <v>454</v>
      </c>
      <c r="AG176" s="26">
        <v>366.6</v>
      </c>
      <c r="AH176" s="26">
        <v>1068.7</v>
      </c>
      <c r="AI176" s="26">
        <v>53.1</v>
      </c>
      <c r="AJ176" s="26">
        <v>17.8</v>
      </c>
      <c r="AK176" s="26">
        <v>572.79999999999995</v>
      </c>
      <c r="AL176" s="26">
        <v>2528.1999999999998</v>
      </c>
      <c r="AM176" s="26">
        <v>281455</v>
      </c>
      <c r="AN176" s="26">
        <v>269279</v>
      </c>
      <c r="AO176" s="26">
        <v>68014</v>
      </c>
      <c r="AP176" s="26">
        <v>59.5</v>
      </c>
      <c r="AQ176" s="26">
        <v>0.5</v>
      </c>
      <c r="AR176" s="26">
        <v>60</v>
      </c>
      <c r="BL176" s="26">
        <v>233.3</v>
      </c>
      <c r="BM176" s="26">
        <v>229.589</v>
      </c>
      <c r="BN176" s="26">
        <v>17068.599999999999</v>
      </c>
      <c r="BO176" s="26">
        <v>17395.8</v>
      </c>
      <c r="BP176" s="26">
        <v>-1</v>
      </c>
      <c r="BQ176" s="26">
        <v>5040</v>
      </c>
      <c r="BR176" s="26">
        <v>14031</v>
      </c>
      <c r="BS176" s="26">
        <v>249225</v>
      </c>
    </row>
    <row r="177" spans="1:71">
      <c r="A177" s="55">
        <v>41639</v>
      </c>
      <c r="B177" s="26">
        <v>17083.099999999999</v>
      </c>
      <c r="C177" s="26">
        <v>16663.599999999999</v>
      </c>
      <c r="D177" s="26">
        <v>102.551</v>
      </c>
      <c r="E177" s="26">
        <v>11475.1</v>
      </c>
      <c r="F177" s="26">
        <v>11263.6</v>
      </c>
      <c r="G177" s="26">
        <v>101.88</v>
      </c>
      <c r="H177" s="26">
        <v>102.29</v>
      </c>
      <c r="I177" s="26">
        <v>104.26300000000001</v>
      </c>
      <c r="J177" s="26">
        <v>104.568</v>
      </c>
      <c r="K177" s="26">
        <v>102.85599999999999</v>
      </c>
      <c r="L177" s="26">
        <v>580.20000000000005</v>
      </c>
      <c r="M177" s="26">
        <v>448.6</v>
      </c>
      <c r="N177" s="26">
        <v>57.1</v>
      </c>
      <c r="O177" s="26">
        <v>2403.6999999999998</v>
      </c>
      <c r="P177" s="26">
        <v>88.9</v>
      </c>
      <c r="Q177" s="26">
        <v>1698.1</v>
      </c>
      <c r="R177" s="26">
        <v>1204.0999999999999</v>
      </c>
      <c r="S177" s="26">
        <v>356.9</v>
      </c>
      <c r="T177" s="26">
        <v>3138.5</v>
      </c>
      <c r="U177" s="26">
        <v>1122.3</v>
      </c>
      <c r="V177" s="26">
        <v>101.877</v>
      </c>
      <c r="W177" s="26">
        <v>1215.5999999999999</v>
      </c>
      <c r="X177" s="26">
        <v>1923</v>
      </c>
      <c r="Y177" s="26">
        <v>1188.2</v>
      </c>
      <c r="Z177" s="26">
        <v>1844.4</v>
      </c>
      <c r="AA177" s="26">
        <v>1333.2</v>
      </c>
      <c r="AB177" s="26">
        <v>128.80000000000001</v>
      </c>
      <c r="AC177" s="26">
        <v>302.3</v>
      </c>
      <c r="AD177" s="26">
        <v>1104.2</v>
      </c>
      <c r="AE177" s="26">
        <v>1830.1</v>
      </c>
      <c r="AF177" s="26">
        <v>447.3</v>
      </c>
      <c r="AG177" s="26">
        <v>364.9</v>
      </c>
      <c r="AH177" s="26">
        <v>1075.3</v>
      </c>
      <c r="AI177" s="26">
        <v>54.6</v>
      </c>
      <c r="AJ177" s="26">
        <v>18.100000000000001</v>
      </c>
      <c r="AK177" s="26">
        <v>573.6</v>
      </c>
      <c r="AL177" s="26">
        <v>2531</v>
      </c>
      <c r="AM177" s="26">
        <v>282107</v>
      </c>
      <c r="AN177" s="26">
        <v>269982</v>
      </c>
      <c r="AO177" s="26">
        <v>65742</v>
      </c>
      <c r="AP177" s="26">
        <v>58.9</v>
      </c>
      <c r="AQ177" s="26">
        <v>0.5</v>
      </c>
      <c r="AR177" s="26">
        <v>59.4</v>
      </c>
      <c r="BL177" s="26">
        <v>234.16266666666669</v>
      </c>
      <c r="BM177" s="26">
        <v>230.43366666666671</v>
      </c>
      <c r="BN177" s="26">
        <v>17143.400000000001</v>
      </c>
      <c r="BO177" s="26">
        <v>17575</v>
      </c>
      <c r="BP177" s="26">
        <v>-1</v>
      </c>
      <c r="BQ177" s="26">
        <v>5055.333333333333</v>
      </c>
      <c r="BR177" s="26">
        <v>14033.66666666667</v>
      </c>
      <c r="BS177" s="26">
        <v>247543.33333333331</v>
      </c>
    </row>
    <row r="178" spans="1:71">
      <c r="A178" s="55">
        <v>41729</v>
      </c>
      <c r="B178" s="26">
        <v>17104.599999999999</v>
      </c>
      <c r="C178" s="26">
        <v>16616.5</v>
      </c>
      <c r="D178" s="26">
        <v>102.96</v>
      </c>
      <c r="E178" s="26">
        <v>11574.2</v>
      </c>
      <c r="F178" s="26">
        <v>11308</v>
      </c>
      <c r="G178" s="26">
        <v>102.357</v>
      </c>
      <c r="H178" s="26">
        <v>102.024</v>
      </c>
      <c r="I178" s="26">
        <v>105.08799999999999</v>
      </c>
      <c r="J178" s="26">
        <v>105.446</v>
      </c>
      <c r="K178" s="26">
        <v>103.435</v>
      </c>
      <c r="L178" s="26">
        <v>587.5</v>
      </c>
      <c r="M178" s="26">
        <v>459.5</v>
      </c>
      <c r="N178" s="26">
        <v>39</v>
      </c>
      <c r="O178" s="26">
        <v>2433.1999999999998</v>
      </c>
      <c r="P178" s="26">
        <v>90.9</v>
      </c>
      <c r="Q178" s="26">
        <v>1744.8</v>
      </c>
      <c r="R178" s="26">
        <v>1220.5</v>
      </c>
      <c r="S178" s="26">
        <v>392.8</v>
      </c>
      <c r="T178" s="26">
        <v>3137.4</v>
      </c>
      <c r="U178" s="26">
        <v>1145</v>
      </c>
      <c r="V178" s="26">
        <v>102.354</v>
      </c>
      <c r="W178" s="26">
        <v>1211</v>
      </c>
      <c r="X178" s="26">
        <v>1926.4</v>
      </c>
      <c r="Y178" s="26">
        <v>1187</v>
      </c>
      <c r="Z178" s="26">
        <v>1833.1</v>
      </c>
      <c r="AA178" s="26">
        <v>1369.1</v>
      </c>
      <c r="AB178" s="26">
        <v>136.6</v>
      </c>
      <c r="AC178" s="26">
        <v>336.4</v>
      </c>
      <c r="AD178" s="26">
        <v>1126.5999999999999</v>
      </c>
      <c r="AE178" s="26">
        <v>1848.1</v>
      </c>
      <c r="AF178" s="26">
        <v>467.8</v>
      </c>
      <c r="AG178" s="26">
        <v>375.7</v>
      </c>
      <c r="AH178" s="26">
        <v>1083.9000000000001</v>
      </c>
      <c r="AI178" s="26">
        <v>56.4</v>
      </c>
      <c r="AJ178" s="26">
        <v>18.399999999999999</v>
      </c>
      <c r="AK178" s="26">
        <v>585.1</v>
      </c>
      <c r="AL178" s="26">
        <v>2542.1</v>
      </c>
      <c r="AM178" s="26">
        <v>303390</v>
      </c>
      <c r="AN178" s="26">
        <v>291590</v>
      </c>
      <c r="AO178" s="26">
        <v>65276</v>
      </c>
      <c r="AP178" s="26">
        <v>58.2</v>
      </c>
      <c r="AQ178" s="26">
        <v>0.5</v>
      </c>
      <c r="AR178" s="26">
        <v>58.7</v>
      </c>
      <c r="BL178" s="26">
        <v>235.62100000000001</v>
      </c>
      <c r="BM178" s="26">
        <v>231.95</v>
      </c>
      <c r="BN178" s="26">
        <v>17219.3</v>
      </c>
      <c r="BO178" s="26">
        <v>17725.099999999999</v>
      </c>
      <c r="BP178" s="26">
        <v>-1</v>
      </c>
      <c r="BQ178" s="26">
        <v>5054.666666666667</v>
      </c>
      <c r="BR178" s="26">
        <v>14037.66666666667</v>
      </c>
      <c r="BS178" s="26">
        <v>242591.33333333331</v>
      </c>
    </row>
    <row r="179" spans="1:71">
      <c r="A179" s="55">
        <v>41820</v>
      </c>
      <c r="B179" s="26">
        <v>17432.900000000001</v>
      </c>
      <c r="C179" s="26">
        <v>16841.5</v>
      </c>
      <c r="D179" s="26">
        <v>103.539</v>
      </c>
      <c r="E179" s="26">
        <v>11756.9</v>
      </c>
      <c r="F179" s="26">
        <v>11431.8</v>
      </c>
      <c r="G179" s="26">
        <v>102.846</v>
      </c>
      <c r="H179" s="26">
        <v>102.47199999999999</v>
      </c>
      <c r="I179" s="26">
        <v>105.449</v>
      </c>
      <c r="J179" s="26">
        <v>105.783</v>
      </c>
      <c r="K179" s="26">
        <v>103.907</v>
      </c>
      <c r="L179" s="26">
        <v>595.6</v>
      </c>
      <c r="M179" s="26">
        <v>481.5</v>
      </c>
      <c r="N179" s="26">
        <v>35.799999999999997</v>
      </c>
      <c r="O179" s="26">
        <v>2484.5</v>
      </c>
      <c r="P179" s="26">
        <v>92.6</v>
      </c>
      <c r="Q179" s="26">
        <v>1758.4</v>
      </c>
      <c r="R179" s="26">
        <v>1237.5</v>
      </c>
      <c r="S179" s="26">
        <v>415.1</v>
      </c>
      <c r="T179" s="26">
        <v>3153.3</v>
      </c>
      <c r="U179" s="26">
        <v>1149.7</v>
      </c>
      <c r="V179" s="26">
        <v>102.843</v>
      </c>
      <c r="W179" s="26">
        <v>1209</v>
      </c>
      <c r="X179" s="26">
        <v>1944.2</v>
      </c>
      <c r="Y179" s="26">
        <v>1179.9000000000001</v>
      </c>
      <c r="Z179" s="26">
        <v>1843.8</v>
      </c>
      <c r="AA179" s="26">
        <v>1389</v>
      </c>
      <c r="AB179" s="26">
        <v>135.30000000000001</v>
      </c>
      <c r="AC179" s="26">
        <v>360</v>
      </c>
      <c r="AD179" s="26">
        <v>1131</v>
      </c>
      <c r="AE179" s="26">
        <v>1876.8</v>
      </c>
      <c r="AF179" s="26">
        <v>492.5</v>
      </c>
      <c r="AG179" s="26">
        <v>369.4</v>
      </c>
      <c r="AH179" s="26">
        <v>1102.2</v>
      </c>
      <c r="AI179" s="26">
        <v>55.1</v>
      </c>
      <c r="AJ179" s="26">
        <v>18.7</v>
      </c>
      <c r="AK179" s="26">
        <v>607.79999999999995</v>
      </c>
      <c r="AL179" s="26">
        <v>2580</v>
      </c>
      <c r="AM179" s="26">
        <v>320015</v>
      </c>
      <c r="AN179" s="26">
        <v>307775</v>
      </c>
      <c r="AO179" s="26">
        <v>67164</v>
      </c>
      <c r="AP179" s="26">
        <v>58</v>
      </c>
      <c r="AQ179" s="26">
        <v>0.5</v>
      </c>
      <c r="AR179" s="26">
        <v>58.5</v>
      </c>
      <c r="BL179" s="26">
        <v>236.8723333333333</v>
      </c>
      <c r="BM179" s="26">
        <v>233.1013333333334</v>
      </c>
      <c r="BN179" s="26">
        <v>17296.2</v>
      </c>
      <c r="BO179" s="26">
        <v>17903.5</v>
      </c>
      <c r="BP179" s="26">
        <v>-1</v>
      </c>
      <c r="BQ179" s="26">
        <v>5054.666666666667</v>
      </c>
      <c r="BR179" s="26">
        <v>14077</v>
      </c>
      <c r="BS179" s="26">
        <v>251613.33333333331</v>
      </c>
    </row>
    <row r="180" spans="1:71">
      <c r="A180" s="55">
        <v>41912</v>
      </c>
      <c r="B180" s="26">
        <v>17721.7</v>
      </c>
      <c r="C180" s="26">
        <v>17047.099999999999</v>
      </c>
      <c r="D180" s="26">
        <v>104.01</v>
      </c>
      <c r="E180" s="26">
        <v>11915.4</v>
      </c>
      <c r="F180" s="26">
        <v>11554.8</v>
      </c>
      <c r="G180" s="26">
        <v>103.123</v>
      </c>
      <c r="H180" s="26">
        <v>102.949</v>
      </c>
      <c r="I180" s="26">
        <v>106.04</v>
      </c>
      <c r="J180" s="26">
        <v>106.393</v>
      </c>
      <c r="K180" s="26">
        <v>104.40900000000001</v>
      </c>
      <c r="L180" s="26">
        <v>604</v>
      </c>
      <c r="M180" s="26">
        <v>507.2</v>
      </c>
      <c r="N180" s="26">
        <v>34</v>
      </c>
      <c r="O180" s="26">
        <v>2524.6</v>
      </c>
      <c r="P180" s="26">
        <v>94.2</v>
      </c>
      <c r="Q180" s="26">
        <v>1798.6</v>
      </c>
      <c r="R180" s="26">
        <v>1248.4000000000001</v>
      </c>
      <c r="S180" s="26">
        <v>387.1</v>
      </c>
      <c r="T180" s="26">
        <v>3190.9</v>
      </c>
      <c r="U180" s="26">
        <v>1161.4000000000001</v>
      </c>
      <c r="V180" s="26">
        <v>103.12</v>
      </c>
      <c r="W180" s="26">
        <v>1228.2</v>
      </c>
      <c r="X180" s="26">
        <v>1962.7</v>
      </c>
      <c r="Y180" s="26">
        <v>1193</v>
      </c>
      <c r="Z180" s="26">
        <v>1851</v>
      </c>
      <c r="AA180" s="26">
        <v>1413.3</v>
      </c>
      <c r="AB180" s="26">
        <v>136.9</v>
      </c>
      <c r="AC180" s="26">
        <v>330.1</v>
      </c>
      <c r="AD180" s="26">
        <v>1142.5</v>
      </c>
      <c r="AE180" s="26">
        <v>1890.5</v>
      </c>
      <c r="AF180" s="26">
        <v>511.1</v>
      </c>
      <c r="AG180" s="26">
        <v>385.3</v>
      </c>
      <c r="AH180" s="26">
        <v>1111.4000000000001</v>
      </c>
      <c r="AI180" s="26">
        <v>57</v>
      </c>
      <c r="AJ180" s="26">
        <v>18.899999999999999</v>
      </c>
      <c r="AK180" s="26">
        <v>634.1</v>
      </c>
      <c r="AL180" s="26">
        <v>2623.3</v>
      </c>
      <c r="AM180" s="26">
        <v>343692</v>
      </c>
      <c r="AN180" s="26">
        <v>332400</v>
      </c>
      <c r="AO180" s="26">
        <v>68840</v>
      </c>
      <c r="AP180" s="26">
        <v>57.7</v>
      </c>
      <c r="AQ180" s="26">
        <v>0.5</v>
      </c>
      <c r="AR180" s="26">
        <v>58.2</v>
      </c>
      <c r="BL180" s="26">
        <v>237.4783333333333</v>
      </c>
      <c r="BM180" s="26">
        <v>233.49433333333329</v>
      </c>
      <c r="BN180" s="26">
        <v>17374.2</v>
      </c>
      <c r="BO180" s="26">
        <v>18061.8</v>
      </c>
      <c r="BP180" s="26">
        <v>-1</v>
      </c>
      <c r="BQ180" s="26">
        <v>5030.666666666667</v>
      </c>
      <c r="BR180" s="26">
        <v>14120</v>
      </c>
      <c r="BS180" s="26">
        <v>257546.33333333331</v>
      </c>
    </row>
    <row r="181" spans="1:71">
      <c r="A181" s="55">
        <v>42004</v>
      </c>
      <c r="B181" s="26">
        <v>17849.900000000001</v>
      </c>
      <c r="C181" s="26">
        <v>17143</v>
      </c>
      <c r="D181" s="26">
        <v>104.078</v>
      </c>
      <c r="E181" s="26">
        <v>12044.5</v>
      </c>
      <c r="F181" s="26">
        <v>11695</v>
      </c>
      <c r="G181" s="26">
        <v>102.992</v>
      </c>
      <c r="H181" s="26">
        <v>103.08499999999999</v>
      </c>
      <c r="I181" s="26">
        <v>106.003</v>
      </c>
      <c r="J181" s="26">
        <v>106.30800000000001</v>
      </c>
      <c r="K181" s="26">
        <v>104.593</v>
      </c>
      <c r="L181" s="26">
        <v>612.79999999999995</v>
      </c>
      <c r="M181" s="26">
        <v>515.29999999999995</v>
      </c>
      <c r="N181" s="26">
        <v>33</v>
      </c>
      <c r="O181" s="26">
        <v>2552.1</v>
      </c>
      <c r="P181" s="26">
        <v>95.7</v>
      </c>
      <c r="Q181" s="26">
        <v>1836.5</v>
      </c>
      <c r="R181" s="26">
        <v>1257</v>
      </c>
      <c r="S181" s="26">
        <v>389.8</v>
      </c>
      <c r="T181" s="26">
        <v>3190.3</v>
      </c>
      <c r="U181" s="26">
        <v>1179.0999999999999</v>
      </c>
      <c r="V181" s="26">
        <v>102.989</v>
      </c>
      <c r="W181" s="26">
        <v>1211.7</v>
      </c>
      <c r="X181" s="26">
        <v>1978.6</v>
      </c>
      <c r="Y181" s="26">
        <v>1175.5</v>
      </c>
      <c r="Z181" s="26">
        <v>1866.6</v>
      </c>
      <c r="AA181" s="26">
        <v>1443.5</v>
      </c>
      <c r="AB181" s="26">
        <v>136.4</v>
      </c>
      <c r="AC181" s="26">
        <v>332.1</v>
      </c>
      <c r="AD181" s="26">
        <v>1160.0999999999999</v>
      </c>
      <c r="AE181" s="26">
        <v>1909</v>
      </c>
      <c r="AF181" s="26">
        <v>508.8</v>
      </c>
      <c r="AG181" s="26">
        <v>393</v>
      </c>
      <c r="AH181" s="26">
        <v>1120.5999999999999</v>
      </c>
      <c r="AI181" s="26">
        <v>57.7</v>
      </c>
      <c r="AJ181" s="26">
        <v>19</v>
      </c>
      <c r="AK181" s="26">
        <v>643.20000000000005</v>
      </c>
      <c r="AL181" s="26">
        <v>2648.4</v>
      </c>
      <c r="AM181" s="26">
        <v>345712</v>
      </c>
      <c r="AN181" s="26">
        <v>335611</v>
      </c>
      <c r="AO181" s="26">
        <v>61403</v>
      </c>
      <c r="AP181" s="26">
        <v>56.5</v>
      </c>
      <c r="AQ181" s="26">
        <v>0.5</v>
      </c>
      <c r="AR181" s="26">
        <v>57</v>
      </c>
      <c r="BL181" s="26">
        <v>236.88833333333341</v>
      </c>
      <c r="BM181" s="26">
        <v>232.43100000000001</v>
      </c>
      <c r="BN181" s="26">
        <v>17453</v>
      </c>
      <c r="BO181" s="26">
        <v>18172.7</v>
      </c>
      <c r="BP181" s="26">
        <v>-1</v>
      </c>
      <c r="BQ181" s="26">
        <v>5052.666666666667</v>
      </c>
      <c r="BR181" s="26">
        <v>14140</v>
      </c>
      <c r="BS181" s="26">
        <v>260104.33333333331</v>
      </c>
    </row>
    <row r="182" spans="1:71">
      <c r="A182" s="55">
        <v>42094</v>
      </c>
      <c r="B182" s="26">
        <v>18003.400000000001</v>
      </c>
      <c r="C182" s="26">
        <v>17305.8</v>
      </c>
      <c r="D182" s="26">
        <v>104.054</v>
      </c>
      <c r="E182" s="26">
        <v>12099.1</v>
      </c>
      <c r="F182" s="26">
        <v>11798.3</v>
      </c>
      <c r="G182" s="26">
        <v>102.55200000000001</v>
      </c>
      <c r="H182" s="26">
        <v>102.922</v>
      </c>
      <c r="I182" s="26">
        <v>105.11199999999999</v>
      </c>
      <c r="J182" s="26">
        <v>105.232</v>
      </c>
      <c r="K182" s="26">
        <v>104.562</v>
      </c>
      <c r="L182" s="26">
        <v>622.4</v>
      </c>
      <c r="M182" s="26">
        <v>523.6</v>
      </c>
      <c r="N182" s="26">
        <v>32.9</v>
      </c>
      <c r="O182" s="26">
        <v>2597.6999999999998</v>
      </c>
      <c r="P182" s="26">
        <v>99.4</v>
      </c>
      <c r="Q182" s="26">
        <v>1904.6</v>
      </c>
      <c r="R182" s="26">
        <v>1262.2</v>
      </c>
      <c r="S182" s="26">
        <v>403.5</v>
      </c>
      <c r="T182" s="26">
        <v>3188.1</v>
      </c>
      <c r="U182" s="26">
        <v>1194.2</v>
      </c>
      <c r="V182" s="26">
        <v>102.55</v>
      </c>
      <c r="W182" s="26">
        <v>1214.9000000000001</v>
      </c>
      <c r="X182" s="26">
        <v>1973.2</v>
      </c>
      <c r="Y182" s="26">
        <v>1180.4000000000001</v>
      </c>
      <c r="Z182" s="26">
        <v>1877.2</v>
      </c>
      <c r="AA182" s="26">
        <v>1509.1</v>
      </c>
      <c r="AB182" s="26">
        <v>139.9</v>
      </c>
      <c r="AC182" s="26">
        <v>345.9</v>
      </c>
      <c r="AD182" s="26">
        <v>1175.2</v>
      </c>
      <c r="AE182" s="26">
        <v>1945.5</v>
      </c>
      <c r="AF182" s="26">
        <v>524.79999999999995</v>
      </c>
      <c r="AG182" s="26">
        <v>395.4</v>
      </c>
      <c r="AH182" s="26">
        <v>1122.3</v>
      </c>
      <c r="AI182" s="26">
        <v>57.6</v>
      </c>
      <c r="AJ182" s="26">
        <v>19</v>
      </c>
      <c r="AK182" s="26">
        <v>652.20000000000005</v>
      </c>
      <c r="AL182" s="26">
        <v>2653.6</v>
      </c>
      <c r="AM182" s="26">
        <v>362792</v>
      </c>
      <c r="AN182" s="26">
        <v>352188</v>
      </c>
      <c r="AO182" s="26">
        <v>63534</v>
      </c>
      <c r="AP182" s="26">
        <v>55.5</v>
      </c>
      <c r="AQ182" s="26">
        <v>0.5</v>
      </c>
      <c r="AR182" s="26">
        <v>56</v>
      </c>
      <c r="BL182" s="26">
        <v>235.35499999999999</v>
      </c>
      <c r="BM182" s="26">
        <v>230.23666666666671</v>
      </c>
      <c r="BN182" s="26">
        <v>17532.099999999999</v>
      </c>
      <c r="BO182" s="26">
        <v>18238.8</v>
      </c>
      <c r="BP182" s="26">
        <v>-1</v>
      </c>
      <c r="BQ182" s="26">
        <v>5067.666666666667</v>
      </c>
      <c r="BR182" s="26">
        <v>14155</v>
      </c>
      <c r="BS182" s="26">
        <v>260731.66666666669</v>
      </c>
    </row>
    <row r="183" spans="1:71">
      <c r="A183" s="55">
        <v>42185</v>
      </c>
      <c r="B183" s="26">
        <v>18223.599999999999</v>
      </c>
      <c r="C183" s="26">
        <v>17422.8</v>
      </c>
      <c r="D183" s="26">
        <v>104.64700000000001</v>
      </c>
      <c r="E183" s="26">
        <v>12255.5</v>
      </c>
      <c r="F183" s="26">
        <v>11892.3</v>
      </c>
      <c r="G183" s="26">
        <v>103.057</v>
      </c>
      <c r="H183" s="26">
        <v>103.122</v>
      </c>
      <c r="I183" s="26">
        <v>105.8</v>
      </c>
      <c r="J183" s="26">
        <v>105.97</v>
      </c>
      <c r="K183" s="26">
        <v>105.021</v>
      </c>
      <c r="L183" s="26">
        <v>631.5</v>
      </c>
      <c r="M183" s="26">
        <v>537.9</v>
      </c>
      <c r="N183" s="26">
        <v>32.4</v>
      </c>
      <c r="O183" s="26">
        <v>2633.9</v>
      </c>
      <c r="P183" s="26">
        <v>100.7</v>
      </c>
      <c r="Q183" s="26">
        <v>1943</v>
      </c>
      <c r="R183" s="26">
        <v>1273.0999999999999</v>
      </c>
      <c r="S183" s="26">
        <v>408.5</v>
      </c>
      <c r="T183" s="26">
        <v>3230.6</v>
      </c>
      <c r="U183" s="26">
        <v>1206.0999999999999</v>
      </c>
      <c r="V183" s="26">
        <v>103.05500000000001</v>
      </c>
      <c r="W183" s="26">
        <v>1219.5999999999999</v>
      </c>
      <c r="X183" s="26">
        <v>2011</v>
      </c>
      <c r="Y183" s="26">
        <v>1182.7</v>
      </c>
      <c r="Z183" s="26">
        <v>1900.8</v>
      </c>
      <c r="AA183" s="26">
        <v>1527.7</v>
      </c>
      <c r="AB183" s="26">
        <v>143.5</v>
      </c>
      <c r="AC183" s="26">
        <v>351</v>
      </c>
      <c r="AD183" s="26">
        <v>1187</v>
      </c>
      <c r="AE183" s="26">
        <v>1966.6</v>
      </c>
      <c r="AF183" s="26">
        <v>528.9</v>
      </c>
      <c r="AG183" s="26">
        <v>415.3</v>
      </c>
      <c r="AH183" s="26">
        <v>1129.5999999999999</v>
      </c>
      <c r="AI183" s="26">
        <v>57.5</v>
      </c>
      <c r="AJ183" s="26">
        <v>19.100000000000001</v>
      </c>
      <c r="AK183" s="26">
        <v>667.3</v>
      </c>
      <c r="AL183" s="26">
        <v>2707.5</v>
      </c>
      <c r="AM183" s="26">
        <v>363410</v>
      </c>
      <c r="AN183" s="26">
        <v>353442</v>
      </c>
      <c r="AO183" s="26">
        <v>62907</v>
      </c>
      <c r="AP183" s="26">
        <v>55.9</v>
      </c>
      <c r="AQ183" s="26">
        <v>0.5</v>
      </c>
      <c r="AR183" s="26">
        <v>56.4</v>
      </c>
      <c r="BL183" s="26">
        <v>236.96</v>
      </c>
      <c r="BM183" s="26">
        <v>231.95766666666671</v>
      </c>
      <c r="BN183" s="26">
        <v>17611.2</v>
      </c>
      <c r="BO183" s="26">
        <v>18420.599999999999</v>
      </c>
      <c r="BP183" s="26">
        <v>-1</v>
      </c>
      <c r="BQ183" s="26">
        <v>5072.333333333333</v>
      </c>
      <c r="BR183" s="26">
        <v>14181.66666666667</v>
      </c>
      <c r="BS183" s="26">
        <v>274292.33333333331</v>
      </c>
    </row>
    <row r="184" spans="1:71">
      <c r="A184" s="55">
        <v>42277</v>
      </c>
      <c r="B184" s="26">
        <v>18347.400000000001</v>
      </c>
      <c r="C184" s="26">
        <v>17486</v>
      </c>
      <c r="D184" s="26">
        <v>104.92</v>
      </c>
      <c r="E184" s="26">
        <v>12389.3</v>
      </c>
      <c r="F184" s="26">
        <v>11991.2</v>
      </c>
      <c r="G184" s="26">
        <v>103.322</v>
      </c>
      <c r="H184" s="26">
        <v>103.277</v>
      </c>
      <c r="I184" s="26">
        <v>105.913</v>
      </c>
      <c r="J184" s="26">
        <v>106.042</v>
      </c>
      <c r="K184" s="26">
        <v>105.319</v>
      </c>
      <c r="L184" s="26">
        <v>639.5</v>
      </c>
      <c r="M184" s="26">
        <v>540.4</v>
      </c>
      <c r="N184" s="26">
        <v>32.5</v>
      </c>
      <c r="O184" s="26">
        <v>2647.8</v>
      </c>
      <c r="P184" s="26">
        <v>101.6</v>
      </c>
      <c r="Q184" s="26">
        <v>1947.3</v>
      </c>
      <c r="R184" s="26">
        <v>1275.5</v>
      </c>
      <c r="S184" s="26">
        <v>379.6</v>
      </c>
      <c r="T184" s="26">
        <v>3249.1</v>
      </c>
      <c r="U184" s="26">
        <v>1216.0999999999999</v>
      </c>
      <c r="V184" s="26">
        <v>103.32</v>
      </c>
      <c r="W184" s="26">
        <v>1220.2</v>
      </c>
      <c r="X184" s="26">
        <v>2028.9</v>
      </c>
      <c r="Y184" s="26">
        <v>1181.5</v>
      </c>
      <c r="Z184" s="26">
        <v>1915.6</v>
      </c>
      <c r="AA184" s="26">
        <v>1540.9</v>
      </c>
      <c r="AB184" s="26">
        <v>136.1</v>
      </c>
      <c r="AC184" s="26">
        <v>323.8</v>
      </c>
      <c r="AD184" s="26">
        <v>1196.8</v>
      </c>
      <c r="AE184" s="26">
        <v>1977.6</v>
      </c>
      <c r="AF184" s="26">
        <v>530.4</v>
      </c>
      <c r="AG184" s="26">
        <v>406.5</v>
      </c>
      <c r="AH184" s="26">
        <v>1139.4000000000001</v>
      </c>
      <c r="AI184" s="26">
        <v>55.8</v>
      </c>
      <c r="AJ184" s="26">
        <v>19.3</v>
      </c>
      <c r="AK184" s="26">
        <v>670.2</v>
      </c>
      <c r="AL184" s="26">
        <v>2730</v>
      </c>
      <c r="AM184" s="26">
        <v>365384</v>
      </c>
      <c r="AN184" s="26">
        <v>352909</v>
      </c>
      <c r="AO184" s="26">
        <v>66760</v>
      </c>
      <c r="AP184" s="26">
        <v>57.2</v>
      </c>
      <c r="AQ184" s="26">
        <v>0.5</v>
      </c>
      <c r="AR184" s="26">
        <v>57.7</v>
      </c>
      <c r="BL184" s="26">
        <v>237.85499999999999</v>
      </c>
      <c r="BM184" s="26">
        <v>232.69333333333341</v>
      </c>
      <c r="BN184" s="26">
        <v>17689.599999999999</v>
      </c>
      <c r="BO184" s="26">
        <v>18561</v>
      </c>
      <c r="BP184" s="26">
        <v>-1</v>
      </c>
      <c r="BQ184" s="26">
        <v>5077.666666666667</v>
      </c>
      <c r="BR184" s="26">
        <v>14214</v>
      </c>
      <c r="BS184" s="26">
        <v>278090.33333333331</v>
      </c>
    </row>
    <row r="185" spans="1:71">
      <c r="A185" s="55">
        <v>42369</v>
      </c>
      <c r="B185" s="26">
        <v>18378.8</v>
      </c>
      <c r="C185" s="26">
        <v>17514.099999999999</v>
      </c>
      <c r="D185" s="26">
        <v>104.935</v>
      </c>
      <c r="E185" s="26">
        <v>12446</v>
      </c>
      <c r="F185" s="26">
        <v>12055.4</v>
      </c>
      <c r="G185" s="26">
        <v>103.24299999999999</v>
      </c>
      <c r="H185" s="26">
        <v>103.19199999999999</v>
      </c>
      <c r="I185" s="26">
        <v>105.569</v>
      </c>
      <c r="J185" s="26">
        <v>105.636</v>
      </c>
      <c r="K185" s="26">
        <v>105.261</v>
      </c>
      <c r="L185" s="26">
        <v>646.4</v>
      </c>
      <c r="M185" s="26">
        <v>541.79999999999995</v>
      </c>
      <c r="N185" s="26">
        <v>32.4</v>
      </c>
      <c r="O185" s="26">
        <v>2661.2</v>
      </c>
      <c r="P185" s="26">
        <v>101.9</v>
      </c>
      <c r="Q185" s="26">
        <v>1964.9</v>
      </c>
      <c r="R185" s="26">
        <v>1289.9000000000001</v>
      </c>
      <c r="S185" s="26">
        <v>349.7</v>
      </c>
      <c r="T185" s="26">
        <v>3253.2</v>
      </c>
      <c r="U185" s="26">
        <v>1223.5999999999999</v>
      </c>
      <c r="V185" s="26">
        <v>103.24</v>
      </c>
      <c r="W185" s="26">
        <v>1228.5</v>
      </c>
      <c r="X185" s="26">
        <v>2024.7</v>
      </c>
      <c r="Y185" s="26">
        <v>1190.5</v>
      </c>
      <c r="Z185" s="26">
        <v>1918</v>
      </c>
      <c r="AA185" s="26">
        <v>1552.6</v>
      </c>
      <c r="AB185" s="26">
        <v>141.69999999999999</v>
      </c>
      <c r="AC185" s="26">
        <v>295.60000000000002</v>
      </c>
      <c r="AD185" s="26">
        <v>1204.0999999999999</v>
      </c>
      <c r="AE185" s="26">
        <v>1989.7</v>
      </c>
      <c r="AF185" s="26">
        <v>548.20000000000005</v>
      </c>
      <c r="AG185" s="26">
        <v>412.3</v>
      </c>
      <c r="AH185" s="26">
        <v>1148.2</v>
      </c>
      <c r="AI185" s="26">
        <v>54.1</v>
      </c>
      <c r="AJ185" s="26">
        <v>19.5</v>
      </c>
      <c r="AK185" s="26">
        <v>671.5</v>
      </c>
      <c r="AL185" s="26">
        <v>2730.4</v>
      </c>
      <c r="AM185" s="26">
        <v>384032</v>
      </c>
      <c r="AN185" s="26">
        <v>366274</v>
      </c>
      <c r="AO185" s="26">
        <v>64462</v>
      </c>
      <c r="AP185" s="26">
        <v>58.1</v>
      </c>
      <c r="AQ185" s="26">
        <v>0.5</v>
      </c>
      <c r="AR185" s="26">
        <v>58.7</v>
      </c>
      <c r="BL185" s="26">
        <v>237.83699999999999</v>
      </c>
      <c r="BM185" s="26">
        <v>232.2803333333334</v>
      </c>
      <c r="BN185" s="26">
        <v>17766.8</v>
      </c>
      <c r="BO185" s="26">
        <v>18643.900000000001</v>
      </c>
      <c r="BP185" s="26">
        <v>-1</v>
      </c>
      <c r="BQ185" s="26">
        <v>5087.333333333333</v>
      </c>
      <c r="BR185" s="26">
        <v>14223.66666666667</v>
      </c>
      <c r="BS185" s="26">
        <v>268417</v>
      </c>
    </row>
    <row r="186" spans="1:71">
      <c r="A186" s="55">
        <v>42460</v>
      </c>
      <c r="B186" s="26">
        <v>18470.2</v>
      </c>
      <c r="C186" s="26">
        <v>17613.3</v>
      </c>
      <c r="D186" s="26">
        <v>104.902</v>
      </c>
      <c r="E186" s="26">
        <v>12551.6</v>
      </c>
      <c r="F186" s="26">
        <v>12148.1</v>
      </c>
      <c r="G186" s="26">
        <v>103.325</v>
      </c>
      <c r="H186" s="26">
        <v>102.914</v>
      </c>
      <c r="I186" s="26">
        <v>104.869</v>
      </c>
      <c r="J186" s="26">
        <v>104.845</v>
      </c>
      <c r="K186" s="26">
        <v>104.98</v>
      </c>
      <c r="L186" s="26">
        <v>652.5</v>
      </c>
      <c r="M186" s="26">
        <v>550.4</v>
      </c>
      <c r="N186" s="26">
        <v>32.6</v>
      </c>
      <c r="O186" s="26">
        <v>2686.1</v>
      </c>
      <c r="P186" s="26">
        <v>103</v>
      </c>
      <c r="Q186" s="26">
        <v>1925</v>
      </c>
      <c r="R186" s="26">
        <v>1295.9000000000001</v>
      </c>
      <c r="S186" s="26">
        <v>355.1</v>
      </c>
      <c r="T186" s="26">
        <v>3266.4</v>
      </c>
      <c r="U186" s="26">
        <v>1231</v>
      </c>
      <c r="V186" s="26">
        <v>103.322</v>
      </c>
      <c r="W186" s="26">
        <v>1229.4000000000001</v>
      </c>
      <c r="X186" s="26">
        <v>2036.9</v>
      </c>
      <c r="Y186" s="26">
        <v>1194.5999999999999</v>
      </c>
      <c r="Z186" s="26">
        <v>1942.4</v>
      </c>
      <c r="AA186" s="26">
        <v>1526.7</v>
      </c>
      <c r="AB186" s="26">
        <v>138.19999999999999</v>
      </c>
      <c r="AC186" s="26">
        <v>301.39999999999998</v>
      </c>
      <c r="AD186" s="26">
        <v>1211.0999999999999</v>
      </c>
      <c r="AE186" s="26">
        <v>2006.3</v>
      </c>
      <c r="AF186" s="26">
        <v>538.9</v>
      </c>
      <c r="AG186" s="26">
        <v>398.3</v>
      </c>
      <c r="AH186" s="26">
        <v>1157.7</v>
      </c>
      <c r="AI186" s="26">
        <v>53.7</v>
      </c>
      <c r="AJ186" s="26">
        <v>19.8</v>
      </c>
      <c r="AK186" s="26">
        <v>679.8</v>
      </c>
      <c r="AL186" s="26">
        <v>2754.8</v>
      </c>
      <c r="AM186" s="26">
        <v>372707</v>
      </c>
      <c r="AN186" s="26">
        <v>359556</v>
      </c>
      <c r="AO186" s="26">
        <v>67049</v>
      </c>
      <c r="AP186" s="26">
        <v>60.1</v>
      </c>
      <c r="AQ186" s="26">
        <v>0.5</v>
      </c>
      <c r="AR186" s="26">
        <v>60.7</v>
      </c>
      <c r="BL186" s="26">
        <v>237.68933333333331</v>
      </c>
      <c r="BM186" s="26">
        <v>231.78100000000001</v>
      </c>
      <c r="BN186" s="26">
        <v>17843.2</v>
      </c>
      <c r="BO186" s="26">
        <v>18711.2</v>
      </c>
      <c r="BP186" s="26">
        <v>-1</v>
      </c>
      <c r="BQ186" s="26">
        <v>5089</v>
      </c>
      <c r="BR186" s="26">
        <v>14277</v>
      </c>
      <c r="BS186" s="26">
        <v>280145</v>
      </c>
    </row>
    <row r="187" spans="1:71">
      <c r="A187" s="55">
        <v>42551</v>
      </c>
      <c r="B187" s="26">
        <v>18656.2</v>
      </c>
      <c r="C187" s="26">
        <v>17668.2</v>
      </c>
      <c r="D187" s="26">
        <v>105.595</v>
      </c>
      <c r="E187" s="26">
        <v>12707.5</v>
      </c>
      <c r="F187" s="26">
        <v>12225.8</v>
      </c>
      <c r="G187" s="26">
        <v>103.944</v>
      </c>
      <c r="H187" s="26">
        <v>103.505</v>
      </c>
      <c r="I187" s="26">
        <v>105.639</v>
      </c>
      <c r="J187" s="26">
        <v>105.589</v>
      </c>
      <c r="K187" s="26">
        <v>105.874</v>
      </c>
      <c r="L187" s="26">
        <v>658.7</v>
      </c>
      <c r="M187" s="26">
        <v>558.79999999999995</v>
      </c>
      <c r="N187" s="26">
        <v>32.6</v>
      </c>
      <c r="O187" s="26">
        <v>2706.6</v>
      </c>
      <c r="P187" s="26">
        <v>103.1</v>
      </c>
      <c r="Q187" s="26">
        <v>1945.2</v>
      </c>
      <c r="R187" s="26">
        <v>1301.8</v>
      </c>
      <c r="S187" s="26">
        <v>364.9</v>
      </c>
      <c r="T187" s="26">
        <v>3283.1</v>
      </c>
      <c r="U187" s="26">
        <v>1237.3</v>
      </c>
      <c r="V187" s="26">
        <v>103.94</v>
      </c>
      <c r="W187" s="26">
        <v>1227.0999999999999</v>
      </c>
      <c r="X187" s="26">
        <v>2056</v>
      </c>
      <c r="Y187" s="26">
        <v>1185.5999999999999</v>
      </c>
      <c r="Z187" s="26">
        <v>1946.3</v>
      </c>
      <c r="AA187" s="26">
        <v>1536.7</v>
      </c>
      <c r="AB187" s="26">
        <v>135.80000000000001</v>
      </c>
      <c r="AC187" s="26">
        <v>312.3</v>
      </c>
      <c r="AD187" s="26">
        <v>1217.3</v>
      </c>
      <c r="AE187" s="26">
        <v>2018.5</v>
      </c>
      <c r="AF187" s="26">
        <v>551.79999999999995</v>
      </c>
      <c r="AG187" s="26">
        <v>408.4</v>
      </c>
      <c r="AH187" s="26">
        <v>1166</v>
      </c>
      <c r="AI187" s="26">
        <v>52.6</v>
      </c>
      <c r="AJ187" s="26">
        <v>20</v>
      </c>
      <c r="AK187" s="26">
        <v>688.1</v>
      </c>
      <c r="AL187" s="26">
        <v>2783</v>
      </c>
      <c r="AM187" s="26">
        <v>387235</v>
      </c>
      <c r="AN187" s="26">
        <v>364761</v>
      </c>
      <c r="AO187" s="26">
        <v>67197</v>
      </c>
      <c r="AP187" s="26">
        <v>61.8</v>
      </c>
      <c r="AQ187" s="26">
        <v>0.5</v>
      </c>
      <c r="AR187" s="26">
        <v>62.4</v>
      </c>
      <c r="BL187" s="26">
        <v>239.59033333333329</v>
      </c>
      <c r="BM187" s="26">
        <v>233.774</v>
      </c>
      <c r="BN187" s="26">
        <v>17918.2</v>
      </c>
      <c r="BO187" s="26">
        <v>18920.099999999999</v>
      </c>
      <c r="BP187" s="26">
        <v>-1</v>
      </c>
      <c r="BQ187" s="26">
        <v>5098.666666666667</v>
      </c>
      <c r="BR187" s="26">
        <v>14297.66666666667</v>
      </c>
      <c r="BS187" s="26">
        <v>275022</v>
      </c>
    </row>
    <row r="188" spans="1:71">
      <c r="A188" s="55">
        <v>42643</v>
      </c>
      <c r="B188" s="26">
        <v>18821.400000000001</v>
      </c>
      <c r="C188" s="26">
        <v>17764.400000000001</v>
      </c>
      <c r="D188" s="26">
        <v>105.941</v>
      </c>
      <c r="E188" s="26">
        <v>12841.2</v>
      </c>
      <c r="F188" s="26">
        <v>12304.5</v>
      </c>
      <c r="G188" s="26">
        <v>104.366</v>
      </c>
      <c r="H188" s="26">
        <v>103.95</v>
      </c>
      <c r="I188" s="26">
        <v>106.00700000000001</v>
      </c>
      <c r="J188" s="26">
        <v>106.02</v>
      </c>
      <c r="K188" s="26">
        <v>105.94799999999999</v>
      </c>
      <c r="L188" s="26">
        <v>665.2</v>
      </c>
      <c r="M188" s="26">
        <v>566.4</v>
      </c>
      <c r="N188" s="26">
        <v>32.4</v>
      </c>
      <c r="O188" s="26">
        <v>2726.2</v>
      </c>
      <c r="P188" s="26">
        <v>103.4</v>
      </c>
      <c r="Q188" s="26">
        <v>1971</v>
      </c>
      <c r="R188" s="26">
        <v>1320.3</v>
      </c>
      <c r="S188" s="26">
        <v>378</v>
      </c>
      <c r="T188" s="26">
        <v>3310.9</v>
      </c>
      <c r="U188" s="26">
        <v>1248.4000000000001</v>
      </c>
      <c r="V188" s="26">
        <v>104.36199999999999</v>
      </c>
      <c r="W188" s="26">
        <v>1237.8</v>
      </c>
      <c r="X188" s="26">
        <v>2073.1</v>
      </c>
      <c r="Y188" s="26">
        <v>1190.8</v>
      </c>
      <c r="Z188" s="26">
        <v>1955.7</v>
      </c>
      <c r="AA188" s="26">
        <v>1553.8</v>
      </c>
      <c r="AB188" s="26">
        <v>135.80000000000001</v>
      </c>
      <c r="AC188" s="26">
        <v>324.8</v>
      </c>
      <c r="AD188" s="26">
        <v>1228.3</v>
      </c>
      <c r="AE188" s="26">
        <v>2029.6</v>
      </c>
      <c r="AF188" s="26">
        <v>562.70000000000005</v>
      </c>
      <c r="AG188" s="26">
        <v>417.2</v>
      </c>
      <c r="AH188" s="26">
        <v>1184.5</v>
      </c>
      <c r="AI188" s="26">
        <v>53.1</v>
      </c>
      <c r="AJ188" s="26">
        <v>20.100000000000001</v>
      </c>
      <c r="AK188" s="26">
        <v>696.6</v>
      </c>
      <c r="AL188" s="26">
        <v>2810.8</v>
      </c>
      <c r="AM188" s="26">
        <v>396396</v>
      </c>
      <c r="AN188" s="26">
        <v>377980</v>
      </c>
      <c r="AO188" s="26">
        <v>68094</v>
      </c>
      <c r="AP188" s="26">
        <v>62.5</v>
      </c>
      <c r="AQ188" s="26">
        <v>0.5</v>
      </c>
      <c r="AR188" s="26">
        <v>63</v>
      </c>
      <c r="BL188" s="26">
        <v>240.60733333333329</v>
      </c>
      <c r="BM188" s="26">
        <v>234.59666666666669</v>
      </c>
      <c r="BN188" s="26">
        <v>17992</v>
      </c>
      <c r="BO188" s="26">
        <v>19062.5</v>
      </c>
      <c r="BP188" s="26">
        <v>-1</v>
      </c>
      <c r="BQ188" s="26">
        <v>5126.666666666667</v>
      </c>
      <c r="BR188" s="26">
        <v>14369</v>
      </c>
      <c r="BS188" s="26">
        <v>271266.66666666669</v>
      </c>
    </row>
    <row r="189" spans="1:71">
      <c r="A189" s="55">
        <v>42735</v>
      </c>
      <c r="B189" s="26">
        <v>19032.599999999999</v>
      </c>
      <c r="C189" s="26">
        <v>17876.2</v>
      </c>
      <c r="D189" s="26">
        <v>106.506</v>
      </c>
      <c r="E189" s="26">
        <v>12979.5</v>
      </c>
      <c r="F189" s="26">
        <v>12380</v>
      </c>
      <c r="G189" s="26">
        <v>104.84699999999999</v>
      </c>
      <c r="H189" s="26">
        <v>104.47499999999999</v>
      </c>
      <c r="I189" s="26">
        <v>106.56399999999999</v>
      </c>
      <c r="J189" s="26">
        <v>106.595</v>
      </c>
      <c r="K189" s="26">
        <v>106.426</v>
      </c>
      <c r="L189" s="26">
        <v>672.1</v>
      </c>
      <c r="M189" s="26">
        <v>575.29999999999995</v>
      </c>
      <c r="N189" s="26">
        <v>31.5</v>
      </c>
      <c r="O189" s="26">
        <v>2749.6</v>
      </c>
      <c r="P189" s="26">
        <v>104</v>
      </c>
      <c r="Q189" s="26">
        <v>1990.4</v>
      </c>
      <c r="R189" s="26">
        <v>1329</v>
      </c>
      <c r="S189" s="26">
        <v>363</v>
      </c>
      <c r="T189" s="26">
        <v>3336.7</v>
      </c>
      <c r="U189" s="26">
        <v>1261.8</v>
      </c>
      <c r="V189" s="26">
        <v>104.843</v>
      </c>
      <c r="W189" s="26">
        <v>1244.5</v>
      </c>
      <c r="X189" s="26">
        <v>2092.3000000000002</v>
      </c>
      <c r="Y189" s="26">
        <v>1191.2</v>
      </c>
      <c r="Z189" s="26">
        <v>1963.4</v>
      </c>
      <c r="AA189" s="26">
        <v>1574.6</v>
      </c>
      <c r="AB189" s="26">
        <v>135.9</v>
      </c>
      <c r="AC189" s="26">
        <v>309</v>
      </c>
      <c r="AD189" s="26">
        <v>1241.7</v>
      </c>
      <c r="AE189" s="26">
        <v>2043.8</v>
      </c>
      <c r="AF189" s="26">
        <v>573.9</v>
      </c>
      <c r="AG189" s="26">
        <v>415.8</v>
      </c>
      <c r="AH189" s="26">
        <v>1193.0999999999999</v>
      </c>
      <c r="AI189" s="26">
        <v>54.1</v>
      </c>
      <c r="AJ189" s="26">
        <v>20.100000000000001</v>
      </c>
      <c r="AK189" s="26">
        <v>705.8</v>
      </c>
      <c r="AL189" s="26">
        <v>2840</v>
      </c>
      <c r="AM189" s="26">
        <v>409098</v>
      </c>
      <c r="AN189" s="26">
        <v>387911</v>
      </c>
      <c r="AO189" s="26">
        <v>66717</v>
      </c>
      <c r="AP189" s="26">
        <v>60.4</v>
      </c>
      <c r="AQ189" s="26">
        <v>0.5</v>
      </c>
      <c r="AR189" s="26">
        <v>61</v>
      </c>
      <c r="BL189" s="26">
        <v>242.1346666666667</v>
      </c>
      <c r="BM189" s="26">
        <v>236.1406666666667</v>
      </c>
      <c r="BN189" s="26">
        <v>18065.099999999999</v>
      </c>
      <c r="BO189" s="26">
        <v>19233.7</v>
      </c>
      <c r="BP189" s="26">
        <v>-1</v>
      </c>
      <c r="BQ189" s="26">
        <v>5135.333333333333</v>
      </c>
      <c r="BR189" s="26">
        <v>14351</v>
      </c>
      <c r="BS189" s="26">
        <v>274719.66666666669</v>
      </c>
    </row>
    <row r="190" spans="1:71">
      <c r="A190" s="55">
        <v>42825</v>
      </c>
      <c r="B190" s="26">
        <v>19237.400000000001</v>
      </c>
      <c r="C190" s="26">
        <v>17977.3</v>
      </c>
      <c r="D190" s="26">
        <v>107.03100000000001</v>
      </c>
      <c r="E190" s="26">
        <v>13153.2</v>
      </c>
      <c r="F190" s="26">
        <v>12477.3</v>
      </c>
      <c r="G190" s="26">
        <v>105.42100000000001</v>
      </c>
      <c r="H190" s="26">
        <v>105.072</v>
      </c>
      <c r="I190" s="26">
        <v>107.45399999999999</v>
      </c>
      <c r="J190" s="26">
        <v>107.517</v>
      </c>
      <c r="K190" s="26">
        <v>107.17</v>
      </c>
      <c r="L190" s="26">
        <v>679.5</v>
      </c>
      <c r="M190" s="26">
        <v>572.4</v>
      </c>
      <c r="N190" s="26">
        <v>30.9</v>
      </c>
      <c r="O190" s="26">
        <v>2778.8</v>
      </c>
      <c r="P190" s="26">
        <v>105.7</v>
      </c>
      <c r="Q190" s="26">
        <v>2001.1</v>
      </c>
      <c r="R190" s="26">
        <v>1340</v>
      </c>
      <c r="S190" s="26">
        <v>302.10000000000002</v>
      </c>
      <c r="T190" s="26">
        <v>3361.6</v>
      </c>
      <c r="U190" s="26">
        <v>1282.2</v>
      </c>
      <c r="V190" s="26">
        <v>105.417</v>
      </c>
      <c r="W190" s="26">
        <v>1246.5</v>
      </c>
      <c r="X190" s="26">
        <v>2115.1</v>
      </c>
      <c r="Y190" s="26">
        <v>1186.4000000000001</v>
      </c>
      <c r="Z190" s="26">
        <v>1968.4</v>
      </c>
      <c r="AA190" s="26">
        <v>1581.1</v>
      </c>
      <c r="AB190" s="26">
        <v>127.1</v>
      </c>
      <c r="AC190" s="26">
        <v>247.8</v>
      </c>
      <c r="AD190" s="26">
        <v>1262.2</v>
      </c>
      <c r="AE190" s="26">
        <v>2075.1</v>
      </c>
      <c r="AF190" s="26">
        <v>561</v>
      </c>
      <c r="AG190" s="26">
        <v>420</v>
      </c>
      <c r="AH190" s="26">
        <v>1212.9000000000001</v>
      </c>
      <c r="AI190" s="26">
        <v>54.3</v>
      </c>
      <c r="AJ190" s="26">
        <v>20</v>
      </c>
      <c r="AK190" s="26">
        <v>703.7</v>
      </c>
      <c r="AL190" s="26">
        <v>2860.6</v>
      </c>
      <c r="AM190" s="26">
        <v>392206</v>
      </c>
      <c r="AN190" s="26">
        <v>375901</v>
      </c>
      <c r="AO190" s="26">
        <v>67197</v>
      </c>
      <c r="AP190" s="26">
        <v>58.9</v>
      </c>
      <c r="AQ190" s="26">
        <v>0.5</v>
      </c>
      <c r="AR190" s="26">
        <v>59.5</v>
      </c>
      <c r="BL190" s="26">
        <v>243.7526666666667</v>
      </c>
      <c r="BM190" s="26">
        <v>237.75</v>
      </c>
      <c r="BN190" s="26">
        <v>18137.7</v>
      </c>
      <c r="BO190" s="26">
        <v>19409</v>
      </c>
      <c r="BP190" s="26">
        <v>-1</v>
      </c>
      <c r="BQ190" s="26">
        <v>5158</v>
      </c>
      <c r="BR190" s="26">
        <v>14347</v>
      </c>
      <c r="BS190" s="26">
        <v>274527.66666666669</v>
      </c>
    </row>
    <row r="191" spans="1:71">
      <c r="A191" s="55">
        <v>42916</v>
      </c>
      <c r="B191" s="26">
        <v>19379.2</v>
      </c>
      <c r="C191" s="26">
        <v>18054.099999999999</v>
      </c>
      <c r="D191" s="26">
        <v>107.36799999999999</v>
      </c>
      <c r="E191" s="26">
        <v>13241.3</v>
      </c>
      <c r="F191" s="26">
        <v>12533.1</v>
      </c>
      <c r="G191" s="26">
        <v>105.654</v>
      </c>
      <c r="H191" s="26">
        <v>105.46599999999999</v>
      </c>
      <c r="I191" s="26">
        <v>107.708</v>
      </c>
      <c r="J191" s="26">
        <v>107.702</v>
      </c>
      <c r="K191" s="26">
        <v>107.736</v>
      </c>
      <c r="L191" s="26">
        <v>687.5</v>
      </c>
      <c r="M191" s="26">
        <v>567.9</v>
      </c>
      <c r="N191" s="26">
        <v>30.2</v>
      </c>
      <c r="O191" s="26">
        <v>2789.3</v>
      </c>
      <c r="P191" s="26">
        <v>106.6</v>
      </c>
      <c r="Q191" s="26">
        <v>2005.6</v>
      </c>
      <c r="R191" s="26">
        <v>1357.4</v>
      </c>
      <c r="S191" s="26">
        <v>308.7</v>
      </c>
      <c r="T191" s="26">
        <v>3384.2</v>
      </c>
      <c r="U191" s="26">
        <v>1294.5</v>
      </c>
      <c r="V191" s="26">
        <v>105.65</v>
      </c>
      <c r="W191" s="26">
        <v>1257.9000000000001</v>
      </c>
      <c r="X191" s="26">
        <v>2126.3000000000002</v>
      </c>
      <c r="Y191" s="26">
        <v>1192.7</v>
      </c>
      <c r="Z191" s="26">
        <v>1974.2</v>
      </c>
      <c r="AA191" s="26">
        <v>1601.7</v>
      </c>
      <c r="AB191" s="26">
        <v>131.19999999999999</v>
      </c>
      <c r="AC191" s="26">
        <v>255.8</v>
      </c>
      <c r="AD191" s="26">
        <v>1274.5999999999999</v>
      </c>
      <c r="AE191" s="26">
        <v>2089</v>
      </c>
      <c r="AF191" s="26">
        <v>542.29999999999995</v>
      </c>
      <c r="AG191" s="26">
        <v>403.9</v>
      </c>
      <c r="AH191" s="26">
        <v>1226.2</v>
      </c>
      <c r="AI191" s="26">
        <v>52.9</v>
      </c>
      <c r="AJ191" s="26">
        <v>19.899999999999999</v>
      </c>
      <c r="AK191" s="26">
        <v>700.3</v>
      </c>
      <c r="AL191" s="26">
        <v>2866.5</v>
      </c>
      <c r="AM191" s="26">
        <v>375242</v>
      </c>
      <c r="AN191" s="26">
        <v>353506</v>
      </c>
      <c r="AO191" s="26">
        <v>68784</v>
      </c>
      <c r="AP191" s="26">
        <v>57.6</v>
      </c>
      <c r="AQ191" s="26">
        <v>0.6</v>
      </c>
      <c r="AR191" s="26">
        <v>58.1</v>
      </c>
      <c r="BL191" s="26">
        <v>244.18700000000001</v>
      </c>
      <c r="BM191" s="26">
        <v>238.03066666666669</v>
      </c>
      <c r="BN191" s="26">
        <v>18211.099999999999</v>
      </c>
      <c r="BO191" s="26">
        <v>19547.7</v>
      </c>
      <c r="BP191" s="26">
        <v>-1</v>
      </c>
      <c r="BQ191" s="26">
        <v>5170.333333333333</v>
      </c>
      <c r="BR191" s="26">
        <v>14363</v>
      </c>
      <c r="BS191" s="26">
        <v>275545.66666666669</v>
      </c>
    </row>
    <row r="192" spans="1:71">
      <c r="A192" s="55">
        <v>43008</v>
      </c>
      <c r="B192" s="26">
        <v>19617.3</v>
      </c>
      <c r="C192" s="26">
        <v>18185.599999999999</v>
      </c>
      <c r="D192" s="26">
        <v>107.968</v>
      </c>
      <c r="E192" s="26">
        <v>13370.9</v>
      </c>
      <c r="F192" s="26">
        <v>12604.5</v>
      </c>
      <c r="G192" s="26">
        <v>106.084</v>
      </c>
      <c r="H192" s="26">
        <v>106.002</v>
      </c>
      <c r="I192" s="26">
        <v>108.661</v>
      </c>
      <c r="J192" s="26">
        <v>108.64700000000001</v>
      </c>
      <c r="K192" s="26">
        <v>108.72799999999999</v>
      </c>
      <c r="L192" s="26">
        <v>696.3</v>
      </c>
      <c r="M192" s="26">
        <v>578.79999999999995</v>
      </c>
      <c r="N192" s="26">
        <v>30.3</v>
      </c>
      <c r="O192" s="26">
        <v>2822.2</v>
      </c>
      <c r="P192" s="26">
        <v>107.6</v>
      </c>
      <c r="Q192" s="26">
        <v>2052.3000000000002</v>
      </c>
      <c r="R192" s="26">
        <v>1368.7</v>
      </c>
      <c r="S192" s="26">
        <v>308.60000000000002</v>
      </c>
      <c r="T192" s="26">
        <v>3411.1</v>
      </c>
      <c r="U192" s="26">
        <v>1309.5999999999999</v>
      </c>
      <c r="V192" s="26">
        <v>106.08</v>
      </c>
      <c r="W192" s="26">
        <v>1262.7</v>
      </c>
      <c r="X192" s="26">
        <v>2148.4</v>
      </c>
      <c r="Y192" s="26">
        <v>1191.3</v>
      </c>
      <c r="Z192" s="26">
        <v>1977.2</v>
      </c>
      <c r="AA192" s="26">
        <v>1625</v>
      </c>
      <c r="AB192" s="26">
        <v>131.19999999999999</v>
      </c>
      <c r="AC192" s="26">
        <v>254.5</v>
      </c>
      <c r="AD192" s="26">
        <v>1289.7</v>
      </c>
      <c r="AE192" s="26">
        <v>2106.6</v>
      </c>
      <c r="AF192" s="26">
        <v>562.9</v>
      </c>
      <c r="AG192" s="26">
        <v>427.3</v>
      </c>
      <c r="AH192" s="26">
        <v>1237.5</v>
      </c>
      <c r="AI192" s="26">
        <v>54.1</v>
      </c>
      <c r="AJ192" s="26">
        <v>20</v>
      </c>
      <c r="AK192" s="26">
        <v>715.6</v>
      </c>
      <c r="AL192" s="26">
        <v>2904.5</v>
      </c>
      <c r="AM192" s="26">
        <v>397198</v>
      </c>
      <c r="AN192" s="26">
        <v>376693</v>
      </c>
      <c r="AO192" s="26">
        <v>63911</v>
      </c>
      <c r="AP192" s="26">
        <v>61.3</v>
      </c>
      <c r="AQ192" s="26">
        <v>0.6</v>
      </c>
      <c r="AR192" s="26">
        <v>61.9</v>
      </c>
      <c r="BL192" s="26">
        <v>245.34533333333329</v>
      </c>
      <c r="BM192" s="26">
        <v>239.2</v>
      </c>
      <c r="BN192" s="26">
        <v>18287.099999999999</v>
      </c>
      <c r="BO192" s="26">
        <v>19726.8</v>
      </c>
      <c r="BP192" s="26">
        <v>-1</v>
      </c>
      <c r="BQ192" s="26">
        <v>5168.333333333333</v>
      </c>
      <c r="BR192" s="26">
        <v>14401.66666666667</v>
      </c>
      <c r="BS192" s="26">
        <v>273887</v>
      </c>
    </row>
    <row r="193" spans="1:71">
      <c r="A193" s="55">
        <v>43100</v>
      </c>
      <c r="B193" s="26">
        <v>19938</v>
      </c>
      <c r="C193" s="26">
        <v>18359.400000000001</v>
      </c>
      <c r="D193" s="26">
        <v>108.637</v>
      </c>
      <c r="E193" s="26">
        <v>13596</v>
      </c>
      <c r="F193" s="26">
        <v>12733.7</v>
      </c>
      <c r="G193" s="26">
        <v>106.77500000000001</v>
      </c>
      <c r="H193" s="26">
        <v>106.831</v>
      </c>
      <c r="I193" s="26">
        <v>109.97799999999999</v>
      </c>
      <c r="J193" s="26">
        <v>110.13200000000001</v>
      </c>
      <c r="K193" s="26">
        <v>109.28700000000001</v>
      </c>
      <c r="L193" s="26">
        <v>705.8</v>
      </c>
      <c r="M193" s="26">
        <v>575.79999999999995</v>
      </c>
      <c r="N193" s="26">
        <v>29.8</v>
      </c>
      <c r="O193" s="26">
        <v>2834.7</v>
      </c>
      <c r="P193" s="26">
        <v>108.7</v>
      </c>
      <c r="Q193" s="26">
        <v>2127.9</v>
      </c>
      <c r="R193" s="26">
        <v>1389.8</v>
      </c>
      <c r="S193" s="26">
        <v>279</v>
      </c>
      <c r="T193" s="26">
        <v>3471.1</v>
      </c>
      <c r="U193" s="26">
        <v>1328.4</v>
      </c>
      <c r="V193" s="26">
        <v>106.77200000000001</v>
      </c>
      <c r="W193" s="26">
        <v>1288.3</v>
      </c>
      <c r="X193" s="26">
        <v>2182.9</v>
      </c>
      <c r="Y193" s="26">
        <v>1206</v>
      </c>
      <c r="Z193" s="26">
        <v>1984.9</v>
      </c>
      <c r="AA193" s="26">
        <v>1650.8</v>
      </c>
      <c r="AB193" s="26">
        <v>134.30000000000001</v>
      </c>
      <c r="AC193" s="26">
        <v>223.5</v>
      </c>
      <c r="AD193" s="26">
        <v>1308.2</v>
      </c>
      <c r="AE193" s="26">
        <v>2124.3000000000002</v>
      </c>
      <c r="AF193" s="26">
        <v>572.9</v>
      </c>
      <c r="AG193" s="26">
        <v>477</v>
      </c>
      <c r="AH193" s="26">
        <v>1255.5</v>
      </c>
      <c r="AI193" s="26">
        <v>55.4</v>
      </c>
      <c r="AJ193" s="26">
        <v>20.2</v>
      </c>
      <c r="AK193" s="26">
        <v>710.3</v>
      </c>
      <c r="AL193" s="26">
        <v>2923.8</v>
      </c>
      <c r="AM193" s="26">
        <v>400144</v>
      </c>
      <c r="AN193" s="26">
        <v>382986</v>
      </c>
      <c r="AO193" s="26">
        <v>64776</v>
      </c>
      <c r="AP193" s="26">
        <v>59.4</v>
      </c>
      <c r="AQ193" s="26">
        <v>0.6</v>
      </c>
      <c r="AR193" s="26">
        <v>60</v>
      </c>
      <c r="BL193" s="26">
        <v>247.25700000000001</v>
      </c>
      <c r="BM193" s="26">
        <v>241.30366666666669</v>
      </c>
      <c r="BN193" s="26">
        <v>18365.3</v>
      </c>
      <c r="BO193" s="26">
        <v>19944.400000000001</v>
      </c>
      <c r="BP193" s="26">
        <v>-1</v>
      </c>
      <c r="BQ193" s="26">
        <v>5160.333333333333</v>
      </c>
      <c r="BR193" s="26">
        <v>14428.66666666667</v>
      </c>
      <c r="BS193" s="26">
        <v>278738</v>
      </c>
    </row>
    <row r="194" spans="1:71">
      <c r="A194" s="55">
        <v>43190</v>
      </c>
      <c r="B194" s="26">
        <v>20242.2</v>
      </c>
      <c r="C194" s="26">
        <v>18530.5</v>
      </c>
      <c r="D194" s="26">
        <v>109.292</v>
      </c>
      <c r="E194" s="26">
        <v>13755.5</v>
      </c>
      <c r="F194" s="26">
        <v>12798.1</v>
      </c>
      <c r="G194" s="26">
        <v>107.485</v>
      </c>
      <c r="H194" s="26">
        <v>107.962</v>
      </c>
      <c r="I194" s="26">
        <v>111.19</v>
      </c>
      <c r="J194" s="26">
        <v>111.383</v>
      </c>
      <c r="K194" s="26">
        <v>110.321</v>
      </c>
      <c r="L194" s="26">
        <v>716.1</v>
      </c>
      <c r="M194" s="26">
        <v>581.79999999999995</v>
      </c>
      <c r="N194" s="26">
        <v>29.2</v>
      </c>
      <c r="O194" s="26">
        <v>2890.9</v>
      </c>
      <c r="P194" s="26">
        <v>109.8</v>
      </c>
      <c r="Q194" s="26">
        <v>2085.6</v>
      </c>
      <c r="R194" s="26">
        <v>1418.3</v>
      </c>
      <c r="S194" s="26">
        <v>244.1</v>
      </c>
      <c r="T194" s="26">
        <v>3521.5</v>
      </c>
      <c r="U194" s="26">
        <v>1348.3</v>
      </c>
      <c r="V194" s="26">
        <v>107.48099999999999</v>
      </c>
      <c r="W194" s="26">
        <v>1308.0999999999999</v>
      </c>
      <c r="X194" s="26">
        <v>2213.4</v>
      </c>
      <c r="Y194" s="26">
        <v>1211.7</v>
      </c>
      <c r="Z194" s="26">
        <v>1990.7</v>
      </c>
      <c r="AA194" s="26">
        <v>1598.6</v>
      </c>
      <c r="AB194" s="26">
        <v>150.1</v>
      </c>
      <c r="AC194" s="26">
        <v>188.7</v>
      </c>
      <c r="AD194" s="26">
        <v>1327.8</v>
      </c>
      <c r="AE194" s="26">
        <v>2173.4</v>
      </c>
      <c r="AF194" s="26">
        <v>581.5</v>
      </c>
      <c r="AG194" s="26">
        <v>487</v>
      </c>
      <c r="AH194" s="26">
        <v>1268.2</v>
      </c>
      <c r="AI194" s="26">
        <v>55.4</v>
      </c>
      <c r="AJ194" s="26">
        <v>20.399999999999999</v>
      </c>
      <c r="AK194" s="26">
        <v>717.5</v>
      </c>
      <c r="AL194" s="26">
        <v>2953.5</v>
      </c>
      <c r="AM194" s="26">
        <v>411384</v>
      </c>
      <c r="AN194" s="26">
        <v>389195</v>
      </c>
      <c r="AO194" s="26">
        <v>65084</v>
      </c>
      <c r="AP194" s="26">
        <v>57.6</v>
      </c>
      <c r="AQ194" s="26">
        <v>0.6</v>
      </c>
      <c r="AR194" s="26">
        <v>58.2</v>
      </c>
      <c r="BL194" s="26">
        <v>249.1793333333334</v>
      </c>
      <c r="BM194" s="26">
        <v>243.27433333333329</v>
      </c>
      <c r="BN194" s="26">
        <v>18446.400000000001</v>
      </c>
      <c r="BO194" s="26">
        <v>20150.3</v>
      </c>
      <c r="BP194" s="26">
        <v>-1</v>
      </c>
      <c r="BQ194" s="26">
        <v>5150.333333333333</v>
      </c>
      <c r="BR194" s="26">
        <v>14442.33333333333</v>
      </c>
      <c r="BS194" s="26">
        <v>284701</v>
      </c>
    </row>
    <row r="195" spans="1:71">
      <c r="A195" s="55">
        <v>43281</v>
      </c>
      <c r="B195" s="26">
        <v>20552.7</v>
      </c>
      <c r="C195" s="26">
        <v>18654.400000000001</v>
      </c>
      <c r="D195" s="26">
        <v>110.16500000000001</v>
      </c>
      <c r="E195" s="26">
        <v>13939.9</v>
      </c>
      <c r="F195" s="26">
        <v>12898.1</v>
      </c>
      <c r="G195" s="26">
        <v>108.081</v>
      </c>
      <c r="H195" s="26">
        <v>108.76300000000001</v>
      </c>
      <c r="I195" s="26">
        <v>112.36499999999999</v>
      </c>
      <c r="J195" s="26">
        <v>112.48099999999999</v>
      </c>
      <c r="K195" s="26">
        <v>111.843</v>
      </c>
      <c r="L195" s="26">
        <v>727.5</v>
      </c>
      <c r="M195" s="26">
        <v>592.6</v>
      </c>
      <c r="N195" s="26">
        <v>27.9</v>
      </c>
      <c r="O195" s="26">
        <v>2916</v>
      </c>
      <c r="P195" s="26">
        <v>110.9</v>
      </c>
      <c r="Q195" s="26">
        <v>2064.4</v>
      </c>
      <c r="R195" s="26">
        <v>1433.1</v>
      </c>
      <c r="S195" s="26">
        <v>265.5</v>
      </c>
      <c r="T195" s="26">
        <v>3580</v>
      </c>
      <c r="U195" s="26">
        <v>1358</v>
      </c>
      <c r="V195" s="26">
        <v>108.077</v>
      </c>
      <c r="W195" s="26">
        <v>1329.3</v>
      </c>
      <c r="X195" s="26">
        <v>2250.6999999999998</v>
      </c>
      <c r="Y195" s="26">
        <v>1222.3</v>
      </c>
      <c r="Z195" s="26">
        <v>2003</v>
      </c>
      <c r="AA195" s="26">
        <v>1608.9</v>
      </c>
      <c r="AB195" s="26">
        <v>155.19999999999999</v>
      </c>
      <c r="AC195" s="26">
        <v>204.7</v>
      </c>
      <c r="AD195" s="26">
        <v>1337.2</v>
      </c>
      <c r="AE195" s="26">
        <v>2186.6999999999998</v>
      </c>
      <c r="AF195" s="26">
        <v>578</v>
      </c>
      <c r="AG195" s="26">
        <v>455.5</v>
      </c>
      <c r="AH195" s="26">
        <v>1277.8</v>
      </c>
      <c r="AI195" s="26">
        <v>60.8</v>
      </c>
      <c r="AJ195" s="26">
        <v>20.8</v>
      </c>
      <c r="AK195" s="26">
        <v>729.3</v>
      </c>
      <c r="AL195" s="26">
        <v>2996.4</v>
      </c>
      <c r="AM195" s="26">
        <v>405388</v>
      </c>
      <c r="AN195" s="26">
        <v>386857</v>
      </c>
      <c r="AO195" s="26">
        <v>64961</v>
      </c>
      <c r="AP195" s="26">
        <v>57.2</v>
      </c>
      <c r="AQ195" s="26">
        <v>0.6</v>
      </c>
      <c r="AR195" s="26">
        <v>57.8</v>
      </c>
      <c r="BL195" s="26">
        <v>250.73766666666671</v>
      </c>
      <c r="BM195" s="26">
        <v>244.81299999999999</v>
      </c>
      <c r="BN195" s="26">
        <v>18530.5</v>
      </c>
      <c r="BO195" s="26">
        <v>20416.2</v>
      </c>
      <c r="BP195" s="26">
        <v>-1</v>
      </c>
      <c r="BQ195" s="26">
        <v>5173</v>
      </c>
      <c r="BR195" s="26">
        <v>14468.66666666667</v>
      </c>
      <c r="BS195" s="26">
        <v>293031</v>
      </c>
    </row>
    <row r="196" spans="1:71">
      <c r="A196" s="55">
        <v>43373</v>
      </c>
      <c r="B196" s="26">
        <v>20742.7</v>
      </c>
      <c r="C196" s="26">
        <v>18752.400000000001</v>
      </c>
      <c r="D196" s="26">
        <v>110.67100000000001</v>
      </c>
      <c r="E196" s="26">
        <v>14086.3</v>
      </c>
      <c r="F196" s="26">
        <v>12983</v>
      </c>
      <c r="G196" s="26">
        <v>108.501</v>
      </c>
      <c r="H196" s="26">
        <v>109.413</v>
      </c>
      <c r="I196" s="26">
        <v>113.398</v>
      </c>
      <c r="J196" s="26">
        <v>113.54900000000001</v>
      </c>
      <c r="K196" s="26">
        <v>112.72</v>
      </c>
      <c r="L196" s="26">
        <v>739.9</v>
      </c>
      <c r="M196" s="26">
        <v>595.1</v>
      </c>
      <c r="N196" s="26">
        <v>27.4</v>
      </c>
      <c r="O196" s="26">
        <v>2935.4</v>
      </c>
      <c r="P196" s="26">
        <v>111.9</v>
      </c>
      <c r="Q196" s="26">
        <v>2100.5</v>
      </c>
      <c r="R196" s="26">
        <v>1448.7</v>
      </c>
      <c r="S196" s="26">
        <v>276.3</v>
      </c>
      <c r="T196" s="26">
        <v>3631.2</v>
      </c>
      <c r="U196" s="26">
        <v>1374.2</v>
      </c>
      <c r="V196" s="26">
        <v>108.498</v>
      </c>
      <c r="W196" s="26">
        <v>1352</v>
      </c>
      <c r="X196" s="26">
        <v>2279.1</v>
      </c>
      <c r="Y196" s="26">
        <v>1235.8</v>
      </c>
      <c r="Z196" s="26">
        <v>2009.9</v>
      </c>
      <c r="AA196" s="26">
        <v>1628.3</v>
      </c>
      <c r="AB196" s="26">
        <v>162.1</v>
      </c>
      <c r="AC196" s="26">
        <v>214.2</v>
      </c>
      <c r="AD196" s="26">
        <v>1353.1</v>
      </c>
      <c r="AE196" s="26">
        <v>2202.1</v>
      </c>
      <c r="AF196" s="26">
        <v>584.29999999999995</v>
      </c>
      <c r="AG196" s="26">
        <v>472.2</v>
      </c>
      <c r="AH196" s="26">
        <v>1286.5999999999999</v>
      </c>
      <c r="AI196" s="26">
        <v>62.1</v>
      </c>
      <c r="AJ196" s="26">
        <v>21.2</v>
      </c>
      <c r="AK196" s="26">
        <v>733.3</v>
      </c>
      <c r="AL196" s="26">
        <v>3027.6</v>
      </c>
      <c r="AM196" s="26">
        <v>414827</v>
      </c>
      <c r="AN196" s="26">
        <v>392516</v>
      </c>
      <c r="AO196" s="26">
        <v>68573</v>
      </c>
      <c r="AP196" s="26">
        <v>57.3</v>
      </c>
      <c r="AQ196" s="26">
        <v>0.6</v>
      </c>
      <c r="AR196" s="26">
        <v>57.9</v>
      </c>
      <c r="BL196" s="26">
        <v>251.75433333333331</v>
      </c>
      <c r="BM196" s="26">
        <v>245.79300000000001</v>
      </c>
      <c r="BN196" s="26">
        <v>18617.400000000001</v>
      </c>
      <c r="BO196" s="26">
        <v>20593.400000000001</v>
      </c>
      <c r="BP196" s="26">
        <v>-1</v>
      </c>
      <c r="BQ196" s="26">
        <v>5185.333333333333</v>
      </c>
      <c r="BR196" s="26">
        <v>14494.33333333333</v>
      </c>
      <c r="BS196" s="26">
        <v>291638.33333333331</v>
      </c>
    </row>
    <row r="197" spans="1:71">
      <c r="A197" s="55">
        <v>43465</v>
      </c>
      <c r="B197" s="26">
        <v>20909.900000000001</v>
      </c>
      <c r="C197" s="26">
        <v>18813.900000000001</v>
      </c>
      <c r="D197" s="26">
        <v>111.15900000000001</v>
      </c>
      <c r="E197" s="26">
        <v>14191.4</v>
      </c>
      <c r="F197" s="26">
        <v>13033.4</v>
      </c>
      <c r="G197" s="26">
        <v>108.889</v>
      </c>
      <c r="H197" s="26">
        <v>110.218</v>
      </c>
      <c r="I197" s="26">
        <v>114.148</v>
      </c>
      <c r="J197" s="26">
        <v>114.206</v>
      </c>
      <c r="K197" s="26">
        <v>113.88200000000001</v>
      </c>
      <c r="L197" s="26">
        <v>753.3</v>
      </c>
      <c r="M197" s="26">
        <v>589.79999999999995</v>
      </c>
      <c r="N197" s="26">
        <v>27</v>
      </c>
      <c r="O197" s="26">
        <v>2949.4</v>
      </c>
      <c r="P197" s="26">
        <v>112.9</v>
      </c>
      <c r="Q197" s="26">
        <v>2090.6999999999998</v>
      </c>
      <c r="R197" s="26">
        <v>1479</v>
      </c>
      <c r="S197" s="26">
        <v>298.2</v>
      </c>
      <c r="T197" s="26">
        <v>3648</v>
      </c>
      <c r="U197" s="26">
        <v>1381.9</v>
      </c>
      <c r="V197" s="26">
        <v>108.88500000000001</v>
      </c>
      <c r="W197" s="26">
        <v>1368.4</v>
      </c>
      <c r="X197" s="26">
        <v>2279.6</v>
      </c>
      <c r="Y197" s="26">
        <v>1241.5999999999999</v>
      </c>
      <c r="Z197" s="26">
        <v>1997.1</v>
      </c>
      <c r="AA197" s="26">
        <v>1634.2</v>
      </c>
      <c r="AB197" s="26">
        <v>183.5</v>
      </c>
      <c r="AC197" s="26">
        <v>234.7</v>
      </c>
      <c r="AD197" s="26">
        <v>1360.3</v>
      </c>
      <c r="AE197" s="26">
        <v>2220.5</v>
      </c>
      <c r="AF197" s="26">
        <v>586.5</v>
      </c>
      <c r="AG197" s="26">
        <v>456.5</v>
      </c>
      <c r="AH197" s="26">
        <v>1295.5</v>
      </c>
      <c r="AI197" s="26">
        <v>63.5</v>
      </c>
      <c r="AJ197" s="26">
        <v>21.6</v>
      </c>
      <c r="AK197" s="26">
        <v>728.8</v>
      </c>
      <c r="AL197" s="26">
        <v>3025.3</v>
      </c>
      <c r="AM197" s="26">
        <v>409361</v>
      </c>
      <c r="AN197" s="26">
        <v>389624</v>
      </c>
      <c r="AO197" s="26">
        <v>64617</v>
      </c>
      <c r="AP197" s="26">
        <v>78.900000000000006</v>
      </c>
      <c r="AQ197" s="26">
        <v>0.6</v>
      </c>
      <c r="AR197" s="26">
        <v>79.5</v>
      </c>
      <c r="BL197" s="26">
        <v>252.738</v>
      </c>
      <c r="BM197" s="26">
        <v>246.68100000000001</v>
      </c>
      <c r="BN197" s="26">
        <v>18705.5</v>
      </c>
      <c r="BO197" s="26">
        <v>20789.5</v>
      </c>
      <c r="BP197" s="26">
        <v>-1</v>
      </c>
      <c r="BQ197" s="26">
        <v>5177</v>
      </c>
      <c r="BR197" s="26">
        <v>14510</v>
      </c>
      <c r="BS197" s="26">
        <v>283060</v>
      </c>
    </row>
    <row r="198" spans="1:71">
      <c r="A198" s="55">
        <v>43555</v>
      </c>
      <c r="B198" s="26">
        <v>21115.3</v>
      </c>
      <c r="C198" s="26">
        <v>18950.3</v>
      </c>
      <c r="D198" s="26">
        <v>111.497</v>
      </c>
      <c r="E198" s="26">
        <v>14276.6</v>
      </c>
      <c r="F198" s="26">
        <v>13093.2</v>
      </c>
      <c r="G198" s="26">
        <v>109.042</v>
      </c>
      <c r="H198" s="26">
        <v>111.479</v>
      </c>
      <c r="I198" s="26">
        <v>113.914</v>
      </c>
      <c r="J198" s="26">
        <v>113.80800000000001</v>
      </c>
      <c r="K198" s="26">
        <v>114.389</v>
      </c>
      <c r="L198" s="26">
        <v>767.4</v>
      </c>
      <c r="M198" s="26">
        <v>599.4</v>
      </c>
      <c r="N198" s="26">
        <v>28</v>
      </c>
      <c r="O198" s="26">
        <v>3037.5</v>
      </c>
      <c r="P198" s="26">
        <v>114.2</v>
      </c>
      <c r="Q198" s="26">
        <v>2170.6999999999998</v>
      </c>
      <c r="R198" s="26">
        <v>1473.8</v>
      </c>
      <c r="S198" s="26">
        <v>282.3</v>
      </c>
      <c r="T198" s="26">
        <v>3681.5</v>
      </c>
      <c r="U198" s="26">
        <v>1413.9</v>
      </c>
      <c r="V198" s="26">
        <v>109.039</v>
      </c>
      <c r="W198" s="26">
        <v>1388.8</v>
      </c>
      <c r="X198" s="26">
        <v>2292.6999999999998</v>
      </c>
      <c r="Y198" s="26">
        <v>1245.8</v>
      </c>
      <c r="Z198" s="26">
        <v>2012.7</v>
      </c>
      <c r="AA198" s="26">
        <v>1695.5</v>
      </c>
      <c r="AB198" s="26">
        <v>172.1</v>
      </c>
      <c r="AC198" s="26">
        <v>213.8</v>
      </c>
      <c r="AD198" s="26">
        <v>1391.9</v>
      </c>
      <c r="AE198" s="26">
        <v>2298.8000000000002</v>
      </c>
      <c r="AF198" s="26">
        <v>594.20000000000005</v>
      </c>
      <c r="AG198" s="26">
        <v>475.2</v>
      </c>
      <c r="AH198" s="26">
        <v>1301.5999999999999</v>
      </c>
      <c r="AI198" s="26">
        <v>68.5</v>
      </c>
      <c r="AJ198" s="26">
        <v>22</v>
      </c>
      <c r="AK198" s="26">
        <v>738.7</v>
      </c>
      <c r="AL198" s="26">
        <v>3054.4</v>
      </c>
      <c r="AM198" s="26">
        <v>428612</v>
      </c>
      <c r="AN198" s="26">
        <v>404529</v>
      </c>
      <c r="AO198" s="26">
        <v>67605</v>
      </c>
      <c r="AP198" s="26">
        <v>70.7</v>
      </c>
      <c r="AQ198" s="26">
        <v>0.6</v>
      </c>
      <c r="AR198" s="26">
        <v>71.3</v>
      </c>
      <c r="BL198" s="26">
        <v>253.18566666666669</v>
      </c>
      <c r="BM198" s="26">
        <v>246.76499999999999</v>
      </c>
      <c r="BN198" s="26">
        <v>18794.8</v>
      </c>
      <c r="BO198" s="26">
        <v>20942.099999999999</v>
      </c>
      <c r="BP198" s="26">
        <v>-1</v>
      </c>
      <c r="BQ198" s="26">
        <v>5171.333333333333</v>
      </c>
      <c r="BR198" s="26">
        <v>14527.66666666667</v>
      </c>
      <c r="BS198" s="26">
        <v>299821.33333333331</v>
      </c>
    </row>
    <row r="199" spans="1:71">
      <c r="A199" s="55">
        <v>43646</v>
      </c>
      <c r="B199" s="26">
        <v>21329.9</v>
      </c>
      <c r="C199" s="26">
        <v>19020.599999999999</v>
      </c>
      <c r="D199" s="26">
        <v>112.181</v>
      </c>
      <c r="E199" s="26">
        <v>14497.3</v>
      </c>
      <c r="F199" s="26">
        <v>13212.8</v>
      </c>
      <c r="G199" s="26">
        <v>109.726</v>
      </c>
      <c r="H199" s="26">
        <v>110.761</v>
      </c>
      <c r="I199" s="26">
        <v>114.89</v>
      </c>
      <c r="J199" s="26">
        <v>114.687</v>
      </c>
      <c r="K199" s="26">
        <v>115.79300000000001</v>
      </c>
      <c r="L199" s="26">
        <v>779.7</v>
      </c>
      <c r="M199" s="26">
        <v>615</v>
      </c>
      <c r="N199" s="26">
        <v>27.5</v>
      </c>
      <c r="O199" s="26">
        <v>3071</v>
      </c>
      <c r="P199" s="26">
        <v>114.9</v>
      </c>
      <c r="Q199" s="26">
        <v>2222.5</v>
      </c>
      <c r="R199" s="26">
        <v>1480.7</v>
      </c>
      <c r="S199" s="26">
        <v>292.89999999999998</v>
      </c>
      <c r="T199" s="26">
        <v>3737.6</v>
      </c>
      <c r="U199" s="26">
        <v>1419.9</v>
      </c>
      <c r="V199" s="26">
        <v>109.72199999999999</v>
      </c>
      <c r="W199" s="26">
        <v>1410.6</v>
      </c>
      <c r="X199" s="26">
        <v>2327</v>
      </c>
      <c r="Y199" s="26">
        <v>1273.5999999999999</v>
      </c>
      <c r="Z199" s="26">
        <v>2025.5</v>
      </c>
      <c r="AA199" s="26">
        <v>1703.1</v>
      </c>
      <c r="AB199" s="26">
        <v>168.3</v>
      </c>
      <c r="AC199" s="26">
        <v>224.2</v>
      </c>
      <c r="AD199" s="26">
        <v>1397.8</v>
      </c>
      <c r="AE199" s="26">
        <v>2315.8000000000002</v>
      </c>
      <c r="AF199" s="26">
        <v>612.5</v>
      </c>
      <c r="AG199" s="26">
        <v>519.4</v>
      </c>
      <c r="AH199" s="26">
        <v>1312.4</v>
      </c>
      <c r="AI199" s="26">
        <v>68.7</v>
      </c>
      <c r="AJ199" s="26">
        <v>22.1</v>
      </c>
      <c r="AK199" s="26">
        <v>755.2</v>
      </c>
      <c r="AL199" s="26">
        <v>3105.7</v>
      </c>
      <c r="AM199" s="26">
        <v>439939</v>
      </c>
      <c r="AN199" s="26">
        <v>419672</v>
      </c>
      <c r="AO199" s="26">
        <v>66614</v>
      </c>
      <c r="AP199" s="26">
        <v>60.5</v>
      </c>
      <c r="AQ199" s="26">
        <v>0.6</v>
      </c>
      <c r="AR199" s="26">
        <v>61.1</v>
      </c>
      <c r="BL199" s="26">
        <v>255.37333333333331</v>
      </c>
      <c r="BM199" s="26">
        <v>249.00766666666669</v>
      </c>
      <c r="BN199" s="26">
        <v>18885.5</v>
      </c>
      <c r="BO199" s="26">
        <v>21178.400000000001</v>
      </c>
      <c r="BP199" s="26">
        <v>-1</v>
      </c>
      <c r="BQ199" s="26">
        <v>5177.333333333333</v>
      </c>
      <c r="BR199" s="26">
        <v>14558.33333333333</v>
      </c>
      <c r="BS199" s="26">
        <v>314021</v>
      </c>
    </row>
    <row r="200" spans="1:71">
      <c r="A200" s="55">
        <v>43738</v>
      </c>
      <c r="B200" s="26">
        <v>21540.3</v>
      </c>
      <c r="C200" s="26">
        <v>19141.7</v>
      </c>
      <c r="D200" s="26">
        <v>112.602</v>
      </c>
      <c r="E200" s="26">
        <v>14645.3</v>
      </c>
      <c r="F200" s="26">
        <v>13301.3</v>
      </c>
      <c r="G200" s="26">
        <v>110.108</v>
      </c>
      <c r="H200" s="26">
        <v>110.92100000000001</v>
      </c>
      <c r="I200" s="26">
        <v>115.262</v>
      </c>
      <c r="J200" s="26">
        <v>115.00700000000001</v>
      </c>
      <c r="K200" s="26">
        <v>116.39100000000001</v>
      </c>
      <c r="L200" s="26">
        <v>789.9</v>
      </c>
      <c r="M200" s="26">
        <v>622.29999999999995</v>
      </c>
      <c r="N200" s="26">
        <v>27.6</v>
      </c>
      <c r="O200" s="26">
        <v>3094.8</v>
      </c>
      <c r="P200" s="26">
        <v>115.5</v>
      </c>
      <c r="Q200" s="26">
        <v>2197.1</v>
      </c>
      <c r="R200" s="26">
        <v>1501.6</v>
      </c>
      <c r="S200" s="26">
        <v>271.39999999999998</v>
      </c>
      <c r="T200" s="26">
        <v>3767.1</v>
      </c>
      <c r="U200" s="26">
        <v>1424.1</v>
      </c>
      <c r="V200" s="26">
        <v>110.104</v>
      </c>
      <c r="W200" s="26">
        <v>1429.3</v>
      </c>
      <c r="X200" s="26">
        <v>2337.8000000000002</v>
      </c>
      <c r="Y200" s="26">
        <v>1288.5</v>
      </c>
      <c r="Z200" s="26">
        <v>2028.3</v>
      </c>
      <c r="AA200" s="26">
        <v>1713.2</v>
      </c>
      <c r="AB200" s="26">
        <v>175.1</v>
      </c>
      <c r="AC200" s="26">
        <v>201.6</v>
      </c>
      <c r="AD200" s="26">
        <v>1402.3</v>
      </c>
      <c r="AE200" s="26">
        <v>2331.4</v>
      </c>
      <c r="AF200" s="26">
        <v>610.29999999999995</v>
      </c>
      <c r="AG200" s="26">
        <v>483.9</v>
      </c>
      <c r="AH200" s="26">
        <v>1326.5</v>
      </c>
      <c r="AI200" s="26">
        <v>69.8</v>
      </c>
      <c r="AJ200" s="26">
        <v>21.8</v>
      </c>
      <c r="AK200" s="26">
        <v>763.4</v>
      </c>
      <c r="AL200" s="26">
        <v>3123.2</v>
      </c>
      <c r="AM200" s="26">
        <v>438361</v>
      </c>
      <c r="AN200" s="26">
        <v>418824</v>
      </c>
      <c r="AO200" s="26">
        <v>68895</v>
      </c>
      <c r="AP200" s="26">
        <v>81.400000000000006</v>
      </c>
      <c r="AQ200" s="26">
        <v>0.6</v>
      </c>
      <c r="AR200" s="26">
        <v>82</v>
      </c>
      <c r="BL200" s="26">
        <v>256.19166666666672</v>
      </c>
      <c r="BM200" s="26">
        <v>249.66499999999999</v>
      </c>
      <c r="BN200" s="26">
        <v>18976.5</v>
      </c>
      <c r="BO200" s="26">
        <v>21354.400000000001</v>
      </c>
      <c r="BP200" s="26">
        <v>-1</v>
      </c>
      <c r="BQ200" s="26">
        <v>5218.333333333333</v>
      </c>
      <c r="BR200" s="26">
        <v>14590</v>
      </c>
      <c r="BS200" s="26">
        <v>311467.66666666669</v>
      </c>
    </row>
    <row r="201" spans="1:71">
      <c r="A201" s="55">
        <v>43830</v>
      </c>
      <c r="B201" s="26">
        <v>21747.4</v>
      </c>
      <c r="C201" s="26">
        <v>19254</v>
      </c>
      <c r="D201" s="26">
        <v>112.989</v>
      </c>
      <c r="E201" s="26">
        <v>14759.2</v>
      </c>
      <c r="F201" s="26">
        <v>13353.7</v>
      </c>
      <c r="G201" s="26">
        <v>110.529</v>
      </c>
      <c r="H201" s="26">
        <v>111.28100000000001</v>
      </c>
      <c r="I201" s="26">
        <v>115.81100000000001</v>
      </c>
      <c r="J201" s="26">
        <v>115.65</v>
      </c>
      <c r="K201" s="26">
        <v>116.521</v>
      </c>
      <c r="L201" s="26">
        <v>797.9</v>
      </c>
      <c r="M201" s="26">
        <v>619.4</v>
      </c>
      <c r="N201" s="26">
        <v>27.9</v>
      </c>
      <c r="O201" s="26">
        <v>3108.7</v>
      </c>
      <c r="P201" s="26">
        <v>116</v>
      </c>
      <c r="Q201" s="26">
        <v>2221.1999999999998</v>
      </c>
      <c r="R201" s="26">
        <v>1509.6</v>
      </c>
      <c r="S201" s="26">
        <v>300.8</v>
      </c>
      <c r="T201" s="26">
        <v>3805.3</v>
      </c>
      <c r="U201" s="26">
        <v>1438.1</v>
      </c>
      <c r="V201" s="26">
        <v>110.52500000000001</v>
      </c>
      <c r="W201" s="26">
        <v>1447.9</v>
      </c>
      <c r="X201" s="26">
        <v>2357.4</v>
      </c>
      <c r="Y201" s="26">
        <v>1301.0999999999999</v>
      </c>
      <c r="Z201" s="26">
        <v>2035.6</v>
      </c>
      <c r="AA201" s="26">
        <v>1740.2</v>
      </c>
      <c r="AB201" s="26">
        <v>179.2</v>
      </c>
      <c r="AC201" s="26">
        <v>229.7</v>
      </c>
      <c r="AD201" s="26">
        <v>1416.9</v>
      </c>
      <c r="AE201" s="26">
        <v>2347.6999999999998</v>
      </c>
      <c r="AF201" s="26">
        <v>615.4</v>
      </c>
      <c r="AG201" s="26">
        <v>480.9</v>
      </c>
      <c r="AH201" s="26">
        <v>1330.4</v>
      </c>
      <c r="AI201" s="26">
        <v>71</v>
      </c>
      <c r="AJ201" s="26">
        <v>21.1</v>
      </c>
      <c r="AK201" s="26">
        <v>761</v>
      </c>
      <c r="AL201" s="26">
        <v>3136.8</v>
      </c>
      <c r="AM201" s="26">
        <v>436040</v>
      </c>
      <c r="AN201" s="26">
        <v>411409</v>
      </c>
      <c r="AO201" s="26">
        <v>69791</v>
      </c>
      <c r="AP201" s="26">
        <v>80.5</v>
      </c>
      <c r="AQ201" s="26">
        <v>0.6</v>
      </c>
      <c r="AR201" s="26">
        <v>81.099999999999994</v>
      </c>
      <c r="BL201" s="26">
        <v>257.85966666666673</v>
      </c>
      <c r="BM201" s="26">
        <v>251.42533333333341</v>
      </c>
      <c r="BN201" s="26">
        <v>19065.599999999999</v>
      </c>
      <c r="BO201" s="26">
        <v>21534.6</v>
      </c>
      <c r="BP201" s="26">
        <v>1</v>
      </c>
      <c r="BQ201" s="26">
        <v>5250.333333333333</v>
      </c>
      <c r="BR201" s="26">
        <v>14620.33333333333</v>
      </c>
      <c r="BS201" s="26">
        <v>312808.66666666669</v>
      </c>
    </row>
    <row r="202" spans="1:71">
      <c r="A202" s="55">
        <v>43921</v>
      </c>
      <c r="B202" s="26">
        <v>21561.1</v>
      </c>
      <c r="C202" s="26">
        <v>19010.8</v>
      </c>
      <c r="D202" s="26">
        <v>113.38</v>
      </c>
      <c r="E202" s="26">
        <v>14545.5</v>
      </c>
      <c r="F202" s="26">
        <v>13118.4</v>
      </c>
      <c r="G202" s="26">
        <v>110.88200000000001</v>
      </c>
      <c r="H202" s="26">
        <v>111.205</v>
      </c>
      <c r="I202" s="26">
        <v>116.688</v>
      </c>
      <c r="J202" s="26">
        <v>116.628</v>
      </c>
      <c r="K202" s="26">
        <v>116.961</v>
      </c>
      <c r="L202" s="26">
        <v>804.7</v>
      </c>
      <c r="M202" s="26">
        <v>624.1</v>
      </c>
      <c r="N202" s="26">
        <v>43.4</v>
      </c>
      <c r="O202" s="26">
        <v>3189.6</v>
      </c>
      <c r="P202" s="26">
        <v>112.2</v>
      </c>
      <c r="Q202" s="26">
        <v>2252.4</v>
      </c>
      <c r="R202" s="26">
        <v>1530</v>
      </c>
      <c r="S202" s="26">
        <v>243.2</v>
      </c>
      <c r="T202" s="26">
        <v>3834.1</v>
      </c>
      <c r="U202" s="26">
        <v>1456.8</v>
      </c>
      <c r="V202" s="26">
        <v>110.878</v>
      </c>
      <c r="W202" s="26">
        <v>1452.6</v>
      </c>
      <c r="X202" s="26">
        <v>2381.6</v>
      </c>
      <c r="Y202" s="26">
        <v>1306.0999999999999</v>
      </c>
      <c r="Z202" s="26">
        <v>2041</v>
      </c>
      <c r="AA202" s="26">
        <v>1756.6</v>
      </c>
      <c r="AB202" s="26">
        <v>183.8</v>
      </c>
      <c r="AC202" s="26">
        <v>180.5</v>
      </c>
      <c r="AD202" s="26">
        <v>1436.4</v>
      </c>
      <c r="AE202" s="26">
        <v>2422.5</v>
      </c>
      <c r="AF202" s="26">
        <v>627.79999999999995</v>
      </c>
      <c r="AG202" s="26">
        <v>495.8</v>
      </c>
      <c r="AH202" s="26">
        <v>1346.2</v>
      </c>
      <c r="AI202" s="26">
        <v>62.7</v>
      </c>
      <c r="AJ202" s="26">
        <v>20.399999999999999</v>
      </c>
      <c r="AK202" s="26">
        <v>767.1</v>
      </c>
      <c r="AL202" s="26">
        <v>3159.9</v>
      </c>
      <c r="AM202" s="26">
        <v>444822</v>
      </c>
      <c r="AN202" s="26">
        <v>423429</v>
      </c>
      <c r="AO202" s="26">
        <v>72240</v>
      </c>
      <c r="AP202" s="26">
        <v>74.5</v>
      </c>
      <c r="AQ202" s="26">
        <v>0.6</v>
      </c>
      <c r="AR202" s="26">
        <v>75.099999999999994</v>
      </c>
      <c r="BL202" s="26">
        <v>258.5</v>
      </c>
      <c r="BM202" s="26">
        <v>251.88533333333331</v>
      </c>
      <c r="BN202" s="26">
        <v>19154</v>
      </c>
      <c r="BO202" s="26">
        <v>21723.5</v>
      </c>
      <c r="BP202" s="26">
        <v>1</v>
      </c>
      <c r="BQ202" s="26">
        <v>5276.333333333333</v>
      </c>
      <c r="BR202" s="26">
        <v>14658.33333333333</v>
      </c>
      <c r="BS202" s="26">
        <v>328551</v>
      </c>
    </row>
    <row r="203" spans="1:71">
      <c r="A203" s="55">
        <v>44012</v>
      </c>
      <c r="B203" s="26">
        <v>19520.099999999999</v>
      </c>
      <c r="C203" s="26">
        <v>17302.5</v>
      </c>
      <c r="D203" s="26">
        <v>112.86</v>
      </c>
      <c r="E203" s="26">
        <v>13097.3</v>
      </c>
      <c r="F203" s="26">
        <v>11860.3</v>
      </c>
      <c r="G203" s="26">
        <v>110.435</v>
      </c>
      <c r="H203" s="26">
        <v>110.901</v>
      </c>
      <c r="I203" s="26">
        <v>115.96899999999999</v>
      </c>
      <c r="J203" s="26">
        <v>115.81100000000001</v>
      </c>
      <c r="K203" s="26">
        <v>116.655</v>
      </c>
      <c r="L203" s="26">
        <v>824.1</v>
      </c>
      <c r="M203" s="26">
        <v>668.8</v>
      </c>
      <c r="N203" s="26">
        <v>1084.5999999999999</v>
      </c>
      <c r="O203" s="26">
        <v>5627.4</v>
      </c>
      <c r="P203" s="26">
        <v>112.5</v>
      </c>
      <c r="Q203" s="26">
        <v>2096.5</v>
      </c>
      <c r="R203" s="26">
        <v>1395.8</v>
      </c>
      <c r="S203" s="26">
        <v>225.8</v>
      </c>
      <c r="T203" s="26">
        <v>3839.3</v>
      </c>
      <c r="U203" s="26">
        <v>1393.3</v>
      </c>
      <c r="V203" s="26">
        <v>110.431</v>
      </c>
      <c r="W203" s="26">
        <v>1504.8</v>
      </c>
      <c r="X203" s="26">
        <v>2334.5</v>
      </c>
      <c r="Y203" s="26">
        <v>1356.8</v>
      </c>
      <c r="Z203" s="26">
        <v>2013.1</v>
      </c>
      <c r="AA203" s="26">
        <v>1600.1</v>
      </c>
      <c r="AB203" s="26">
        <v>131.4</v>
      </c>
      <c r="AC203" s="26">
        <v>171.5</v>
      </c>
      <c r="AD203" s="26">
        <v>1374.2</v>
      </c>
      <c r="AE203" s="26">
        <v>4815.3</v>
      </c>
      <c r="AF203" s="26">
        <v>1396.9</v>
      </c>
      <c r="AG203" s="26">
        <v>496.4</v>
      </c>
      <c r="AH203" s="26">
        <v>1264.3</v>
      </c>
      <c r="AI203" s="26">
        <v>54.2</v>
      </c>
      <c r="AJ203" s="26">
        <v>19.100000000000001</v>
      </c>
      <c r="AK203" s="26">
        <v>812.2</v>
      </c>
      <c r="AL203" s="26">
        <v>3157.6</v>
      </c>
      <c r="AM203" s="26">
        <v>596610</v>
      </c>
      <c r="AN203" s="26">
        <v>512640</v>
      </c>
      <c r="AO203" s="26">
        <v>72525</v>
      </c>
      <c r="AP203" s="26">
        <v>1085.9000000000001</v>
      </c>
      <c r="AQ203" s="26">
        <v>0.6</v>
      </c>
      <c r="AR203" s="26">
        <v>1086.5</v>
      </c>
      <c r="AS203" s="26">
        <v>1078.0999999999999</v>
      </c>
      <c r="AT203" s="26">
        <v>9.6999999999999993</v>
      </c>
      <c r="AU203" s="26">
        <v>19.100000000000001</v>
      </c>
      <c r="AV203" s="26">
        <v>160.9</v>
      </c>
      <c r="AW203" s="26">
        <v>609.29999999999995</v>
      </c>
      <c r="AX203" s="26">
        <v>63.8</v>
      </c>
      <c r="AY203" s="26">
        <v>73.3</v>
      </c>
      <c r="AZ203" s="26">
        <v>22</v>
      </c>
      <c r="BA203" s="26">
        <v>16.899999999999999</v>
      </c>
      <c r="BB203" s="26">
        <v>96.6</v>
      </c>
      <c r="BC203" s="26">
        <v>140</v>
      </c>
      <c r="BD203" s="26">
        <v>597.9</v>
      </c>
      <c r="BE203" s="26">
        <v>28.4</v>
      </c>
      <c r="BF203" s="26">
        <v>64.400000000000006</v>
      </c>
      <c r="BG203" s="26">
        <v>7.2</v>
      </c>
      <c r="BH203" s="26">
        <v>101.5</v>
      </c>
      <c r="BI203" s="26">
        <v>679.2</v>
      </c>
      <c r="BJ203" s="26">
        <v>788</v>
      </c>
      <c r="BL203" s="26">
        <v>256.47199999999998</v>
      </c>
      <c r="BM203" s="26">
        <v>249.57599999999999</v>
      </c>
      <c r="BN203" s="26">
        <v>19242</v>
      </c>
      <c r="BO203" s="26">
        <v>21708.2</v>
      </c>
      <c r="BP203" s="26">
        <v>1</v>
      </c>
      <c r="BQ203" s="26">
        <v>5049.333333333333</v>
      </c>
      <c r="BR203" s="26">
        <v>13569.66666666667</v>
      </c>
      <c r="BS203" s="26">
        <v>326980</v>
      </c>
    </row>
    <row r="204" spans="1:71">
      <c r="A204" s="55">
        <v>44104</v>
      </c>
      <c r="B204" s="26">
        <v>21170.3</v>
      </c>
      <c r="C204" s="26">
        <v>18596.5</v>
      </c>
      <c r="D204" s="26">
        <v>113.83799999999999</v>
      </c>
      <c r="E204" s="26">
        <v>14401.5</v>
      </c>
      <c r="F204" s="26">
        <v>12924.7</v>
      </c>
      <c r="G204" s="26">
        <v>111.431</v>
      </c>
      <c r="H204" s="26">
        <v>111.373</v>
      </c>
      <c r="I204" s="26">
        <v>116.889</v>
      </c>
      <c r="J204" s="26">
        <v>116.685</v>
      </c>
      <c r="K204" s="26">
        <v>117.77500000000001</v>
      </c>
      <c r="L204" s="26">
        <v>842.7</v>
      </c>
      <c r="M204" s="26">
        <v>683.7</v>
      </c>
      <c r="N204" s="26">
        <v>775.2</v>
      </c>
      <c r="O204" s="26">
        <v>4323.3999999999996</v>
      </c>
      <c r="P204" s="26">
        <v>113</v>
      </c>
      <c r="Q204" s="26">
        <v>2191.6</v>
      </c>
      <c r="R204" s="26">
        <v>1489.2</v>
      </c>
      <c r="S204" s="26">
        <v>297.2</v>
      </c>
      <c r="T204" s="26">
        <v>3816.6</v>
      </c>
      <c r="U204" s="26">
        <v>1446.9</v>
      </c>
      <c r="V204" s="26">
        <v>111.426</v>
      </c>
      <c r="W204" s="26">
        <v>1487</v>
      </c>
      <c r="X204" s="26">
        <v>2329.6</v>
      </c>
      <c r="Y204" s="26">
        <v>1335.1</v>
      </c>
      <c r="Z204" s="26">
        <v>1993.1</v>
      </c>
      <c r="AA204" s="26">
        <v>1685</v>
      </c>
      <c r="AB204" s="26">
        <v>144.69999999999999</v>
      </c>
      <c r="AC204" s="26">
        <v>207</v>
      </c>
      <c r="AD204" s="26">
        <v>1426.6</v>
      </c>
      <c r="AE204" s="26">
        <v>3494.9</v>
      </c>
      <c r="AF204" s="26">
        <v>728.2</v>
      </c>
      <c r="AG204" s="26">
        <v>506.6</v>
      </c>
      <c r="AH204" s="26">
        <v>1344.5</v>
      </c>
      <c r="AI204" s="26">
        <v>90.2</v>
      </c>
      <c r="AJ204" s="26">
        <v>20.2</v>
      </c>
      <c r="AK204" s="26">
        <v>828.5</v>
      </c>
      <c r="AL204" s="26">
        <v>3160.3</v>
      </c>
      <c r="AM204" s="26">
        <v>533712</v>
      </c>
      <c r="AN204" s="26">
        <v>486072</v>
      </c>
      <c r="AO204" s="26">
        <v>73845</v>
      </c>
      <c r="AP204" s="26">
        <v>1212.9000000000001</v>
      </c>
      <c r="AQ204" s="26">
        <v>0.6</v>
      </c>
      <c r="AR204" s="26">
        <v>1213.5</v>
      </c>
      <c r="AS204" s="26">
        <v>15.6</v>
      </c>
      <c r="AT204" s="26">
        <v>14.8</v>
      </c>
      <c r="AU204" s="26">
        <v>27</v>
      </c>
      <c r="AV204" s="26">
        <v>58.4</v>
      </c>
      <c r="AW204" s="26">
        <v>865.6</v>
      </c>
      <c r="AX204" s="26">
        <v>15</v>
      </c>
      <c r="AY204" s="26">
        <v>73.3</v>
      </c>
      <c r="AZ204" s="26">
        <v>0</v>
      </c>
      <c r="BA204" s="26">
        <v>18.399999999999999</v>
      </c>
      <c r="BB204" s="26">
        <v>35.1</v>
      </c>
      <c r="BC204" s="26">
        <v>140</v>
      </c>
      <c r="BD204" s="26">
        <v>0</v>
      </c>
      <c r="BE204" s="26">
        <v>15.8</v>
      </c>
      <c r="BF204" s="26">
        <v>23.4</v>
      </c>
      <c r="BG204" s="26">
        <v>23.9</v>
      </c>
      <c r="BH204" s="26">
        <v>156.1</v>
      </c>
      <c r="BI204" s="26">
        <v>373.1</v>
      </c>
      <c r="BJ204" s="26">
        <v>556.20000000000005</v>
      </c>
      <c r="BK204" s="26">
        <v>106.2</v>
      </c>
      <c r="BL204" s="26">
        <v>259.42133333333328</v>
      </c>
      <c r="BM204" s="26">
        <v>253.01366666666661</v>
      </c>
      <c r="BN204" s="26">
        <v>19327.3</v>
      </c>
      <c r="BO204" s="26">
        <v>22002.3</v>
      </c>
      <c r="BP204" s="26">
        <v>1</v>
      </c>
      <c r="BQ204" s="26">
        <v>5036.333333333333</v>
      </c>
      <c r="BR204" s="26">
        <v>13736.66666666667</v>
      </c>
      <c r="BS204" s="26">
        <v>318988.33333333331</v>
      </c>
    </row>
    <row r="205" spans="1:71">
      <c r="A205" s="55">
        <v>44196</v>
      </c>
      <c r="B205" s="26">
        <v>21494.7</v>
      </c>
      <c r="C205" s="26">
        <v>18794.400000000001</v>
      </c>
      <c r="D205" s="26">
        <v>114.41500000000001</v>
      </c>
      <c r="E205" s="26">
        <v>14537</v>
      </c>
      <c r="F205" s="26">
        <v>12999.1</v>
      </c>
      <c r="G205" s="26">
        <v>111.83499999999999</v>
      </c>
      <c r="H205" s="26">
        <v>112.102</v>
      </c>
      <c r="I205" s="26">
        <v>117.727</v>
      </c>
      <c r="J205" s="26">
        <v>117.64700000000001</v>
      </c>
      <c r="K205" s="26">
        <v>118.093</v>
      </c>
      <c r="L205" s="26">
        <v>860.6</v>
      </c>
      <c r="M205" s="26">
        <v>682.4</v>
      </c>
      <c r="N205" s="26">
        <v>296.39999999999998</v>
      </c>
      <c r="O205" s="26">
        <v>3745.8</v>
      </c>
      <c r="P205" s="26">
        <v>113.6</v>
      </c>
      <c r="Q205" s="26">
        <v>2270.1999999999998</v>
      </c>
      <c r="R205" s="26">
        <v>1511.6</v>
      </c>
      <c r="S205" s="26">
        <v>332.7</v>
      </c>
      <c r="T205" s="26">
        <v>3835.2</v>
      </c>
      <c r="U205" s="26">
        <v>1488.4</v>
      </c>
      <c r="V205" s="26">
        <v>111.831</v>
      </c>
      <c r="W205" s="26">
        <v>1493.4</v>
      </c>
      <c r="X205" s="26">
        <v>2341.6999999999998</v>
      </c>
      <c r="Y205" s="26">
        <v>1332.2</v>
      </c>
      <c r="Z205" s="26">
        <v>1989.2</v>
      </c>
      <c r="AA205" s="26">
        <v>1745.6</v>
      </c>
      <c r="AB205" s="26">
        <v>150.80000000000001</v>
      </c>
      <c r="AC205" s="26">
        <v>236.9</v>
      </c>
      <c r="AD205" s="26">
        <v>1466.6</v>
      </c>
      <c r="AE205" s="26">
        <v>2918.2</v>
      </c>
      <c r="AF205" s="26">
        <v>738.1</v>
      </c>
      <c r="AG205" s="26">
        <v>524.5</v>
      </c>
      <c r="AH205" s="26">
        <v>1360.8</v>
      </c>
      <c r="AI205" s="26">
        <v>95.9</v>
      </c>
      <c r="AJ205" s="26">
        <v>21.8</v>
      </c>
      <c r="AK205" s="26">
        <v>827.6</v>
      </c>
      <c r="AL205" s="26">
        <v>3165.4</v>
      </c>
      <c r="AM205" s="26">
        <v>547131</v>
      </c>
      <c r="AN205" s="26">
        <v>512193</v>
      </c>
      <c r="AO205" s="26">
        <v>73559</v>
      </c>
      <c r="AP205" s="26">
        <v>609.79999999999995</v>
      </c>
      <c r="AQ205" s="26">
        <v>0.6</v>
      </c>
      <c r="AR205" s="26">
        <v>610.4</v>
      </c>
      <c r="AS205" s="26">
        <v>5</v>
      </c>
      <c r="AT205" s="26">
        <v>15.1</v>
      </c>
      <c r="AU205" s="26">
        <v>10.8</v>
      </c>
      <c r="AV205" s="26">
        <v>34.5</v>
      </c>
      <c r="AW205" s="26">
        <v>260.3</v>
      </c>
      <c r="AX205" s="26">
        <v>0.1</v>
      </c>
      <c r="AY205" s="26">
        <v>73.3</v>
      </c>
      <c r="AZ205" s="26">
        <v>0</v>
      </c>
      <c r="BA205" s="26">
        <v>46.2</v>
      </c>
      <c r="BB205" s="26">
        <v>20.7</v>
      </c>
      <c r="BC205" s="26">
        <v>140</v>
      </c>
      <c r="BD205" s="26">
        <v>0</v>
      </c>
      <c r="BE205" s="26">
        <v>15.2</v>
      </c>
      <c r="BF205" s="26">
        <v>13.8</v>
      </c>
      <c r="BG205" s="26">
        <v>63.6</v>
      </c>
      <c r="BH205" s="26">
        <v>110.3</v>
      </c>
      <c r="BI205" s="26">
        <v>13.6</v>
      </c>
      <c r="BJ205" s="26">
        <v>198.5</v>
      </c>
      <c r="BK205" s="26">
        <v>35.833333333333343</v>
      </c>
      <c r="BL205" s="26">
        <v>260.983</v>
      </c>
      <c r="BM205" s="26">
        <v>254.68033333333329</v>
      </c>
      <c r="BN205" s="26">
        <v>19414.2</v>
      </c>
      <c r="BO205" s="26">
        <v>22146</v>
      </c>
      <c r="BP205" s="26">
        <v>1</v>
      </c>
      <c r="BQ205" s="26">
        <v>4935.333333333333</v>
      </c>
      <c r="BR205" s="26">
        <v>13655.33333333333</v>
      </c>
      <c r="BS205" s="26">
        <v>327773.66666666669</v>
      </c>
    </row>
    <row r="206" spans="1:71">
      <c r="A206" s="55">
        <v>44286</v>
      </c>
      <c r="B206" s="26">
        <v>22061</v>
      </c>
      <c r="C206" s="26">
        <v>19088.099999999999</v>
      </c>
      <c r="D206" s="26">
        <v>115.613</v>
      </c>
      <c r="E206" s="26">
        <v>15069.2</v>
      </c>
      <c r="F206" s="26">
        <v>13352.2</v>
      </c>
      <c r="G206" s="26">
        <v>112.864</v>
      </c>
      <c r="H206" s="26">
        <v>113.15</v>
      </c>
      <c r="I206" s="26">
        <v>119.875</v>
      </c>
      <c r="J206" s="26">
        <v>119.90600000000001</v>
      </c>
      <c r="K206" s="26">
        <v>119.773</v>
      </c>
      <c r="L206" s="26">
        <v>880.1</v>
      </c>
      <c r="M206" s="26">
        <v>694.4</v>
      </c>
      <c r="N206" s="26">
        <v>544.29999999999995</v>
      </c>
      <c r="O206" s="26">
        <v>6003.5</v>
      </c>
      <c r="P206" s="26">
        <v>114.3</v>
      </c>
      <c r="Q206" s="26">
        <v>2312.6999999999998</v>
      </c>
      <c r="R206" s="26">
        <v>1546</v>
      </c>
      <c r="S206" s="26">
        <v>347.5</v>
      </c>
      <c r="T206" s="26">
        <v>3946.5</v>
      </c>
      <c r="U206" s="26">
        <v>1528.1</v>
      </c>
      <c r="V206" s="26">
        <v>112.86</v>
      </c>
      <c r="W206" s="26">
        <v>1557.2</v>
      </c>
      <c r="X206" s="26">
        <v>2389.4</v>
      </c>
      <c r="Y206" s="26">
        <v>1376.2</v>
      </c>
      <c r="Z206" s="26">
        <v>1993.3</v>
      </c>
      <c r="AA206" s="26">
        <v>1757.8</v>
      </c>
      <c r="AB206" s="26">
        <v>159.80000000000001</v>
      </c>
      <c r="AC206" s="26">
        <v>250.9</v>
      </c>
      <c r="AD206" s="26">
        <v>1504.1</v>
      </c>
      <c r="AE206" s="26">
        <v>5163.2</v>
      </c>
      <c r="AF206" s="26">
        <v>785.6</v>
      </c>
      <c r="AG206" s="26">
        <v>555</v>
      </c>
      <c r="AH206" s="26">
        <v>1386.2</v>
      </c>
      <c r="AI206" s="26">
        <v>96.6</v>
      </c>
      <c r="AJ206" s="26">
        <v>23.9</v>
      </c>
      <c r="AK206" s="26">
        <v>840.3</v>
      </c>
      <c r="AL206" s="26">
        <v>3219.3</v>
      </c>
      <c r="AM206" s="26">
        <v>561511</v>
      </c>
      <c r="AN206" s="26">
        <v>523163</v>
      </c>
      <c r="AO206" s="26">
        <v>72012</v>
      </c>
      <c r="AP206" s="26">
        <v>402.7</v>
      </c>
      <c r="AQ206" s="26">
        <v>2.5</v>
      </c>
      <c r="AR206" s="26">
        <v>405.3</v>
      </c>
      <c r="AS206" s="26">
        <v>1933.7</v>
      </c>
      <c r="AT206" s="26">
        <v>15.5</v>
      </c>
      <c r="AU206" s="26">
        <v>10.8</v>
      </c>
      <c r="AV206" s="26">
        <v>43</v>
      </c>
      <c r="AW206" s="26">
        <v>184.6</v>
      </c>
      <c r="AX206" s="26">
        <v>38</v>
      </c>
      <c r="AY206" s="26">
        <v>73.3</v>
      </c>
      <c r="AZ206" s="26">
        <v>9.8000000000000007</v>
      </c>
      <c r="BA206" s="26">
        <v>0.9</v>
      </c>
      <c r="BB206" s="26">
        <v>25.7</v>
      </c>
      <c r="BC206" s="26">
        <v>8</v>
      </c>
      <c r="BD206" s="26">
        <v>0</v>
      </c>
      <c r="BE206" s="26">
        <v>28.9</v>
      </c>
      <c r="BF206" s="26">
        <v>17.100000000000001</v>
      </c>
      <c r="BG206" s="26">
        <v>74.099999999999994</v>
      </c>
      <c r="BH206" s="26">
        <v>97.2</v>
      </c>
      <c r="BI206" s="26">
        <v>283.60000000000002</v>
      </c>
      <c r="BJ206" s="26">
        <v>473.5</v>
      </c>
      <c r="BK206" s="26">
        <v>1.6333333333333331</v>
      </c>
      <c r="BL206" s="26">
        <v>263.39499999999998</v>
      </c>
      <c r="BM206" s="26">
        <v>257.35066666666671</v>
      </c>
      <c r="BN206" s="26">
        <v>19502.8</v>
      </c>
      <c r="BO206" s="26">
        <v>22361.5</v>
      </c>
      <c r="BP206" s="26">
        <v>1</v>
      </c>
      <c r="BQ206" s="26">
        <v>4977.666666666667</v>
      </c>
      <c r="BR206" s="26">
        <v>13670.66666666667</v>
      </c>
      <c r="BS206" s="26">
        <v>323195.66666666669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baseColWidth="10" defaultColWidth="8.6640625" defaultRowHeight="15"/>
  <cols>
    <col min="1" max="1" width="23.83203125" style="26" customWidth="1"/>
    <col min="2" max="2" width="31.5" style="26" customWidth="1"/>
    <col min="3" max="3" width="20.33203125" style="26" customWidth="1"/>
    <col min="4" max="4" width="8.6640625" style="26"/>
    <col min="5" max="5" width="14.83203125" style="26" customWidth="1"/>
    <col min="6" max="16384" width="8.6640625" style="26"/>
  </cols>
  <sheetData>
    <row r="1" spans="1:5" s="32" customFormat="1" ht="47.5" customHeight="1">
      <c r="A1" s="35" t="s">
        <v>208</v>
      </c>
      <c r="B1" s="35" t="s">
        <v>206</v>
      </c>
      <c r="C1" s="35" t="s">
        <v>205</v>
      </c>
      <c r="D1" s="35" t="s">
        <v>204</v>
      </c>
      <c r="E1" s="35" t="s">
        <v>203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80"/>
  <sheetViews>
    <sheetView zoomScale="110" workbookViewId="0">
      <pane xSplit="197" ySplit="1" topLeftCell="GP2" activePane="bottomRight" state="frozen"/>
      <selection pane="topRight" activeCell="GP1" sqref="GP1"/>
      <selection pane="bottomLeft" activeCell="A2" sqref="A2"/>
      <selection pane="bottomRight" activeCell="GU32" sqref="GU32"/>
    </sheetView>
  </sheetViews>
  <sheetFormatPr baseColWidth="10" defaultRowHeight="15"/>
  <cols>
    <col min="1" max="1" width="10.83203125" style="976"/>
    <col min="2" max="196" width="0" style="976" hidden="1" customWidth="1"/>
    <col min="197" max="16384" width="10.83203125" style="976"/>
  </cols>
  <sheetData>
    <row r="1" spans="1:206">
      <c r="A1" s="976" t="s">
        <v>675</v>
      </c>
      <c r="B1" s="976" t="s">
        <v>811</v>
      </c>
      <c r="C1" s="976" t="s">
        <v>812</v>
      </c>
      <c r="D1" s="976" t="s">
        <v>813</v>
      </c>
      <c r="E1" s="976" t="s">
        <v>814</v>
      </c>
      <c r="F1" s="976" t="s">
        <v>815</v>
      </c>
      <c r="G1" s="976" t="s">
        <v>816</v>
      </c>
      <c r="H1" s="976" t="s">
        <v>817</v>
      </c>
      <c r="I1" s="976" t="s">
        <v>818</v>
      </c>
      <c r="J1" s="976" t="s">
        <v>819</v>
      </c>
      <c r="K1" s="976" t="s">
        <v>820</v>
      </c>
      <c r="L1" s="976" t="s">
        <v>821</v>
      </c>
      <c r="M1" s="976" t="s">
        <v>822</v>
      </c>
      <c r="N1" s="976" t="s">
        <v>823</v>
      </c>
      <c r="O1" s="976" t="s">
        <v>824</v>
      </c>
      <c r="P1" s="976" t="s">
        <v>825</v>
      </c>
      <c r="Q1" s="976" t="s">
        <v>826</v>
      </c>
      <c r="R1" s="976" t="s">
        <v>827</v>
      </c>
      <c r="S1" s="976" t="s">
        <v>828</v>
      </c>
      <c r="T1" s="976" t="s">
        <v>829</v>
      </c>
      <c r="U1" s="976" t="s">
        <v>830</v>
      </c>
      <c r="V1" s="976" t="s">
        <v>831</v>
      </c>
      <c r="W1" s="976" t="s">
        <v>832</v>
      </c>
      <c r="X1" s="976" t="s">
        <v>833</v>
      </c>
      <c r="Y1" s="976" t="s">
        <v>834</v>
      </c>
      <c r="Z1" s="976" t="s">
        <v>835</v>
      </c>
      <c r="AA1" s="976" t="s">
        <v>836</v>
      </c>
      <c r="AB1" s="976" t="s">
        <v>837</v>
      </c>
      <c r="AC1" s="976" t="s">
        <v>838</v>
      </c>
      <c r="AD1" s="976" t="s">
        <v>839</v>
      </c>
      <c r="AE1" s="976" t="s">
        <v>840</v>
      </c>
      <c r="AF1" s="976" t="s">
        <v>841</v>
      </c>
      <c r="AG1" s="976" t="s">
        <v>842</v>
      </c>
      <c r="AH1" s="976" t="s">
        <v>843</v>
      </c>
      <c r="AI1" s="976" t="s">
        <v>844</v>
      </c>
      <c r="AJ1" s="976" t="s">
        <v>845</v>
      </c>
      <c r="AK1" s="976" t="s">
        <v>846</v>
      </c>
      <c r="AL1" s="976" t="s">
        <v>847</v>
      </c>
      <c r="AM1" s="976" t="s">
        <v>848</v>
      </c>
      <c r="AN1" s="976" t="s">
        <v>849</v>
      </c>
      <c r="AO1" s="976" t="s">
        <v>850</v>
      </c>
      <c r="AP1" s="976" t="s">
        <v>851</v>
      </c>
      <c r="AQ1" s="976" t="s">
        <v>852</v>
      </c>
      <c r="AR1" s="976" t="s">
        <v>853</v>
      </c>
      <c r="AS1" s="976" t="s">
        <v>854</v>
      </c>
      <c r="AT1" s="976" t="s">
        <v>855</v>
      </c>
      <c r="AU1" s="976" t="s">
        <v>856</v>
      </c>
      <c r="AV1" s="976" t="s">
        <v>857</v>
      </c>
      <c r="AW1" s="976" t="s">
        <v>858</v>
      </c>
      <c r="AX1" s="976" t="s">
        <v>859</v>
      </c>
      <c r="AY1" s="976" t="s">
        <v>860</v>
      </c>
      <c r="AZ1" s="976" t="s">
        <v>861</v>
      </c>
      <c r="BA1" s="976" t="s">
        <v>862</v>
      </c>
      <c r="BB1" s="976" t="s">
        <v>863</v>
      </c>
      <c r="BC1" s="976" t="s">
        <v>864</v>
      </c>
      <c r="BD1" s="976" t="s">
        <v>865</v>
      </c>
      <c r="BE1" s="976" t="s">
        <v>866</v>
      </c>
      <c r="BF1" s="976" t="s">
        <v>867</v>
      </c>
      <c r="BG1" s="976" t="s">
        <v>868</v>
      </c>
      <c r="BH1" s="976" t="s">
        <v>869</v>
      </c>
      <c r="BI1" s="976" t="s">
        <v>870</v>
      </c>
      <c r="BJ1" s="976" t="s">
        <v>871</v>
      </c>
      <c r="BK1" s="976" t="s">
        <v>872</v>
      </c>
      <c r="BL1" s="976" t="s">
        <v>873</v>
      </c>
      <c r="BM1" s="976" t="s">
        <v>874</v>
      </c>
      <c r="BN1" s="976" t="s">
        <v>875</v>
      </c>
      <c r="BO1" s="976" t="s">
        <v>876</v>
      </c>
      <c r="BP1" s="976" t="s">
        <v>877</v>
      </c>
      <c r="BQ1" s="976" t="s">
        <v>878</v>
      </c>
      <c r="BR1" s="976" t="s">
        <v>879</v>
      </c>
      <c r="BS1" s="976" t="s">
        <v>880</v>
      </c>
      <c r="BT1" s="976" t="s">
        <v>881</v>
      </c>
      <c r="BU1" s="976" t="s">
        <v>882</v>
      </c>
      <c r="BV1" s="976" t="s">
        <v>883</v>
      </c>
      <c r="BW1" s="976" t="s">
        <v>884</v>
      </c>
      <c r="BX1" s="976" t="s">
        <v>885</v>
      </c>
      <c r="BY1" s="976" t="s">
        <v>886</v>
      </c>
      <c r="BZ1" s="976" t="s">
        <v>887</v>
      </c>
      <c r="CA1" s="976" t="s">
        <v>888</v>
      </c>
      <c r="CB1" s="976" t="s">
        <v>889</v>
      </c>
      <c r="CC1" s="976" t="s">
        <v>890</v>
      </c>
      <c r="CD1" s="976" t="s">
        <v>891</v>
      </c>
      <c r="CE1" s="976" t="s">
        <v>892</v>
      </c>
      <c r="CF1" s="976" t="s">
        <v>893</v>
      </c>
      <c r="CG1" s="976" t="s">
        <v>894</v>
      </c>
      <c r="CH1" s="976" t="s">
        <v>895</v>
      </c>
      <c r="CI1" s="976" t="s">
        <v>896</v>
      </c>
      <c r="CJ1" s="976" t="s">
        <v>897</v>
      </c>
      <c r="CK1" s="976" t="s">
        <v>898</v>
      </c>
      <c r="CL1" s="976" t="s">
        <v>899</v>
      </c>
      <c r="CM1" s="976" t="s">
        <v>900</v>
      </c>
      <c r="CN1" s="976" t="s">
        <v>901</v>
      </c>
      <c r="CO1" s="976" t="s">
        <v>902</v>
      </c>
      <c r="CP1" s="976" t="s">
        <v>903</v>
      </c>
      <c r="CQ1" s="976" t="s">
        <v>904</v>
      </c>
      <c r="CR1" s="976" t="s">
        <v>905</v>
      </c>
      <c r="CS1" s="976" t="s">
        <v>906</v>
      </c>
      <c r="CT1" s="976" t="s">
        <v>907</v>
      </c>
      <c r="CU1" s="976" t="s">
        <v>908</v>
      </c>
      <c r="CV1" s="976" t="s">
        <v>909</v>
      </c>
      <c r="CW1" s="976" t="s">
        <v>910</v>
      </c>
      <c r="CX1" s="976" t="s">
        <v>911</v>
      </c>
      <c r="CY1" s="976" t="s">
        <v>912</v>
      </c>
      <c r="CZ1" s="976" t="s">
        <v>913</v>
      </c>
      <c r="DA1" s="976" t="s">
        <v>914</v>
      </c>
      <c r="DB1" s="976" t="s">
        <v>915</v>
      </c>
      <c r="DC1" s="976" t="s">
        <v>916</v>
      </c>
      <c r="DD1" s="976" t="s">
        <v>917</v>
      </c>
      <c r="DE1" s="976" t="s">
        <v>918</v>
      </c>
      <c r="DF1" s="976" t="s">
        <v>919</v>
      </c>
      <c r="DG1" s="976" t="s">
        <v>920</v>
      </c>
      <c r="DH1" s="976" t="s">
        <v>921</v>
      </c>
      <c r="DI1" s="976" t="s">
        <v>922</v>
      </c>
      <c r="DJ1" s="976" t="s">
        <v>923</v>
      </c>
      <c r="DK1" s="976" t="s">
        <v>924</v>
      </c>
      <c r="DL1" s="976" t="s">
        <v>925</v>
      </c>
      <c r="DM1" s="976" t="s">
        <v>926</v>
      </c>
      <c r="DN1" s="976" t="s">
        <v>927</v>
      </c>
      <c r="DO1" s="976" t="s">
        <v>928</v>
      </c>
      <c r="DP1" s="976" t="s">
        <v>929</v>
      </c>
      <c r="DQ1" s="976" t="s">
        <v>930</v>
      </c>
      <c r="DR1" s="976" t="s">
        <v>931</v>
      </c>
      <c r="DS1" s="976" t="s">
        <v>932</v>
      </c>
      <c r="DT1" s="976" t="s">
        <v>933</v>
      </c>
      <c r="DU1" s="976" t="s">
        <v>934</v>
      </c>
      <c r="DV1" s="976" t="s">
        <v>935</v>
      </c>
      <c r="DW1" s="976" t="s">
        <v>936</v>
      </c>
      <c r="DX1" s="976" t="s">
        <v>937</v>
      </c>
      <c r="DY1" s="976" t="s">
        <v>938</v>
      </c>
      <c r="DZ1" s="976" t="s">
        <v>939</v>
      </c>
      <c r="EA1" s="976" t="s">
        <v>940</v>
      </c>
      <c r="EB1" s="976" t="s">
        <v>941</v>
      </c>
      <c r="EC1" s="976" t="s">
        <v>942</v>
      </c>
      <c r="ED1" s="976" t="s">
        <v>943</v>
      </c>
      <c r="EE1" s="976" t="s">
        <v>944</v>
      </c>
      <c r="EF1" s="976" t="s">
        <v>945</v>
      </c>
      <c r="EG1" s="976" t="s">
        <v>946</v>
      </c>
      <c r="EH1" s="976" t="s">
        <v>947</v>
      </c>
      <c r="EI1" s="976" t="s">
        <v>948</v>
      </c>
      <c r="EJ1" s="976" t="s">
        <v>949</v>
      </c>
      <c r="EK1" s="976" t="s">
        <v>950</v>
      </c>
      <c r="EL1" s="976" t="s">
        <v>951</v>
      </c>
      <c r="EM1" s="976" t="s">
        <v>952</v>
      </c>
      <c r="EN1" s="976" t="s">
        <v>953</v>
      </c>
      <c r="EO1" s="976" t="s">
        <v>954</v>
      </c>
      <c r="EP1" s="976" t="s">
        <v>955</v>
      </c>
      <c r="EQ1" s="976" t="s">
        <v>956</v>
      </c>
      <c r="ER1" s="976" t="s">
        <v>957</v>
      </c>
      <c r="ES1" s="976" t="s">
        <v>958</v>
      </c>
      <c r="ET1" s="976" t="s">
        <v>959</v>
      </c>
      <c r="EU1" s="976" t="s">
        <v>960</v>
      </c>
      <c r="EV1" s="976" t="s">
        <v>961</v>
      </c>
      <c r="EW1" s="976" t="s">
        <v>962</v>
      </c>
      <c r="EX1" s="976" t="s">
        <v>963</v>
      </c>
      <c r="EY1" s="976" t="s">
        <v>964</v>
      </c>
      <c r="EZ1" s="976" t="s">
        <v>965</v>
      </c>
      <c r="FA1" s="976" t="s">
        <v>966</v>
      </c>
      <c r="FB1" s="976" t="s">
        <v>967</v>
      </c>
      <c r="FC1" s="976" t="s">
        <v>968</v>
      </c>
      <c r="FD1" s="976" t="s">
        <v>969</v>
      </c>
      <c r="FE1" s="976" t="s">
        <v>970</v>
      </c>
      <c r="FF1" s="976" t="s">
        <v>971</v>
      </c>
      <c r="FG1" s="976" t="s">
        <v>972</v>
      </c>
      <c r="FH1" s="976" t="s">
        <v>973</v>
      </c>
      <c r="FI1" s="976" t="s">
        <v>974</v>
      </c>
      <c r="FJ1" s="976" t="s">
        <v>975</v>
      </c>
      <c r="FK1" s="976" t="s">
        <v>976</v>
      </c>
      <c r="FL1" s="976" t="s">
        <v>977</v>
      </c>
      <c r="FM1" s="976" t="s">
        <v>978</v>
      </c>
      <c r="FN1" s="976" t="s">
        <v>979</v>
      </c>
      <c r="FO1" s="976" t="s">
        <v>980</v>
      </c>
      <c r="FP1" s="976" t="s">
        <v>981</v>
      </c>
      <c r="FQ1" s="976" t="s">
        <v>982</v>
      </c>
      <c r="FR1" s="976" t="s">
        <v>983</v>
      </c>
      <c r="FS1" s="976" t="s">
        <v>984</v>
      </c>
      <c r="FT1" s="976" t="s">
        <v>985</v>
      </c>
      <c r="FU1" s="976" t="s">
        <v>986</v>
      </c>
      <c r="FV1" s="976" t="s">
        <v>987</v>
      </c>
      <c r="FW1" s="976" t="s">
        <v>988</v>
      </c>
      <c r="FX1" s="976" t="s">
        <v>989</v>
      </c>
      <c r="FY1" s="976" t="s">
        <v>990</v>
      </c>
      <c r="FZ1" s="976" t="s">
        <v>991</v>
      </c>
      <c r="GA1" s="976" t="s">
        <v>992</v>
      </c>
      <c r="GB1" s="976" t="s">
        <v>993</v>
      </c>
      <c r="GC1" s="976" t="s">
        <v>994</v>
      </c>
      <c r="GD1" s="976" t="s">
        <v>995</v>
      </c>
      <c r="GE1" s="976" t="s">
        <v>996</v>
      </c>
      <c r="GF1" s="976" t="s">
        <v>997</v>
      </c>
      <c r="GG1" s="976" t="s">
        <v>998</v>
      </c>
      <c r="GH1" s="976" t="s">
        <v>999</v>
      </c>
      <c r="GI1" s="976" t="s">
        <v>1000</v>
      </c>
      <c r="GJ1" s="976" t="s">
        <v>1001</v>
      </c>
      <c r="GK1" s="976" t="s">
        <v>1002</v>
      </c>
      <c r="GL1" s="976" t="s">
        <v>1003</v>
      </c>
      <c r="GM1" s="976" t="s">
        <v>1004</v>
      </c>
      <c r="GN1" s="976" t="s">
        <v>1005</v>
      </c>
      <c r="GO1" s="976" t="s">
        <v>1006</v>
      </c>
      <c r="GP1" s="976" t="s">
        <v>1007</v>
      </c>
      <c r="GQ1" s="976" t="s">
        <v>1008</v>
      </c>
      <c r="GR1" s="976" t="s">
        <v>1009</v>
      </c>
      <c r="GS1" s="976" t="s">
        <v>148</v>
      </c>
      <c r="GT1" s="976" t="s">
        <v>149</v>
      </c>
      <c r="GU1" s="976" t="s">
        <v>150</v>
      </c>
      <c r="GV1" s="976" t="s">
        <v>151</v>
      </c>
      <c r="GW1" s="976" t="s">
        <v>152</v>
      </c>
      <c r="GX1" s="976" t="s">
        <v>153</v>
      </c>
    </row>
    <row r="2" spans="1:206">
      <c r="A2" s="976" t="s">
        <v>217</v>
      </c>
      <c r="B2" s="976">
        <v>1051.2</v>
      </c>
      <c r="C2" s="976">
        <v>1067.4000000000001</v>
      </c>
      <c r="D2" s="976">
        <v>1086.0999999999999</v>
      </c>
      <c r="E2" s="976">
        <v>1088.5999999999999</v>
      </c>
      <c r="F2" s="976">
        <v>1135.2</v>
      </c>
      <c r="G2" s="976">
        <v>1156.3</v>
      </c>
      <c r="H2" s="976">
        <v>1177.7</v>
      </c>
      <c r="I2" s="976">
        <v>1190.3</v>
      </c>
      <c r="J2" s="976">
        <v>1230.5999999999999</v>
      </c>
      <c r="K2" s="976">
        <v>1266.4000000000001</v>
      </c>
      <c r="L2" s="976">
        <v>1290.5999999999999</v>
      </c>
      <c r="M2" s="976">
        <v>1328.9</v>
      </c>
      <c r="N2" s="976">
        <v>1377.5</v>
      </c>
      <c r="O2" s="976">
        <v>1413.9</v>
      </c>
      <c r="P2" s="976">
        <v>1433.8</v>
      </c>
      <c r="Q2" s="976">
        <v>1476.3</v>
      </c>
      <c r="R2" s="976">
        <v>1491.2</v>
      </c>
      <c r="S2" s="976">
        <v>1530.1</v>
      </c>
      <c r="T2" s="976">
        <v>1560</v>
      </c>
      <c r="U2" s="976">
        <v>1599.7</v>
      </c>
      <c r="V2" s="976">
        <v>1616.1</v>
      </c>
      <c r="W2" s="976">
        <v>1651.9</v>
      </c>
      <c r="X2" s="976">
        <v>1709.8</v>
      </c>
      <c r="Y2" s="976">
        <v>1761.8</v>
      </c>
      <c r="Z2" s="976">
        <v>1820.5</v>
      </c>
      <c r="AA2" s="976">
        <v>1852.3</v>
      </c>
      <c r="AB2" s="976">
        <v>1886.6</v>
      </c>
      <c r="AC2" s="976">
        <v>1934.3</v>
      </c>
      <c r="AD2" s="976">
        <v>1988.6</v>
      </c>
      <c r="AE2" s="976">
        <v>2055.9</v>
      </c>
      <c r="AF2" s="976">
        <v>2118.5</v>
      </c>
      <c r="AG2" s="976">
        <v>2164.3000000000002</v>
      </c>
      <c r="AH2" s="976">
        <v>2202.8000000000002</v>
      </c>
      <c r="AI2" s="976">
        <v>2331.6</v>
      </c>
      <c r="AJ2" s="976">
        <v>2395.1</v>
      </c>
      <c r="AK2" s="976">
        <v>2476.9</v>
      </c>
      <c r="AL2" s="976">
        <v>2526.6</v>
      </c>
      <c r="AM2" s="976">
        <v>2591.1999999999998</v>
      </c>
      <c r="AN2" s="976">
        <v>2667.6</v>
      </c>
      <c r="AO2" s="976">
        <v>2723.9</v>
      </c>
      <c r="AP2" s="976">
        <v>2789.8</v>
      </c>
      <c r="AQ2" s="976">
        <v>2797.4</v>
      </c>
      <c r="AR2" s="976">
        <v>2856.5</v>
      </c>
      <c r="AS2" s="976">
        <v>2985.6</v>
      </c>
      <c r="AT2" s="976">
        <v>3124.2</v>
      </c>
      <c r="AU2" s="976">
        <v>3162.5</v>
      </c>
      <c r="AV2" s="976">
        <v>3260.6</v>
      </c>
      <c r="AW2" s="976">
        <v>3280.8</v>
      </c>
      <c r="AX2" s="976">
        <v>3274.3</v>
      </c>
      <c r="AY2" s="976">
        <v>3332</v>
      </c>
      <c r="AZ2" s="976">
        <v>3366.3</v>
      </c>
      <c r="BA2" s="976">
        <v>3402.6</v>
      </c>
      <c r="BB2" s="976">
        <v>3473.4</v>
      </c>
      <c r="BC2" s="976">
        <v>3578.8</v>
      </c>
      <c r="BD2" s="976">
        <v>3689.2</v>
      </c>
      <c r="BE2" s="976">
        <v>3794.7</v>
      </c>
      <c r="BF2" s="976">
        <v>3908.1</v>
      </c>
      <c r="BG2" s="976">
        <v>4009.6</v>
      </c>
      <c r="BH2" s="976">
        <v>4084.3</v>
      </c>
      <c r="BI2" s="976">
        <v>4148.6000000000004</v>
      </c>
      <c r="BJ2" s="976">
        <v>4230.2</v>
      </c>
      <c r="BK2" s="976">
        <v>4294.8999999999996</v>
      </c>
      <c r="BL2" s="976">
        <v>4386.8</v>
      </c>
      <c r="BM2" s="976">
        <v>4444.1000000000004</v>
      </c>
      <c r="BN2" s="976">
        <v>4507.8999999999996</v>
      </c>
      <c r="BO2" s="976">
        <v>4545.3</v>
      </c>
      <c r="BP2" s="976">
        <v>4607.7</v>
      </c>
      <c r="BQ2" s="976">
        <v>4657.6000000000004</v>
      </c>
      <c r="BR2" s="976">
        <v>4722.2</v>
      </c>
      <c r="BS2" s="976">
        <v>4806.2</v>
      </c>
      <c r="BT2" s="976">
        <v>4884.6000000000004</v>
      </c>
      <c r="BU2" s="976">
        <v>5008</v>
      </c>
      <c r="BV2" s="976">
        <v>5073.3999999999996</v>
      </c>
      <c r="BW2" s="976">
        <v>5190</v>
      </c>
      <c r="BX2" s="976">
        <v>5282.8</v>
      </c>
      <c r="BY2" s="976">
        <v>5399.5</v>
      </c>
      <c r="BZ2" s="976">
        <v>5511.3</v>
      </c>
      <c r="CA2" s="976">
        <v>5612.5</v>
      </c>
      <c r="CB2" s="976">
        <v>5695.4</v>
      </c>
      <c r="CC2" s="976">
        <v>5747.2</v>
      </c>
      <c r="CD2" s="976">
        <v>5872.7</v>
      </c>
      <c r="CE2" s="976">
        <v>5960</v>
      </c>
      <c r="CF2" s="976">
        <v>6015.1</v>
      </c>
      <c r="CG2" s="976">
        <v>6004.7</v>
      </c>
      <c r="CH2" s="976">
        <v>6035.2</v>
      </c>
      <c r="CI2" s="976">
        <v>6126.9</v>
      </c>
      <c r="CJ2" s="976">
        <v>6205.9</v>
      </c>
      <c r="CK2" s="976">
        <v>6264.5</v>
      </c>
      <c r="CL2" s="976">
        <v>6363.1</v>
      </c>
      <c r="CM2" s="976">
        <v>6470.8</v>
      </c>
      <c r="CN2" s="976">
        <v>6566.6</v>
      </c>
      <c r="CO2" s="976">
        <v>6680.8</v>
      </c>
      <c r="CP2" s="976">
        <v>6729.5</v>
      </c>
      <c r="CQ2" s="976">
        <v>6808.9</v>
      </c>
      <c r="CR2" s="976">
        <v>6882.1</v>
      </c>
      <c r="CS2" s="976">
        <v>7013.7</v>
      </c>
      <c r="CT2" s="976">
        <v>7115.7</v>
      </c>
      <c r="CU2" s="976">
        <v>7246.9</v>
      </c>
      <c r="CV2" s="976">
        <v>7331.1</v>
      </c>
      <c r="CW2" s="976">
        <v>7455.3</v>
      </c>
      <c r="CX2" s="976">
        <v>7522.3</v>
      </c>
      <c r="CY2" s="976">
        <v>7581</v>
      </c>
      <c r="CZ2" s="976">
        <v>7683.1</v>
      </c>
      <c r="DA2" s="976">
        <v>7772.6</v>
      </c>
      <c r="DB2" s="976">
        <v>7868.5</v>
      </c>
      <c r="DC2" s="976">
        <v>8032.8</v>
      </c>
      <c r="DD2" s="976">
        <v>8131.4</v>
      </c>
      <c r="DE2" s="976">
        <v>8259.7999999999993</v>
      </c>
      <c r="DF2" s="976">
        <v>8362.7000000000007</v>
      </c>
      <c r="DG2" s="976">
        <v>8518.7999999999993</v>
      </c>
      <c r="DH2" s="976">
        <v>8662.7999999999993</v>
      </c>
      <c r="DI2" s="976">
        <v>8765.9</v>
      </c>
      <c r="DJ2" s="976">
        <v>8866.5</v>
      </c>
      <c r="DK2" s="976">
        <v>8969.7000000000007</v>
      </c>
      <c r="DL2" s="976">
        <v>9121.1</v>
      </c>
      <c r="DM2" s="976">
        <v>9294</v>
      </c>
      <c r="DN2" s="976">
        <v>9417.2999999999993</v>
      </c>
      <c r="DO2" s="976">
        <v>9524.2000000000007</v>
      </c>
      <c r="DP2" s="976">
        <v>9681.9</v>
      </c>
      <c r="DQ2" s="976">
        <v>9899.4</v>
      </c>
      <c r="DR2" s="976">
        <v>10002.9</v>
      </c>
      <c r="DS2" s="976">
        <v>10247.700000000001</v>
      </c>
      <c r="DT2" s="976">
        <v>10319.799999999999</v>
      </c>
      <c r="DU2" s="976">
        <v>10439</v>
      </c>
      <c r="DV2" s="976">
        <v>10472.9</v>
      </c>
      <c r="DW2" s="976">
        <v>10597.8</v>
      </c>
      <c r="DX2" s="976">
        <v>10596.3</v>
      </c>
      <c r="DY2" s="976">
        <v>10660.3</v>
      </c>
      <c r="DZ2" s="976">
        <v>10789</v>
      </c>
      <c r="EA2" s="976">
        <v>10893.2</v>
      </c>
      <c r="EB2" s="976">
        <v>10992.1</v>
      </c>
      <c r="EC2" s="976">
        <v>11071.5</v>
      </c>
      <c r="ED2" s="976">
        <v>11183.5</v>
      </c>
      <c r="EE2" s="976">
        <v>11312.9</v>
      </c>
      <c r="EF2" s="976">
        <v>11567.3</v>
      </c>
      <c r="EG2" s="976">
        <v>11769.3</v>
      </c>
      <c r="EH2" s="976">
        <v>11920.2</v>
      </c>
      <c r="EI2" s="976">
        <v>12109</v>
      </c>
      <c r="EJ2" s="976">
        <v>12303.3</v>
      </c>
      <c r="EK2" s="976">
        <v>12522.4</v>
      </c>
      <c r="EL2" s="976">
        <v>12761.3</v>
      </c>
      <c r="EM2" s="976">
        <v>12910</v>
      </c>
      <c r="EN2" s="976">
        <v>13142.9</v>
      </c>
      <c r="EO2" s="976">
        <v>13332.3</v>
      </c>
      <c r="EP2" s="976">
        <v>13603.9</v>
      </c>
      <c r="EQ2" s="976">
        <v>13749.8</v>
      </c>
      <c r="ER2" s="976">
        <v>13867.5</v>
      </c>
      <c r="ES2" s="976">
        <v>14037.2</v>
      </c>
      <c r="ET2" s="976">
        <v>14208.6</v>
      </c>
      <c r="EU2" s="976">
        <v>14382.4</v>
      </c>
      <c r="EV2" s="976">
        <v>14535</v>
      </c>
      <c r="EW2" s="976">
        <v>14681.5</v>
      </c>
      <c r="EX2" s="976">
        <v>14651</v>
      </c>
      <c r="EY2" s="976">
        <v>14805.6</v>
      </c>
      <c r="EZ2" s="976">
        <v>14835.2</v>
      </c>
      <c r="FA2" s="976">
        <v>14559.5</v>
      </c>
      <c r="FB2" s="976">
        <v>14394.5</v>
      </c>
      <c r="FC2" s="976">
        <v>14352.9</v>
      </c>
      <c r="FD2" s="976">
        <v>14420.3</v>
      </c>
      <c r="FE2" s="976">
        <v>14628</v>
      </c>
      <c r="FF2" s="976">
        <v>14721.4</v>
      </c>
      <c r="FG2" s="976">
        <v>14926.1</v>
      </c>
      <c r="FH2" s="976">
        <v>15079.9</v>
      </c>
      <c r="FI2" s="976">
        <v>15240.8</v>
      </c>
      <c r="FJ2" s="976">
        <v>15285.8</v>
      </c>
      <c r="FK2" s="976">
        <v>15496.2</v>
      </c>
      <c r="FL2" s="976">
        <v>15591.9</v>
      </c>
      <c r="FM2" s="976">
        <v>15796.5</v>
      </c>
      <c r="FN2" s="976">
        <v>16019.8</v>
      </c>
      <c r="FO2" s="976">
        <v>16152.3</v>
      </c>
      <c r="FP2" s="976">
        <v>16257.2</v>
      </c>
      <c r="FQ2" s="976">
        <v>16358.9</v>
      </c>
      <c r="FR2" s="976">
        <v>16569.599999999999</v>
      </c>
      <c r="FS2" s="976">
        <v>16637.900000000001</v>
      </c>
      <c r="FT2" s="976">
        <v>16848.7</v>
      </c>
      <c r="FU2" s="976">
        <v>17083.099999999999</v>
      </c>
      <c r="FV2" s="976">
        <v>17104.599999999999</v>
      </c>
      <c r="FW2" s="976">
        <v>17432.900000000001</v>
      </c>
      <c r="FX2" s="976">
        <v>17721.7</v>
      </c>
      <c r="FY2" s="976">
        <v>17849.900000000001</v>
      </c>
      <c r="FZ2" s="976">
        <v>18003.400000000001</v>
      </c>
      <c r="GA2" s="976">
        <v>18223.599999999999</v>
      </c>
      <c r="GB2" s="976">
        <v>18347.400000000001</v>
      </c>
      <c r="GC2" s="976">
        <v>18378.8</v>
      </c>
      <c r="GD2" s="976">
        <v>18470.2</v>
      </c>
      <c r="GE2" s="976">
        <v>18656.2</v>
      </c>
      <c r="GF2" s="976">
        <v>18821.400000000001</v>
      </c>
      <c r="GG2" s="976">
        <v>19032.599999999999</v>
      </c>
      <c r="GH2" s="976">
        <v>19237.400000000001</v>
      </c>
      <c r="GI2" s="976">
        <v>19379.2</v>
      </c>
      <c r="GJ2" s="976">
        <v>19617.3</v>
      </c>
      <c r="GK2" s="976">
        <v>19938</v>
      </c>
      <c r="GL2" s="976">
        <v>20242.2</v>
      </c>
      <c r="GM2" s="976">
        <v>20552.7</v>
      </c>
      <c r="GN2" s="976">
        <v>20742.7</v>
      </c>
      <c r="GO2" s="976">
        <v>20909.900000000001</v>
      </c>
      <c r="GP2" s="976">
        <v>21115.3</v>
      </c>
      <c r="GQ2" s="976">
        <v>21329.9</v>
      </c>
      <c r="GR2" s="976">
        <v>21540.3</v>
      </c>
      <c r="GS2" s="976">
        <v>21747.4</v>
      </c>
      <c r="GT2" s="976">
        <v>21561.1</v>
      </c>
      <c r="GU2" s="976">
        <v>19520.099999999999</v>
      </c>
      <c r="GV2" s="976">
        <v>21170.3</v>
      </c>
      <c r="GW2" s="976">
        <v>21494.7</v>
      </c>
      <c r="GX2" s="976">
        <v>22061.5</v>
      </c>
    </row>
    <row r="3" spans="1:206">
      <c r="A3" s="976" t="s">
        <v>218</v>
      </c>
      <c r="B3" s="976">
        <v>4936.6000000000004</v>
      </c>
      <c r="C3" s="976">
        <v>4943.6000000000004</v>
      </c>
      <c r="D3" s="976">
        <v>4989.2</v>
      </c>
      <c r="E3" s="976">
        <v>4935.7</v>
      </c>
      <c r="F3" s="976">
        <v>5069.7</v>
      </c>
      <c r="G3" s="976">
        <v>5097.2</v>
      </c>
      <c r="H3" s="976">
        <v>5139.1000000000004</v>
      </c>
      <c r="I3" s="976">
        <v>5151.2</v>
      </c>
      <c r="J3" s="976">
        <v>5246</v>
      </c>
      <c r="K3" s="976">
        <v>5365</v>
      </c>
      <c r="L3" s="976">
        <v>5415.7</v>
      </c>
      <c r="M3" s="976">
        <v>5506.4</v>
      </c>
      <c r="N3" s="976">
        <v>5642.7</v>
      </c>
      <c r="O3" s="976">
        <v>5704.1</v>
      </c>
      <c r="P3" s="976">
        <v>5674.1</v>
      </c>
      <c r="Q3" s="976">
        <v>5728</v>
      </c>
      <c r="R3" s="976">
        <v>5678.7</v>
      </c>
      <c r="S3" s="976">
        <v>5692.2</v>
      </c>
      <c r="T3" s="976">
        <v>5638.4</v>
      </c>
      <c r="U3" s="976">
        <v>5616.5</v>
      </c>
      <c r="V3" s="976">
        <v>5548.2</v>
      </c>
      <c r="W3" s="976">
        <v>5587.8</v>
      </c>
      <c r="X3" s="976">
        <v>5683.4</v>
      </c>
      <c r="Y3" s="976">
        <v>5760</v>
      </c>
      <c r="Z3" s="976">
        <v>5889.5</v>
      </c>
      <c r="AA3" s="976">
        <v>5932.7</v>
      </c>
      <c r="AB3" s="976">
        <v>5965.3</v>
      </c>
      <c r="AC3" s="976">
        <v>6008.5</v>
      </c>
      <c r="AD3" s="976">
        <v>6079.5</v>
      </c>
      <c r="AE3" s="976">
        <v>6197.7</v>
      </c>
      <c r="AF3" s="976">
        <v>6309.5</v>
      </c>
      <c r="AG3" s="976">
        <v>6309.7</v>
      </c>
      <c r="AH3" s="976">
        <v>6329.8</v>
      </c>
      <c r="AI3" s="976">
        <v>6574.4</v>
      </c>
      <c r="AJ3" s="976">
        <v>6640.5</v>
      </c>
      <c r="AK3" s="976">
        <v>6729.8</v>
      </c>
      <c r="AL3" s="976">
        <v>6741.9</v>
      </c>
      <c r="AM3" s="976">
        <v>6749.1</v>
      </c>
      <c r="AN3" s="976">
        <v>6799.2</v>
      </c>
      <c r="AO3" s="976">
        <v>6816.2</v>
      </c>
      <c r="AP3" s="976">
        <v>6837.6</v>
      </c>
      <c r="AQ3" s="976">
        <v>6696.8</v>
      </c>
      <c r="AR3" s="976">
        <v>6688.8</v>
      </c>
      <c r="AS3" s="976">
        <v>6813.5</v>
      </c>
      <c r="AT3" s="976">
        <v>6947</v>
      </c>
      <c r="AU3" s="976">
        <v>6895.6</v>
      </c>
      <c r="AV3" s="976">
        <v>6978.1</v>
      </c>
      <c r="AW3" s="976">
        <v>6902.1</v>
      </c>
      <c r="AX3" s="976">
        <v>6794.9</v>
      </c>
      <c r="AY3" s="976">
        <v>6825.9</v>
      </c>
      <c r="AZ3" s="976">
        <v>6799.8</v>
      </c>
      <c r="BA3" s="976">
        <v>6802.5</v>
      </c>
      <c r="BB3" s="976">
        <v>6892.1</v>
      </c>
      <c r="BC3" s="976">
        <v>7049</v>
      </c>
      <c r="BD3" s="976">
        <v>7189.9</v>
      </c>
      <c r="BE3" s="976">
        <v>7339.9</v>
      </c>
      <c r="BF3" s="976">
        <v>7483.4</v>
      </c>
      <c r="BG3" s="976">
        <v>7612.7</v>
      </c>
      <c r="BH3" s="976">
        <v>7686.1</v>
      </c>
      <c r="BI3" s="976">
        <v>7749.2</v>
      </c>
      <c r="BJ3" s="976">
        <v>7824.2</v>
      </c>
      <c r="BK3" s="976">
        <v>7893.1</v>
      </c>
      <c r="BL3" s="976">
        <v>8013.7</v>
      </c>
      <c r="BM3" s="976">
        <v>8073.2</v>
      </c>
      <c r="BN3" s="976">
        <v>8148.6</v>
      </c>
      <c r="BO3" s="976">
        <v>8185.3</v>
      </c>
      <c r="BP3" s="976">
        <v>8263.6</v>
      </c>
      <c r="BQ3" s="976">
        <v>8308</v>
      </c>
      <c r="BR3" s="976">
        <v>8369.9</v>
      </c>
      <c r="BS3" s="976">
        <v>8460.2000000000007</v>
      </c>
      <c r="BT3" s="976">
        <v>8533.6</v>
      </c>
      <c r="BU3" s="976">
        <v>8680.2000000000007</v>
      </c>
      <c r="BV3" s="976">
        <v>8725</v>
      </c>
      <c r="BW3" s="976">
        <v>8839.6</v>
      </c>
      <c r="BX3" s="976">
        <v>8891.4</v>
      </c>
      <c r="BY3" s="976">
        <v>9009.9</v>
      </c>
      <c r="BZ3" s="976">
        <v>9101.5</v>
      </c>
      <c r="CA3" s="976">
        <v>9171</v>
      </c>
      <c r="CB3" s="976">
        <v>9238.9</v>
      </c>
      <c r="CC3" s="976">
        <v>9257.1</v>
      </c>
      <c r="CD3" s="976">
        <v>9358.2999999999993</v>
      </c>
      <c r="CE3" s="976">
        <v>9392.2999999999993</v>
      </c>
      <c r="CF3" s="976">
        <v>9398.5</v>
      </c>
      <c r="CG3" s="976">
        <v>9312.9</v>
      </c>
      <c r="CH3" s="976">
        <v>9269.4</v>
      </c>
      <c r="CI3" s="976">
        <v>9341.6</v>
      </c>
      <c r="CJ3" s="976">
        <v>9388.7999999999993</v>
      </c>
      <c r="CK3" s="976">
        <v>9421.6</v>
      </c>
      <c r="CL3" s="976">
        <v>9534.2999999999993</v>
      </c>
      <c r="CM3" s="976">
        <v>9637.7000000000007</v>
      </c>
      <c r="CN3" s="976">
        <v>9733</v>
      </c>
      <c r="CO3" s="976">
        <v>9834.5</v>
      </c>
      <c r="CP3" s="976">
        <v>9851</v>
      </c>
      <c r="CQ3" s="976">
        <v>9908.2999999999993</v>
      </c>
      <c r="CR3" s="976">
        <v>9955.6</v>
      </c>
      <c r="CS3" s="976">
        <v>10091</v>
      </c>
      <c r="CT3" s="976">
        <v>10189</v>
      </c>
      <c r="CU3" s="976">
        <v>10327</v>
      </c>
      <c r="CV3" s="976">
        <v>10387.4</v>
      </c>
      <c r="CW3" s="976">
        <v>10506.4</v>
      </c>
      <c r="CX3" s="976">
        <v>10543.6</v>
      </c>
      <c r="CY3" s="976">
        <v>10575.1</v>
      </c>
      <c r="CZ3" s="976">
        <v>10665.1</v>
      </c>
      <c r="DA3" s="976">
        <v>10737.5</v>
      </c>
      <c r="DB3" s="976">
        <v>10817.9</v>
      </c>
      <c r="DC3" s="976">
        <v>10998.3</v>
      </c>
      <c r="DD3" s="976">
        <v>11097</v>
      </c>
      <c r="DE3" s="976">
        <v>11212.2</v>
      </c>
      <c r="DF3" s="976">
        <v>11284.6</v>
      </c>
      <c r="DG3" s="976">
        <v>11472.1</v>
      </c>
      <c r="DH3" s="976">
        <v>11615.6</v>
      </c>
      <c r="DI3" s="976">
        <v>11715.4</v>
      </c>
      <c r="DJ3" s="976">
        <v>11832.5</v>
      </c>
      <c r="DK3" s="976">
        <v>11942</v>
      </c>
      <c r="DL3" s="976">
        <v>12091.6</v>
      </c>
      <c r="DM3" s="976">
        <v>12287</v>
      </c>
      <c r="DN3" s="976">
        <v>12403.3</v>
      </c>
      <c r="DO3" s="976">
        <v>12498.7</v>
      </c>
      <c r="DP3" s="976">
        <v>12662.4</v>
      </c>
      <c r="DQ3" s="976">
        <v>12877.6</v>
      </c>
      <c r="DR3" s="976">
        <v>12924.2</v>
      </c>
      <c r="DS3" s="976">
        <v>13160.8</v>
      </c>
      <c r="DT3" s="976">
        <v>13178.4</v>
      </c>
      <c r="DU3" s="976">
        <v>13260.5</v>
      </c>
      <c r="DV3" s="976">
        <v>13222.7</v>
      </c>
      <c r="DW3" s="976">
        <v>13300</v>
      </c>
      <c r="DX3" s="976">
        <v>13244.8</v>
      </c>
      <c r="DY3" s="976">
        <v>13280.9</v>
      </c>
      <c r="DZ3" s="976">
        <v>13397</v>
      </c>
      <c r="EA3" s="976">
        <v>13478.2</v>
      </c>
      <c r="EB3" s="976">
        <v>13538.1</v>
      </c>
      <c r="EC3" s="976">
        <v>13559</v>
      </c>
      <c r="ED3" s="976">
        <v>13634.3</v>
      </c>
      <c r="EE3" s="976">
        <v>13751.5</v>
      </c>
      <c r="EF3" s="976">
        <v>13985.1</v>
      </c>
      <c r="EG3" s="976">
        <v>14145.6</v>
      </c>
      <c r="EH3" s="976">
        <v>14221.1</v>
      </c>
      <c r="EI3" s="976">
        <v>14329.5</v>
      </c>
      <c r="EJ3" s="976">
        <v>14465</v>
      </c>
      <c r="EK3" s="976">
        <v>14609.9</v>
      </c>
      <c r="EL3" s="976">
        <v>14771.6</v>
      </c>
      <c r="EM3" s="976">
        <v>14839.8</v>
      </c>
      <c r="EN3" s="976">
        <v>14972.1</v>
      </c>
      <c r="EO3" s="976">
        <v>15066.6</v>
      </c>
      <c r="EP3" s="976">
        <v>15267</v>
      </c>
      <c r="EQ3" s="976">
        <v>15302.7</v>
      </c>
      <c r="ER3" s="976">
        <v>15326.4</v>
      </c>
      <c r="ES3" s="976">
        <v>15456.9</v>
      </c>
      <c r="ET3" s="976">
        <v>15493.3</v>
      </c>
      <c r="EU3" s="976">
        <v>15582.1</v>
      </c>
      <c r="EV3" s="976">
        <v>15666.7</v>
      </c>
      <c r="EW3" s="976">
        <v>15762</v>
      </c>
      <c r="EX3" s="976">
        <v>15671.4</v>
      </c>
      <c r="EY3" s="976">
        <v>15752.3</v>
      </c>
      <c r="EZ3" s="976">
        <v>15667</v>
      </c>
      <c r="FA3" s="976">
        <v>15328</v>
      </c>
      <c r="FB3" s="976">
        <v>15155.9</v>
      </c>
      <c r="FC3" s="976">
        <v>15134.1</v>
      </c>
      <c r="FD3" s="976">
        <v>15189.2</v>
      </c>
      <c r="FE3" s="976">
        <v>15356.1</v>
      </c>
      <c r="FF3" s="976">
        <v>15415.1</v>
      </c>
      <c r="FG3" s="976">
        <v>15557.3</v>
      </c>
      <c r="FH3" s="976">
        <v>15672</v>
      </c>
      <c r="FI3" s="976">
        <v>15750.6</v>
      </c>
      <c r="FJ3" s="976">
        <v>15712.8</v>
      </c>
      <c r="FK3" s="976">
        <v>15825.1</v>
      </c>
      <c r="FL3" s="976">
        <v>15820.7</v>
      </c>
      <c r="FM3" s="976">
        <v>16004.1</v>
      </c>
      <c r="FN3" s="976">
        <v>16129.4</v>
      </c>
      <c r="FO3" s="976">
        <v>16198.8</v>
      </c>
      <c r="FP3" s="976">
        <v>16220.7</v>
      </c>
      <c r="FQ3" s="976">
        <v>16239.1</v>
      </c>
      <c r="FR3" s="976">
        <v>16383</v>
      </c>
      <c r="FS3" s="976">
        <v>16403.2</v>
      </c>
      <c r="FT3" s="976">
        <v>16531.7</v>
      </c>
      <c r="FU3" s="976">
        <v>16663.599999999999</v>
      </c>
      <c r="FV3" s="976">
        <v>16616.5</v>
      </c>
      <c r="FW3" s="976">
        <v>16841.5</v>
      </c>
      <c r="FX3" s="976">
        <v>17047.099999999999</v>
      </c>
      <c r="FY3" s="976">
        <v>17143</v>
      </c>
      <c r="FZ3" s="976">
        <v>17305.8</v>
      </c>
      <c r="GA3" s="976">
        <v>17422.8</v>
      </c>
      <c r="GB3" s="976">
        <v>17486</v>
      </c>
      <c r="GC3" s="976">
        <v>17514.099999999999</v>
      </c>
      <c r="GD3" s="976">
        <v>17613.3</v>
      </c>
      <c r="GE3" s="976">
        <v>17668.2</v>
      </c>
      <c r="GF3" s="976">
        <v>17764.400000000001</v>
      </c>
      <c r="GG3" s="976">
        <v>17876.2</v>
      </c>
      <c r="GH3" s="976">
        <v>17977.3</v>
      </c>
      <c r="GI3" s="976">
        <v>18054.099999999999</v>
      </c>
      <c r="GJ3" s="976">
        <v>18185.599999999999</v>
      </c>
      <c r="GK3" s="976">
        <v>18359.400000000001</v>
      </c>
      <c r="GL3" s="976">
        <v>18530.5</v>
      </c>
      <c r="GM3" s="976">
        <v>18654.400000000001</v>
      </c>
      <c r="GN3" s="976">
        <v>18752.400000000001</v>
      </c>
      <c r="GO3" s="976">
        <v>18813.900000000001</v>
      </c>
      <c r="GP3" s="976">
        <v>18950.3</v>
      </c>
      <c r="GQ3" s="976">
        <v>19020.599999999999</v>
      </c>
      <c r="GR3" s="976">
        <v>19141.7</v>
      </c>
      <c r="GS3" s="976">
        <v>19254</v>
      </c>
      <c r="GT3" s="976">
        <v>19010.8</v>
      </c>
      <c r="GU3" s="976">
        <v>17302.5</v>
      </c>
      <c r="GV3" s="976">
        <v>18596.5</v>
      </c>
      <c r="GW3" s="976">
        <v>18794.400000000001</v>
      </c>
      <c r="GX3" s="976">
        <v>19086.400000000001</v>
      </c>
    </row>
    <row r="4" spans="1:206">
      <c r="A4" s="976" t="s">
        <v>219</v>
      </c>
      <c r="B4" s="976">
        <v>21.286000000000001</v>
      </c>
      <c r="C4" s="976">
        <v>21.593</v>
      </c>
      <c r="D4" s="976">
        <v>21.77</v>
      </c>
      <c r="E4" s="976">
        <v>22.055</v>
      </c>
      <c r="F4" s="976">
        <v>22.388999999999999</v>
      </c>
      <c r="G4" s="976">
        <v>22.689</v>
      </c>
      <c r="H4" s="976">
        <v>22.917000000000002</v>
      </c>
      <c r="I4" s="976">
        <v>23.106999999999999</v>
      </c>
      <c r="J4" s="976">
        <v>23.478000000000002</v>
      </c>
      <c r="K4" s="976">
        <v>23.620999999999999</v>
      </c>
      <c r="L4" s="976">
        <v>23.835000000000001</v>
      </c>
      <c r="M4" s="976">
        <v>24.105</v>
      </c>
      <c r="N4" s="976">
        <v>24.411999999999999</v>
      </c>
      <c r="O4" s="976">
        <v>24.815999999999999</v>
      </c>
      <c r="P4" s="976">
        <v>25.29</v>
      </c>
      <c r="Q4" s="976">
        <v>25.728000000000002</v>
      </c>
      <c r="R4" s="976">
        <v>26.248999999999999</v>
      </c>
      <c r="S4" s="976">
        <v>26.832000000000001</v>
      </c>
      <c r="T4" s="976">
        <v>27.658999999999999</v>
      </c>
      <c r="U4" s="976">
        <v>28.498000000000001</v>
      </c>
      <c r="V4" s="976">
        <v>29.141999999999999</v>
      </c>
      <c r="W4" s="976">
        <v>29.565000000000001</v>
      </c>
      <c r="X4" s="976">
        <v>30.087</v>
      </c>
      <c r="Y4" s="976">
        <v>30.59</v>
      </c>
      <c r="Z4" s="976">
        <v>30.925000000000001</v>
      </c>
      <c r="AA4" s="976">
        <v>31.233000000000001</v>
      </c>
      <c r="AB4" s="976">
        <v>31.632000000000001</v>
      </c>
      <c r="AC4" s="976">
        <v>32.168999999999997</v>
      </c>
      <c r="AD4" s="976">
        <v>32.689</v>
      </c>
      <c r="AE4" s="976">
        <v>33.204999999999998</v>
      </c>
      <c r="AF4" s="976">
        <v>33.661999999999999</v>
      </c>
      <c r="AG4" s="976">
        <v>34.225000000000001</v>
      </c>
      <c r="AH4" s="976">
        <v>34.786000000000001</v>
      </c>
      <c r="AI4" s="976">
        <v>35.479999999999997</v>
      </c>
      <c r="AJ4" s="976">
        <v>36.106000000000002</v>
      </c>
      <c r="AK4" s="976">
        <v>36.819000000000003</v>
      </c>
      <c r="AL4" s="976">
        <v>37.506999999999998</v>
      </c>
      <c r="AM4" s="976">
        <v>38.412999999999997</v>
      </c>
      <c r="AN4" s="976">
        <v>39.215000000000003</v>
      </c>
      <c r="AO4" s="976">
        <v>39.93</v>
      </c>
      <c r="AP4" s="976">
        <v>40.804000000000002</v>
      </c>
      <c r="AQ4" s="976">
        <v>41.771000000000001</v>
      </c>
      <c r="AR4" s="976">
        <v>42.703000000000003</v>
      </c>
      <c r="AS4" s="976">
        <v>43.835000000000001</v>
      </c>
      <c r="AT4" s="976">
        <v>44.997</v>
      </c>
      <c r="AU4" s="976">
        <v>45.841999999999999</v>
      </c>
      <c r="AV4" s="976">
        <v>46.732999999999997</v>
      </c>
      <c r="AW4" s="976">
        <v>47.505000000000003</v>
      </c>
      <c r="AX4" s="976">
        <v>48.186</v>
      </c>
      <c r="AY4" s="976">
        <v>48.826000000000001</v>
      </c>
      <c r="AZ4" s="976">
        <v>49.503999999999998</v>
      </c>
      <c r="BA4" s="976">
        <v>50.005000000000003</v>
      </c>
      <c r="BB4" s="976">
        <v>50.404000000000003</v>
      </c>
      <c r="BC4" s="976">
        <v>50.777999999999999</v>
      </c>
      <c r="BD4" s="976">
        <v>51.317999999999998</v>
      </c>
      <c r="BE4" s="976">
        <v>51.701999999999998</v>
      </c>
      <c r="BF4" s="976">
        <v>52.212000000000003</v>
      </c>
      <c r="BG4" s="976">
        <v>52.680999999999997</v>
      </c>
      <c r="BH4" s="976">
        <v>53.156999999999996</v>
      </c>
      <c r="BI4" s="976">
        <v>53.527999999999999</v>
      </c>
      <c r="BJ4" s="976">
        <v>54.076000000000001</v>
      </c>
      <c r="BK4" s="976">
        <v>54.396000000000001</v>
      </c>
      <c r="BL4" s="976">
        <v>54.756999999999998</v>
      </c>
      <c r="BM4" s="976">
        <v>55.042000000000002</v>
      </c>
      <c r="BN4" s="976">
        <v>55.313000000000002</v>
      </c>
      <c r="BO4" s="976">
        <v>55.506999999999998</v>
      </c>
      <c r="BP4" s="976">
        <v>55.771000000000001</v>
      </c>
      <c r="BQ4" s="976">
        <v>56.101999999999997</v>
      </c>
      <c r="BR4" s="976">
        <v>56.427</v>
      </c>
      <c r="BS4" s="976">
        <v>56.81</v>
      </c>
      <c r="BT4" s="976">
        <v>57.247999999999998</v>
      </c>
      <c r="BU4" s="976">
        <v>57.677999999999997</v>
      </c>
      <c r="BV4" s="976">
        <v>58.124000000000002</v>
      </c>
      <c r="BW4" s="976">
        <v>58.704000000000001</v>
      </c>
      <c r="BX4" s="976">
        <v>59.423000000000002</v>
      </c>
      <c r="BY4" s="976">
        <v>59.97</v>
      </c>
      <c r="BZ4" s="976">
        <v>60.546999999999997</v>
      </c>
      <c r="CA4" s="976">
        <v>61.201999999999998</v>
      </c>
      <c r="CB4" s="976">
        <v>61.655999999999999</v>
      </c>
      <c r="CC4" s="976">
        <v>62.076999999999998</v>
      </c>
      <c r="CD4" s="976">
        <v>62.753</v>
      </c>
      <c r="CE4" s="976">
        <v>63.454999999999998</v>
      </c>
      <c r="CF4" s="976">
        <v>64.004000000000005</v>
      </c>
      <c r="CG4" s="976">
        <v>64.492999999999995</v>
      </c>
      <c r="CH4" s="976">
        <v>65.12</v>
      </c>
      <c r="CI4" s="976">
        <v>65.588999999999999</v>
      </c>
      <c r="CJ4" s="976">
        <v>66.091999999999999</v>
      </c>
      <c r="CK4" s="976">
        <v>66.475999999999999</v>
      </c>
      <c r="CL4" s="976">
        <v>66.742999999999995</v>
      </c>
      <c r="CM4" s="976">
        <v>67.141000000000005</v>
      </c>
      <c r="CN4" s="976">
        <v>67.462000000000003</v>
      </c>
      <c r="CO4" s="976">
        <v>67.936999999999998</v>
      </c>
      <c r="CP4" s="976">
        <v>68.340999999999994</v>
      </c>
      <c r="CQ4" s="976">
        <v>68.744</v>
      </c>
      <c r="CR4" s="976">
        <v>69.088999999999999</v>
      </c>
      <c r="CS4" s="976">
        <v>69.495000000000005</v>
      </c>
      <c r="CT4" s="976">
        <v>69.850999999999999</v>
      </c>
      <c r="CU4" s="976">
        <v>70.183999999999997</v>
      </c>
      <c r="CV4" s="976">
        <v>70.558000000000007</v>
      </c>
      <c r="CW4" s="976">
        <v>70.951999999999998</v>
      </c>
      <c r="CX4" s="976">
        <v>71.355999999999995</v>
      </c>
      <c r="CY4" s="976">
        <v>71.706000000000003</v>
      </c>
      <c r="CZ4" s="976">
        <v>72.027000000000001</v>
      </c>
      <c r="DA4" s="976">
        <v>72.367000000000004</v>
      </c>
      <c r="DB4" s="976">
        <v>72.7</v>
      </c>
      <c r="DC4" s="976">
        <v>72.997</v>
      </c>
      <c r="DD4" s="976">
        <v>73.352000000000004</v>
      </c>
      <c r="DE4" s="976">
        <v>73.662000000000006</v>
      </c>
      <c r="DF4" s="976">
        <v>73.992000000000004</v>
      </c>
      <c r="DG4" s="976">
        <v>74.361000000000004</v>
      </c>
      <c r="DH4" s="976">
        <v>74.581000000000003</v>
      </c>
      <c r="DI4" s="976">
        <v>74.847999999999999</v>
      </c>
      <c r="DJ4" s="976">
        <v>74.924000000000007</v>
      </c>
      <c r="DK4" s="976">
        <v>75.119</v>
      </c>
      <c r="DL4" s="976">
        <v>75.41</v>
      </c>
      <c r="DM4" s="976">
        <v>75.613</v>
      </c>
      <c r="DN4" s="976">
        <v>75.858999999999995</v>
      </c>
      <c r="DO4" s="976">
        <v>76.19</v>
      </c>
      <c r="DP4" s="976">
        <v>76.471999999999994</v>
      </c>
      <c r="DQ4" s="976">
        <v>76.863</v>
      </c>
      <c r="DR4" s="976">
        <v>77.388999999999996</v>
      </c>
      <c r="DS4" s="976">
        <v>77.840999999999994</v>
      </c>
      <c r="DT4" s="976">
        <v>78.314999999999998</v>
      </c>
      <c r="DU4" s="976">
        <v>78.728999999999999</v>
      </c>
      <c r="DV4" s="976">
        <v>79.231999999999999</v>
      </c>
      <c r="DW4" s="976">
        <v>79.760000000000005</v>
      </c>
      <c r="DX4" s="976">
        <v>80.010000000000005</v>
      </c>
      <c r="DY4" s="976">
        <v>80.284000000000006</v>
      </c>
      <c r="DZ4" s="976">
        <v>80.503</v>
      </c>
      <c r="EA4" s="976">
        <v>80.831999999999994</v>
      </c>
      <c r="EB4" s="976">
        <v>81.177000000000007</v>
      </c>
      <c r="EC4" s="976">
        <v>81.643000000000001</v>
      </c>
      <c r="ED4" s="976">
        <v>82.046999999999997</v>
      </c>
      <c r="EE4" s="976">
        <v>82.287000000000006</v>
      </c>
      <c r="EF4" s="976">
        <v>82.738</v>
      </c>
      <c r="EG4" s="976">
        <v>83.195999999999998</v>
      </c>
      <c r="EH4" s="976">
        <v>83.823999999999998</v>
      </c>
      <c r="EI4" s="976">
        <v>84.515000000000001</v>
      </c>
      <c r="EJ4" s="976">
        <v>85.06</v>
      </c>
      <c r="EK4" s="976">
        <v>85.713999999999999</v>
      </c>
      <c r="EL4" s="976">
        <v>86.367999999999995</v>
      </c>
      <c r="EM4" s="976">
        <v>86.977000000000004</v>
      </c>
      <c r="EN4" s="976">
        <v>87.793999999999997</v>
      </c>
      <c r="EO4" s="976">
        <v>88.489000000000004</v>
      </c>
      <c r="EP4" s="976">
        <v>89.100999999999999</v>
      </c>
      <c r="EQ4" s="976">
        <v>89.844999999999999</v>
      </c>
      <c r="ER4" s="976">
        <v>90.504999999999995</v>
      </c>
      <c r="ES4" s="976">
        <v>90.844999999999999</v>
      </c>
      <c r="ET4" s="976">
        <v>91.777000000000001</v>
      </c>
      <c r="EU4" s="976">
        <v>92.338999999999999</v>
      </c>
      <c r="EV4" s="976">
        <v>92.724999999999994</v>
      </c>
      <c r="EW4" s="976">
        <v>93.15</v>
      </c>
      <c r="EX4" s="976">
        <v>93.569000000000003</v>
      </c>
      <c r="EY4" s="976">
        <v>93.935000000000002</v>
      </c>
      <c r="EZ4" s="976">
        <v>94.653999999999996</v>
      </c>
      <c r="FA4" s="976">
        <v>94.896000000000001</v>
      </c>
      <c r="FB4" s="976">
        <v>94.959000000000003</v>
      </c>
      <c r="FC4" s="976">
        <v>94.855999999999995</v>
      </c>
      <c r="FD4" s="976">
        <v>94.912000000000006</v>
      </c>
      <c r="FE4" s="976">
        <v>95.269000000000005</v>
      </c>
      <c r="FF4" s="976">
        <v>95.491</v>
      </c>
      <c r="FG4" s="976">
        <v>95.912000000000006</v>
      </c>
      <c r="FH4" s="976">
        <v>96.251000000000005</v>
      </c>
      <c r="FI4" s="976">
        <v>96.781000000000006</v>
      </c>
      <c r="FJ4" s="976">
        <v>97.275999999999996</v>
      </c>
      <c r="FK4" s="976">
        <v>97.974999999999994</v>
      </c>
      <c r="FL4" s="976">
        <v>98.519000000000005</v>
      </c>
      <c r="FM4" s="976">
        <v>98.676000000000002</v>
      </c>
      <c r="FN4" s="976">
        <v>99.284000000000006</v>
      </c>
      <c r="FO4" s="976">
        <v>99.688999999999993</v>
      </c>
      <c r="FP4" s="976">
        <v>100.29900000000001</v>
      </c>
      <c r="FQ4" s="976">
        <v>100.72799999999999</v>
      </c>
      <c r="FR4" s="976">
        <v>101.123</v>
      </c>
      <c r="FS4" s="976">
        <v>101.431</v>
      </c>
      <c r="FT4" s="976">
        <v>101.985</v>
      </c>
      <c r="FU4" s="976">
        <v>102.551</v>
      </c>
      <c r="FV4" s="976">
        <v>102.96</v>
      </c>
      <c r="FW4" s="976">
        <v>103.539</v>
      </c>
      <c r="FX4" s="976">
        <v>104.01</v>
      </c>
      <c r="FY4" s="976">
        <v>104.078</v>
      </c>
      <c r="FZ4" s="976">
        <v>104.054</v>
      </c>
      <c r="GA4" s="976">
        <v>104.64700000000001</v>
      </c>
      <c r="GB4" s="976">
        <v>104.92</v>
      </c>
      <c r="GC4" s="976">
        <v>104.935</v>
      </c>
      <c r="GD4" s="976">
        <v>104.902</v>
      </c>
      <c r="GE4" s="976">
        <v>105.595</v>
      </c>
      <c r="GF4" s="976">
        <v>105.941</v>
      </c>
      <c r="GG4" s="976">
        <v>106.506</v>
      </c>
      <c r="GH4" s="976">
        <v>107.03100000000001</v>
      </c>
      <c r="GI4" s="976">
        <v>107.36799999999999</v>
      </c>
      <c r="GJ4" s="976">
        <v>107.968</v>
      </c>
      <c r="GK4" s="976">
        <v>108.637</v>
      </c>
      <c r="GL4" s="976">
        <v>109.292</v>
      </c>
      <c r="GM4" s="976">
        <v>110.16500000000001</v>
      </c>
      <c r="GN4" s="976">
        <v>110.67100000000001</v>
      </c>
      <c r="GO4" s="976">
        <v>111.15900000000001</v>
      </c>
      <c r="GP4" s="976">
        <v>111.497</v>
      </c>
      <c r="GQ4" s="976">
        <v>112.181</v>
      </c>
      <c r="GR4" s="976">
        <v>112.602</v>
      </c>
      <c r="GS4" s="976">
        <v>112.989</v>
      </c>
      <c r="GT4" s="976">
        <v>113.38</v>
      </c>
      <c r="GU4" s="976">
        <v>112.86</v>
      </c>
      <c r="GV4" s="976">
        <v>113.83799999999999</v>
      </c>
      <c r="GW4" s="976">
        <v>114.41500000000001</v>
      </c>
      <c r="GX4" s="976">
        <v>115.63</v>
      </c>
    </row>
    <row r="5" spans="1:206">
      <c r="A5" s="976" t="s">
        <v>220</v>
      </c>
      <c r="B5" s="976">
        <v>631.70000000000005</v>
      </c>
      <c r="C5" s="976">
        <v>641.6</v>
      </c>
      <c r="D5" s="976">
        <v>653.5</v>
      </c>
      <c r="E5" s="976">
        <v>660.2</v>
      </c>
      <c r="F5" s="976">
        <v>679.2</v>
      </c>
      <c r="G5" s="976">
        <v>693.2</v>
      </c>
      <c r="H5" s="976">
        <v>705.6</v>
      </c>
      <c r="I5" s="976">
        <v>721.7</v>
      </c>
      <c r="J5" s="976">
        <v>738.9</v>
      </c>
      <c r="K5" s="976">
        <v>757.4</v>
      </c>
      <c r="L5" s="976">
        <v>775.8</v>
      </c>
      <c r="M5" s="976">
        <v>800.5</v>
      </c>
      <c r="N5" s="976">
        <v>825</v>
      </c>
      <c r="O5" s="976">
        <v>840.5</v>
      </c>
      <c r="P5" s="976">
        <v>858.9</v>
      </c>
      <c r="Q5" s="976">
        <v>873.9</v>
      </c>
      <c r="R5" s="976">
        <v>891.9</v>
      </c>
      <c r="S5" s="976">
        <v>920.4</v>
      </c>
      <c r="T5" s="976">
        <v>949.3</v>
      </c>
      <c r="U5" s="976">
        <v>959.1</v>
      </c>
      <c r="V5" s="976">
        <v>985.2</v>
      </c>
      <c r="W5" s="976">
        <v>1013.6</v>
      </c>
      <c r="X5" s="976">
        <v>1047.2</v>
      </c>
      <c r="Y5" s="976">
        <v>1076.2</v>
      </c>
      <c r="Z5" s="976">
        <v>1109.9000000000001</v>
      </c>
      <c r="AA5" s="976">
        <v>1129.5</v>
      </c>
      <c r="AB5" s="976">
        <v>1158.8</v>
      </c>
      <c r="AC5" s="976">
        <v>1192.4000000000001</v>
      </c>
      <c r="AD5" s="976">
        <v>1228.2</v>
      </c>
      <c r="AE5" s="976">
        <v>1256</v>
      </c>
      <c r="AF5" s="976">
        <v>1286.9000000000001</v>
      </c>
      <c r="AG5" s="976">
        <v>1324.8</v>
      </c>
      <c r="AH5" s="976">
        <v>1354.1</v>
      </c>
      <c r="AI5" s="976">
        <v>1411.4</v>
      </c>
      <c r="AJ5" s="976">
        <v>1442.2</v>
      </c>
      <c r="AK5" s="976">
        <v>1481.4</v>
      </c>
      <c r="AL5" s="976">
        <v>1517.1</v>
      </c>
      <c r="AM5" s="976">
        <v>1557.6</v>
      </c>
      <c r="AN5" s="976">
        <v>1611.9</v>
      </c>
      <c r="AO5" s="976">
        <v>1655</v>
      </c>
      <c r="AP5" s="976">
        <v>1702.3</v>
      </c>
      <c r="AQ5" s="976">
        <v>1704.7</v>
      </c>
      <c r="AR5" s="976">
        <v>1763.8</v>
      </c>
      <c r="AS5" s="976">
        <v>1831.9</v>
      </c>
      <c r="AT5" s="976">
        <v>1885.7</v>
      </c>
      <c r="AU5" s="976">
        <v>1917.5</v>
      </c>
      <c r="AV5" s="976">
        <v>1958.1</v>
      </c>
      <c r="AW5" s="976">
        <v>1974.4</v>
      </c>
      <c r="AX5" s="976">
        <v>2014.2</v>
      </c>
      <c r="AY5" s="976">
        <v>2039.6</v>
      </c>
      <c r="AZ5" s="976">
        <v>2085.6999999999998</v>
      </c>
      <c r="BA5" s="976">
        <v>2145.6</v>
      </c>
      <c r="BB5" s="976">
        <v>2184.6</v>
      </c>
      <c r="BC5" s="976">
        <v>2249.4</v>
      </c>
      <c r="BD5" s="976">
        <v>2319.9</v>
      </c>
      <c r="BE5" s="976">
        <v>2372.5</v>
      </c>
      <c r="BF5" s="976">
        <v>2418.1999999999998</v>
      </c>
      <c r="BG5" s="976">
        <v>2475.9</v>
      </c>
      <c r="BH5" s="976">
        <v>2513.5</v>
      </c>
      <c r="BI5" s="976">
        <v>2561.8000000000002</v>
      </c>
      <c r="BJ5" s="976">
        <v>2636</v>
      </c>
      <c r="BK5" s="976">
        <v>2681.8</v>
      </c>
      <c r="BL5" s="976">
        <v>2754.1</v>
      </c>
      <c r="BM5" s="976">
        <v>2779.4</v>
      </c>
      <c r="BN5" s="976">
        <v>2823.6</v>
      </c>
      <c r="BO5" s="976">
        <v>2851.5</v>
      </c>
      <c r="BP5" s="976">
        <v>2917.2</v>
      </c>
      <c r="BQ5" s="976">
        <v>2952.8</v>
      </c>
      <c r="BR5" s="976">
        <v>2983.5</v>
      </c>
      <c r="BS5" s="976">
        <v>3053.3</v>
      </c>
      <c r="BT5" s="976">
        <v>3117.4</v>
      </c>
      <c r="BU5" s="976">
        <v>3150.9</v>
      </c>
      <c r="BV5" s="976">
        <v>3231.9</v>
      </c>
      <c r="BW5" s="976">
        <v>3291.7</v>
      </c>
      <c r="BX5" s="976">
        <v>3361.9</v>
      </c>
      <c r="BY5" s="976">
        <v>3434.5</v>
      </c>
      <c r="BZ5" s="976">
        <v>3490.2</v>
      </c>
      <c r="CA5" s="976">
        <v>3553.8</v>
      </c>
      <c r="CB5" s="976">
        <v>3609.4</v>
      </c>
      <c r="CC5" s="976">
        <v>3653.7</v>
      </c>
      <c r="CD5" s="976">
        <v>3737.9</v>
      </c>
      <c r="CE5" s="976">
        <v>3783.4</v>
      </c>
      <c r="CF5" s="976">
        <v>3846.7</v>
      </c>
      <c r="CG5" s="976">
        <v>3867.9</v>
      </c>
      <c r="CH5" s="976">
        <v>3873.6</v>
      </c>
      <c r="CI5" s="976">
        <v>3926.9</v>
      </c>
      <c r="CJ5" s="976">
        <v>3973.3</v>
      </c>
      <c r="CK5" s="976">
        <v>4000</v>
      </c>
      <c r="CL5" s="976">
        <v>4100.3999999999996</v>
      </c>
      <c r="CM5" s="976">
        <v>4155.7</v>
      </c>
      <c r="CN5" s="976">
        <v>4227</v>
      </c>
      <c r="CO5" s="976">
        <v>4307.2</v>
      </c>
      <c r="CP5" s="976">
        <v>4349.5</v>
      </c>
      <c r="CQ5" s="976">
        <v>4418.6000000000004</v>
      </c>
      <c r="CR5" s="976">
        <v>4487.2</v>
      </c>
      <c r="CS5" s="976">
        <v>4552.7</v>
      </c>
      <c r="CT5" s="976">
        <v>4621.2</v>
      </c>
      <c r="CU5" s="976">
        <v>4683.2</v>
      </c>
      <c r="CV5" s="976">
        <v>4752.8</v>
      </c>
      <c r="CW5" s="976">
        <v>4826.7</v>
      </c>
      <c r="CX5" s="976">
        <v>4862.3999999999996</v>
      </c>
      <c r="CY5" s="976">
        <v>4933.6000000000004</v>
      </c>
      <c r="CZ5" s="976">
        <v>4998.7</v>
      </c>
      <c r="DA5" s="976">
        <v>5055.7</v>
      </c>
      <c r="DB5" s="976">
        <v>5130.6000000000004</v>
      </c>
      <c r="DC5" s="976">
        <v>5220.5</v>
      </c>
      <c r="DD5" s="976">
        <v>5274.5</v>
      </c>
      <c r="DE5" s="976">
        <v>5352.8</v>
      </c>
      <c r="DF5" s="976">
        <v>5433.1</v>
      </c>
      <c r="DG5" s="976">
        <v>5471.3</v>
      </c>
      <c r="DH5" s="976">
        <v>5579.2</v>
      </c>
      <c r="DI5" s="976">
        <v>5663.6</v>
      </c>
      <c r="DJ5" s="976">
        <v>5721.3</v>
      </c>
      <c r="DK5" s="976">
        <v>5832.6</v>
      </c>
      <c r="DL5" s="976">
        <v>5926.8</v>
      </c>
      <c r="DM5" s="976">
        <v>6028.2</v>
      </c>
      <c r="DN5" s="976">
        <v>6102.5</v>
      </c>
      <c r="DO5" s="976">
        <v>6225.3</v>
      </c>
      <c r="DP5" s="976">
        <v>6328.9</v>
      </c>
      <c r="DQ5" s="976">
        <v>6459.6</v>
      </c>
      <c r="DR5" s="976">
        <v>6613.6</v>
      </c>
      <c r="DS5" s="976">
        <v>6707.5</v>
      </c>
      <c r="DT5" s="976">
        <v>6815.4</v>
      </c>
      <c r="DU5" s="976">
        <v>6912.1</v>
      </c>
      <c r="DV5" s="976">
        <v>6986.9</v>
      </c>
      <c r="DW5" s="976">
        <v>7036.3</v>
      </c>
      <c r="DX5" s="976">
        <v>7064.7</v>
      </c>
      <c r="DY5" s="976">
        <v>7174.7</v>
      </c>
      <c r="DZ5" s="976">
        <v>7209.9</v>
      </c>
      <c r="EA5" s="976">
        <v>7302.1</v>
      </c>
      <c r="EB5" s="976">
        <v>7390.9</v>
      </c>
      <c r="EC5" s="976">
        <v>7467.7</v>
      </c>
      <c r="ED5" s="976">
        <v>7555.8</v>
      </c>
      <c r="EE5" s="976">
        <v>7642.6</v>
      </c>
      <c r="EF5" s="976">
        <v>7802.6</v>
      </c>
      <c r="EG5" s="976">
        <v>7891.5</v>
      </c>
      <c r="EH5" s="976">
        <v>8027.7</v>
      </c>
      <c r="EI5" s="976">
        <v>8133</v>
      </c>
      <c r="EJ5" s="976">
        <v>8264.2999999999993</v>
      </c>
      <c r="EK5" s="976">
        <v>8425.6</v>
      </c>
      <c r="EL5" s="976">
        <v>8523</v>
      </c>
      <c r="EM5" s="976">
        <v>8671.4</v>
      </c>
      <c r="EN5" s="976">
        <v>8849.2000000000007</v>
      </c>
      <c r="EO5" s="976">
        <v>8944.9</v>
      </c>
      <c r="EP5" s="976">
        <v>9090.7000000000007</v>
      </c>
      <c r="EQ5" s="976">
        <v>9210.2000000000007</v>
      </c>
      <c r="ER5" s="976">
        <v>9333</v>
      </c>
      <c r="ES5" s="976">
        <v>9407.5</v>
      </c>
      <c r="ET5" s="976">
        <v>9549.4</v>
      </c>
      <c r="EU5" s="976">
        <v>9644.7000000000007</v>
      </c>
      <c r="EV5" s="976">
        <v>9753.7999999999993</v>
      </c>
      <c r="EW5" s="976">
        <v>9877.7999999999993</v>
      </c>
      <c r="EX5" s="976">
        <v>9934.2999999999993</v>
      </c>
      <c r="EY5" s="976">
        <v>10052.799999999999</v>
      </c>
      <c r="EZ5" s="976">
        <v>10081</v>
      </c>
      <c r="FA5" s="976">
        <v>9837.2999999999993</v>
      </c>
      <c r="FB5" s="976">
        <v>9756.1</v>
      </c>
      <c r="FC5" s="976">
        <v>9760.2000000000007</v>
      </c>
      <c r="FD5" s="976">
        <v>9895.4</v>
      </c>
      <c r="FE5" s="976">
        <v>9957.1</v>
      </c>
      <c r="FF5" s="976">
        <v>10040.5</v>
      </c>
      <c r="FG5" s="976">
        <v>10131.799999999999</v>
      </c>
      <c r="FH5" s="976">
        <v>10220.6</v>
      </c>
      <c r="FI5" s="976">
        <v>10350.5</v>
      </c>
      <c r="FJ5" s="976">
        <v>10485.4</v>
      </c>
      <c r="FK5" s="976">
        <v>10612.1</v>
      </c>
      <c r="FL5" s="976">
        <v>10705.4</v>
      </c>
      <c r="FM5" s="976">
        <v>10761.6</v>
      </c>
      <c r="FN5" s="976">
        <v>10922.4</v>
      </c>
      <c r="FO5" s="976">
        <v>10964.9</v>
      </c>
      <c r="FP5" s="976">
        <v>11014.2</v>
      </c>
      <c r="FQ5" s="976">
        <v>11125.7</v>
      </c>
      <c r="FR5" s="976">
        <v>11223.2</v>
      </c>
      <c r="FS5" s="976">
        <v>11239.6</v>
      </c>
      <c r="FT5" s="976">
        <v>11330.9</v>
      </c>
      <c r="FU5" s="976">
        <v>11475.1</v>
      </c>
      <c r="FV5" s="976">
        <v>11574.2</v>
      </c>
      <c r="FW5" s="976">
        <v>11756.9</v>
      </c>
      <c r="FX5" s="976">
        <v>11915.4</v>
      </c>
      <c r="FY5" s="976">
        <v>12044.5</v>
      </c>
      <c r="FZ5" s="976">
        <v>12099.1</v>
      </c>
      <c r="GA5" s="976">
        <v>12255.5</v>
      </c>
      <c r="GB5" s="976">
        <v>12389.3</v>
      </c>
      <c r="GC5" s="976">
        <v>12446</v>
      </c>
      <c r="GD5" s="976">
        <v>12551.6</v>
      </c>
      <c r="GE5" s="976">
        <v>12707.5</v>
      </c>
      <c r="GF5" s="976">
        <v>12841.2</v>
      </c>
      <c r="GG5" s="976">
        <v>12979.5</v>
      </c>
      <c r="GH5" s="976">
        <v>13153.2</v>
      </c>
      <c r="GI5" s="976">
        <v>13241.3</v>
      </c>
      <c r="GJ5" s="976">
        <v>13370.9</v>
      </c>
      <c r="GK5" s="976">
        <v>13596</v>
      </c>
      <c r="GL5" s="976">
        <v>13755.5</v>
      </c>
      <c r="GM5" s="976">
        <v>13939.9</v>
      </c>
      <c r="GN5" s="976">
        <v>14086.3</v>
      </c>
      <c r="GO5" s="976">
        <v>14191.4</v>
      </c>
      <c r="GP5" s="976">
        <v>14276.6</v>
      </c>
      <c r="GQ5" s="976">
        <v>14497.3</v>
      </c>
      <c r="GR5" s="976">
        <v>14645.3</v>
      </c>
      <c r="GS5" s="976">
        <v>14759.2</v>
      </c>
      <c r="GT5" s="976">
        <v>14545.5</v>
      </c>
      <c r="GU5" s="976">
        <v>13097.3</v>
      </c>
      <c r="GV5" s="976">
        <v>14401.5</v>
      </c>
      <c r="GW5" s="976">
        <v>14537</v>
      </c>
      <c r="GX5" s="976">
        <v>15070.1</v>
      </c>
    </row>
    <row r="6" spans="1:206">
      <c r="A6" s="976" t="s">
        <v>221</v>
      </c>
      <c r="B6" s="976">
        <v>3065.1</v>
      </c>
      <c r="C6" s="976">
        <v>3079</v>
      </c>
      <c r="D6" s="976">
        <v>3106</v>
      </c>
      <c r="E6" s="976">
        <v>3097.5</v>
      </c>
      <c r="F6" s="976">
        <v>3157</v>
      </c>
      <c r="G6" s="976">
        <v>3186</v>
      </c>
      <c r="H6" s="976">
        <v>3211.4</v>
      </c>
      <c r="I6" s="976">
        <v>3264.7</v>
      </c>
      <c r="J6" s="976">
        <v>3307.8</v>
      </c>
      <c r="K6" s="976">
        <v>3370.7</v>
      </c>
      <c r="L6" s="976">
        <v>3422.7</v>
      </c>
      <c r="M6" s="976">
        <v>3503</v>
      </c>
      <c r="N6" s="976">
        <v>3567</v>
      </c>
      <c r="O6" s="976">
        <v>3565.3</v>
      </c>
      <c r="P6" s="976">
        <v>3577.9</v>
      </c>
      <c r="Q6" s="976">
        <v>3567.2</v>
      </c>
      <c r="R6" s="976">
        <v>3535.3</v>
      </c>
      <c r="S6" s="976">
        <v>3548</v>
      </c>
      <c r="T6" s="976">
        <v>3563.3</v>
      </c>
      <c r="U6" s="976">
        <v>3511.2</v>
      </c>
      <c r="V6" s="976">
        <v>3540.6</v>
      </c>
      <c r="W6" s="976">
        <v>3598.9</v>
      </c>
      <c r="X6" s="976">
        <v>3650</v>
      </c>
      <c r="Y6" s="976">
        <v>3689.3</v>
      </c>
      <c r="Z6" s="976">
        <v>3763</v>
      </c>
      <c r="AA6" s="976">
        <v>3797.7</v>
      </c>
      <c r="AB6" s="976">
        <v>3837.7</v>
      </c>
      <c r="AC6" s="976">
        <v>3887.4</v>
      </c>
      <c r="AD6" s="976">
        <v>3933.3</v>
      </c>
      <c r="AE6" s="976">
        <v>3954.6</v>
      </c>
      <c r="AF6" s="976">
        <v>3992</v>
      </c>
      <c r="AG6" s="976">
        <v>4052</v>
      </c>
      <c r="AH6" s="976">
        <v>4074.8</v>
      </c>
      <c r="AI6" s="976">
        <v>4161.8999999999996</v>
      </c>
      <c r="AJ6" s="976">
        <v>4179.3999999999996</v>
      </c>
      <c r="AK6" s="976">
        <v>4213.1000000000004</v>
      </c>
      <c r="AL6" s="976">
        <v>4234.8999999999996</v>
      </c>
      <c r="AM6" s="976">
        <v>4232.2</v>
      </c>
      <c r="AN6" s="976">
        <v>4273.3</v>
      </c>
      <c r="AO6" s="976">
        <v>4284</v>
      </c>
      <c r="AP6" s="976">
        <v>4277.8999999999996</v>
      </c>
      <c r="AQ6" s="976">
        <v>4181.5</v>
      </c>
      <c r="AR6" s="976">
        <v>4227.3999999999996</v>
      </c>
      <c r="AS6" s="976">
        <v>4284.5</v>
      </c>
      <c r="AT6" s="976">
        <v>4298.8</v>
      </c>
      <c r="AU6" s="976">
        <v>4299.2</v>
      </c>
      <c r="AV6" s="976">
        <v>4319</v>
      </c>
      <c r="AW6" s="976">
        <v>4289.5</v>
      </c>
      <c r="AX6" s="976">
        <v>4321.1000000000004</v>
      </c>
      <c r="AY6" s="976">
        <v>4334.3</v>
      </c>
      <c r="AZ6" s="976">
        <v>4363.3</v>
      </c>
      <c r="BA6" s="976">
        <v>4439.7</v>
      </c>
      <c r="BB6" s="976">
        <v>4483.6000000000004</v>
      </c>
      <c r="BC6" s="976">
        <v>4574.8999999999996</v>
      </c>
      <c r="BD6" s="976">
        <v>4657</v>
      </c>
      <c r="BE6" s="976">
        <v>4731.2</v>
      </c>
      <c r="BF6" s="976">
        <v>4770.5</v>
      </c>
      <c r="BG6" s="976">
        <v>4837.3</v>
      </c>
      <c r="BH6" s="976">
        <v>4873.2</v>
      </c>
      <c r="BI6" s="976">
        <v>4936.3</v>
      </c>
      <c r="BJ6" s="976">
        <v>5020.2</v>
      </c>
      <c r="BK6" s="976">
        <v>5066.3</v>
      </c>
      <c r="BL6" s="976">
        <v>5162.5</v>
      </c>
      <c r="BM6" s="976">
        <v>5173.6000000000004</v>
      </c>
      <c r="BN6" s="976">
        <v>5218.8999999999996</v>
      </c>
      <c r="BO6" s="976">
        <v>5275.7</v>
      </c>
      <c r="BP6" s="976">
        <v>5369</v>
      </c>
      <c r="BQ6" s="976">
        <v>5402</v>
      </c>
      <c r="BR6" s="976">
        <v>5407.4</v>
      </c>
      <c r="BS6" s="976">
        <v>5481.2</v>
      </c>
      <c r="BT6" s="976">
        <v>5543.7</v>
      </c>
      <c r="BU6" s="976">
        <v>5555.5</v>
      </c>
      <c r="BV6" s="976">
        <v>5653.6</v>
      </c>
      <c r="BW6" s="976">
        <v>5695.3</v>
      </c>
      <c r="BX6" s="976">
        <v>5745.9</v>
      </c>
      <c r="BY6" s="976">
        <v>5811.3</v>
      </c>
      <c r="BZ6" s="976">
        <v>5838.2</v>
      </c>
      <c r="CA6" s="976">
        <v>5865.5</v>
      </c>
      <c r="CB6" s="976">
        <v>5922.3</v>
      </c>
      <c r="CC6" s="976">
        <v>5948</v>
      </c>
      <c r="CD6" s="976">
        <v>5998.1</v>
      </c>
      <c r="CE6" s="976">
        <v>6016.3</v>
      </c>
      <c r="CF6" s="976">
        <v>6040.2</v>
      </c>
      <c r="CG6" s="976">
        <v>5994.2</v>
      </c>
      <c r="CH6" s="976">
        <v>5971.7</v>
      </c>
      <c r="CI6" s="976">
        <v>6021.2</v>
      </c>
      <c r="CJ6" s="976">
        <v>6051.2</v>
      </c>
      <c r="CK6" s="976">
        <v>6048.2</v>
      </c>
      <c r="CL6" s="976">
        <v>6161.4</v>
      </c>
      <c r="CM6" s="976">
        <v>6203.2</v>
      </c>
      <c r="CN6" s="976">
        <v>6269.7</v>
      </c>
      <c r="CO6" s="976">
        <v>6344.4</v>
      </c>
      <c r="CP6" s="976">
        <v>6368.8</v>
      </c>
      <c r="CQ6" s="976">
        <v>6426.7</v>
      </c>
      <c r="CR6" s="976">
        <v>6498.2</v>
      </c>
      <c r="CS6" s="976">
        <v>6555.3</v>
      </c>
      <c r="CT6" s="976">
        <v>6630.3</v>
      </c>
      <c r="CU6" s="976">
        <v>6681.8</v>
      </c>
      <c r="CV6" s="976">
        <v>6732.8</v>
      </c>
      <c r="CW6" s="976">
        <v>6805.6</v>
      </c>
      <c r="CX6" s="976">
        <v>6822.5</v>
      </c>
      <c r="CY6" s="976">
        <v>6882.3</v>
      </c>
      <c r="CZ6" s="976">
        <v>6944.7</v>
      </c>
      <c r="DA6" s="976">
        <v>6993.1</v>
      </c>
      <c r="DB6" s="976">
        <v>7057.6</v>
      </c>
      <c r="DC6" s="976">
        <v>7133.6</v>
      </c>
      <c r="DD6" s="976">
        <v>7176.8</v>
      </c>
      <c r="DE6" s="976">
        <v>7233.9</v>
      </c>
      <c r="DF6" s="976">
        <v>7310.2</v>
      </c>
      <c r="DG6" s="976">
        <v>7343.1</v>
      </c>
      <c r="DH6" s="976">
        <v>7468.2</v>
      </c>
      <c r="DI6" s="976">
        <v>7557.4</v>
      </c>
      <c r="DJ6" s="976">
        <v>7633.9</v>
      </c>
      <c r="DK6" s="976">
        <v>7768.3</v>
      </c>
      <c r="DL6" s="976">
        <v>7869.6</v>
      </c>
      <c r="DM6" s="976">
        <v>7983.3</v>
      </c>
      <c r="DN6" s="976">
        <v>8060.8</v>
      </c>
      <c r="DO6" s="976">
        <v>8178.3</v>
      </c>
      <c r="DP6" s="976">
        <v>8270.6</v>
      </c>
      <c r="DQ6" s="976">
        <v>8391.7999999999993</v>
      </c>
      <c r="DR6" s="976">
        <v>8520.7000000000007</v>
      </c>
      <c r="DS6" s="976">
        <v>8603</v>
      </c>
      <c r="DT6" s="976">
        <v>8687.5</v>
      </c>
      <c r="DU6" s="976">
        <v>8762.2000000000007</v>
      </c>
      <c r="DV6" s="976">
        <v>8797.2999999999993</v>
      </c>
      <c r="DW6" s="976">
        <v>8818.1</v>
      </c>
      <c r="DX6" s="976">
        <v>8848.2999999999993</v>
      </c>
      <c r="DY6" s="976">
        <v>8980.6</v>
      </c>
      <c r="DZ6" s="976">
        <v>9008.1</v>
      </c>
      <c r="EA6" s="976">
        <v>9054.2999999999993</v>
      </c>
      <c r="EB6" s="976">
        <v>9119.9</v>
      </c>
      <c r="EC6" s="976">
        <v>9172.4</v>
      </c>
      <c r="ED6" s="976">
        <v>9215.5</v>
      </c>
      <c r="EE6" s="976">
        <v>9319</v>
      </c>
      <c r="EF6" s="976">
        <v>9455.7000000000007</v>
      </c>
      <c r="EG6" s="976">
        <v>9519.7999999999993</v>
      </c>
      <c r="EH6" s="976">
        <v>9604.5</v>
      </c>
      <c r="EI6" s="976">
        <v>9664.2999999999993</v>
      </c>
      <c r="EJ6" s="976">
        <v>9771.1</v>
      </c>
      <c r="EK6" s="976">
        <v>9877.4</v>
      </c>
      <c r="EL6" s="976">
        <v>9935</v>
      </c>
      <c r="EM6" s="976">
        <v>10047.799999999999</v>
      </c>
      <c r="EN6" s="976">
        <v>10145.299999999999</v>
      </c>
      <c r="EO6" s="976">
        <v>10175.4</v>
      </c>
      <c r="EP6" s="976">
        <v>10288.9</v>
      </c>
      <c r="EQ6" s="976">
        <v>10341</v>
      </c>
      <c r="ER6" s="976">
        <v>10403.799999999999</v>
      </c>
      <c r="ES6" s="976">
        <v>10504.5</v>
      </c>
      <c r="ET6" s="976">
        <v>10563.3</v>
      </c>
      <c r="EU6" s="976">
        <v>10582.8</v>
      </c>
      <c r="EV6" s="976">
        <v>10642.5</v>
      </c>
      <c r="EW6" s="976">
        <v>10672.8</v>
      </c>
      <c r="EX6" s="976">
        <v>10644.4</v>
      </c>
      <c r="EY6" s="976">
        <v>10661.7</v>
      </c>
      <c r="EZ6" s="976">
        <v>10581.9</v>
      </c>
      <c r="FA6" s="976">
        <v>10483.4</v>
      </c>
      <c r="FB6" s="976">
        <v>10459.700000000001</v>
      </c>
      <c r="FC6" s="976">
        <v>10417.299999999999</v>
      </c>
      <c r="FD6" s="976">
        <v>10489.2</v>
      </c>
      <c r="FE6" s="976">
        <v>10473.6</v>
      </c>
      <c r="FF6" s="976">
        <v>10525.4</v>
      </c>
      <c r="FG6" s="976">
        <v>10609.1</v>
      </c>
      <c r="FH6" s="976">
        <v>10683.3</v>
      </c>
      <c r="FI6" s="976">
        <v>10754</v>
      </c>
      <c r="FJ6" s="976">
        <v>10799.7</v>
      </c>
      <c r="FK6" s="976">
        <v>10823.7</v>
      </c>
      <c r="FL6" s="976">
        <v>10866</v>
      </c>
      <c r="FM6" s="976">
        <v>10885.9</v>
      </c>
      <c r="FN6" s="976">
        <v>10973.3</v>
      </c>
      <c r="FO6" s="976">
        <v>10989.6</v>
      </c>
      <c r="FP6" s="976">
        <v>11007.5</v>
      </c>
      <c r="FQ6" s="976">
        <v>11056.9</v>
      </c>
      <c r="FR6" s="976">
        <v>11114.2</v>
      </c>
      <c r="FS6" s="976">
        <v>11122.2</v>
      </c>
      <c r="FT6" s="976">
        <v>11167.4</v>
      </c>
      <c r="FU6" s="976">
        <v>11263.6</v>
      </c>
      <c r="FV6" s="976">
        <v>11308</v>
      </c>
      <c r="FW6" s="976">
        <v>11431.8</v>
      </c>
      <c r="FX6" s="976">
        <v>11554.8</v>
      </c>
      <c r="FY6" s="976">
        <v>11695</v>
      </c>
      <c r="FZ6" s="976">
        <v>11798.3</v>
      </c>
      <c r="GA6" s="976">
        <v>11892.3</v>
      </c>
      <c r="GB6" s="976">
        <v>11991.2</v>
      </c>
      <c r="GC6" s="976">
        <v>12055.4</v>
      </c>
      <c r="GD6" s="976">
        <v>12148.1</v>
      </c>
      <c r="GE6" s="976">
        <v>12225.8</v>
      </c>
      <c r="GF6" s="976">
        <v>12304.5</v>
      </c>
      <c r="GG6" s="976">
        <v>12380</v>
      </c>
      <c r="GH6" s="976">
        <v>12477.3</v>
      </c>
      <c r="GI6" s="976">
        <v>12533.1</v>
      </c>
      <c r="GJ6" s="976">
        <v>12604.5</v>
      </c>
      <c r="GK6" s="976">
        <v>12733.7</v>
      </c>
      <c r="GL6" s="976">
        <v>12798.1</v>
      </c>
      <c r="GM6" s="976">
        <v>12898.1</v>
      </c>
      <c r="GN6" s="976">
        <v>12983</v>
      </c>
      <c r="GO6" s="976">
        <v>13033.4</v>
      </c>
      <c r="GP6" s="976">
        <v>13093.2</v>
      </c>
      <c r="GQ6" s="976">
        <v>13212.8</v>
      </c>
      <c r="GR6" s="976">
        <v>13301.3</v>
      </c>
      <c r="GS6" s="976">
        <v>13353.7</v>
      </c>
      <c r="GT6" s="976">
        <v>13118.4</v>
      </c>
      <c r="GU6" s="976">
        <v>11860.3</v>
      </c>
      <c r="GV6" s="976">
        <v>12924.7</v>
      </c>
      <c r="GW6" s="976">
        <v>12999.1</v>
      </c>
      <c r="GX6" s="976">
        <v>13353.3</v>
      </c>
    </row>
    <row r="7" spans="1:206">
      <c r="A7" s="976" t="s">
        <v>222</v>
      </c>
      <c r="B7" s="976">
        <v>20.61</v>
      </c>
      <c r="C7" s="976">
        <v>20.838000000000001</v>
      </c>
      <c r="D7" s="976">
        <v>21.041</v>
      </c>
      <c r="E7" s="976">
        <v>21.314</v>
      </c>
      <c r="F7" s="976">
        <v>21.515999999999998</v>
      </c>
      <c r="G7" s="976">
        <v>21.760999999999999</v>
      </c>
      <c r="H7" s="976">
        <v>21.975000000000001</v>
      </c>
      <c r="I7" s="976">
        <v>22.111000000000001</v>
      </c>
      <c r="J7" s="976">
        <v>22.344000000000001</v>
      </c>
      <c r="K7" s="976">
        <v>22.472999999999999</v>
      </c>
      <c r="L7" s="976">
        <v>22.670999999999999</v>
      </c>
      <c r="M7" s="976">
        <v>22.855</v>
      </c>
      <c r="N7" s="976">
        <v>23.131</v>
      </c>
      <c r="O7" s="976">
        <v>23.576000000000001</v>
      </c>
      <c r="P7" s="976">
        <v>24.004999999999999</v>
      </c>
      <c r="Q7" s="976">
        <v>24.495999999999999</v>
      </c>
      <c r="R7" s="976">
        <v>25.225000000000001</v>
      </c>
      <c r="S7" s="976">
        <v>25.939</v>
      </c>
      <c r="T7" s="976">
        <v>26.638999999999999</v>
      </c>
      <c r="U7" s="976">
        <v>27.315999999999999</v>
      </c>
      <c r="V7" s="976">
        <v>27.83</v>
      </c>
      <c r="W7" s="976">
        <v>28.172000000000001</v>
      </c>
      <c r="X7" s="976">
        <v>28.699000000000002</v>
      </c>
      <c r="Y7" s="976">
        <v>29.18</v>
      </c>
      <c r="Z7" s="976">
        <v>29.501999999999999</v>
      </c>
      <c r="AA7" s="976">
        <v>29.748999999999999</v>
      </c>
      <c r="AB7" s="976">
        <v>30.2</v>
      </c>
      <c r="AC7" s="976">
        <v>30.678000000000001</v>
      </c>
      <c r="AD7" s="976">
        <v>31.231000000000002</v>
      </c>
      <c r="AE7" s="976">
        <v>31.765999999999998</v>
      </c>
      <c r="AF7" s="976">
        <v>32.243000000000002</v>
      </c>
      <c r="AG7" s="976">
        <v>32.701999999999998</v>
      </c>
      <c r="AH7" s="976">
        <v>33.238</v>
      </c>
      <c r="AI7" s="976">
        <v>33.920999999999999</v>
      </c>
      <c r="AJ7" s="976">
        <v>34.517000000000003</v>
      </c>
      <c r="AK7" s="976">
        <v>35.168999999999997</v>
      </c>
      <c r="AL7" s="976">
        <v>35.831000000000003</v>
      </c>
      <c r="AM7" s="976">
        <v>36.81</v>
      </c>
      <c r="AN7" s="976">
        <v>37.723999999999997</v>
      </c>
      <c r="AO7" s="976">
        <v>38.637</v>
      </c>
      <c r="AP7" s="976">
        <v>39.796999999999997</v>
      </c>
      <c r="AQ7" s="976">
        <v>40.771000000000001</v>
      </c>
      <c r="AR7" s="976">
        <v>41.723999999999997</v>
      </c>
      <c r="AS7" s="976">
        <v>42.756999999999998</v>
      </c>
      <c r="AT7" s="976">
        <v>43.866</v>
      </c>
      <c r="AU7" s="976">
        <v>44.600999999999999</v>
      </c>
      <c r="AV7" s="976">
        <v>45.335999999999999</v>
      </c>
      <c r="AW7" s="976">
        <v>46.030999999999999</v>
      </c>
      <c r="AX7" s="976">
        <v>46.616</v>
      </c>
      <c r="AY7" s="976">
        <v>47.064</v>
      </c>
      <c r="AZ7" s="976">
        <v>47.808</v>
      </c>
      <c r="BA7" s="976">
        <v>48.335000000000001</v>
      </c>
      <c r="BB7" s="976">
        <v>48.734999999999999</v>
      </c>
      <c r="BC7" s="976">
        <v>49.18</v>
      </c>
      <c r="BD7" s="976">
        <v>49.826999999999998</v>
      </c>
      <c r="BE7" s="976">
        <v>50.155999999999999</v>
      </c>
      <c r="BF7" s="976">
        <v>50.698</v>
      </c>
      <c r="BG7" s="976">
        <v>51.189</v>
      </c>
      <c r="BH7" s="976">
        <v>51.584000000000003</v>
      </c>
      <c r="BI7" s="976">
        <v>51.902000000000001</v>
      </c>
      <c r="BJ7" s="976">
        <v>52.514000000000003</v>
      </c>
      <c r="BK7" s="976">
        <v>52.94</v>
      </c>
      <c r="BL7" s="976">
        <v>53.354999999999997</v>
      </c>
      <c r="BM7" s="976">
        <v>53.726999999999997</v>
      </c>
      <c r="BN7" s="976">
        <v>54.107999999999997</v>
      </c>
      <c r="BO7" s="976">
        <v>54.051000000000002</v>
      </c>
      <c r="BP7" s="976">
        <v>54.335999999999999</v>
      </c>
      <c r="BQ7" s="976">
        <v>54.664999999999999</v>
      </c>
      <c r="BR7" s="976">
        <v>55.179000000000002</v>
      </c>
      <c r="BS7" s="976">
        <v>55.710999999999999</v>
      </c>
      <c r="BT7" s="976">
        <v>56.238999999999997</v>
      </c>
      <c r="BU7" s="976">
        <v>56.725000000000001</v>
      </c>
      <c r="BV7" s="976">
        <v>57.173000000000002</v>
      </c>
      <c r="BW7" s="976">
        <v>57.805</v>
      </c>
      <c r="BX7" s="976">
        <v>58.517000000000003</v>
      </c>
      <c r="BY7" s="976">
        <v>59.107999999999997</v>
      </c>
      <c r="BZ7" s="976">
        <v>59.786999999999999</v>
      </c>
      <c r="CA7" s="976">
        <v>60.593000000000004</v>
      </c>
      <c r="CB7" s="976">
        <v>60.95</v>
      </c>
      <c r="CC7" s="976">
        <v>61.43</v>
      </c>
      <c r="CD7" s="976">
        <v>62.32</v>
      </c>
      <c r="CE7" s="976">
        <v>62.886000000000003</v>
      </c>
      <c r="CF7" s="976">
        <v>63.685000000000002</v>
      </c>
      <c r="CG7" s="976">
        <v>64.527000000000001</v>
      </c>
      <c r="CH7" s="976">
        <v>64.866</v>
      </c>
      <c r="CI7" s="976">
        <v>65.221000000000004</v>
      </c>
      <c r="CJ7" s="976">
        <v>65.664000000000001</v>
      </c>
      <c r="CK7" s="976">
        <v>66.14</v>
      </c>
      <c r="CL7" s="976">
        <v>66.555000000000007</v>
      </c>
      <c r="CM7" s="976">
        <v>66.998000000000005</v>
      </c>
      <c r="CN7" s="976">
        <v>67.424999999999997</v>
      </c>
      <c r="CO7" s="976">
        <v>67.894999999999996</v>
      </c>
      <c r="CP7" s="976">
        <v>68.299000000000007</v>
      </c>
      <c r="CQ7" s="976">
        <v>68.757999999999996</v>
      </c>
      <c r="CR7" s="976">
        <v>69.057000000000002</v>
      </c>
      <c r="CS7" s="976">
        <v>69.454999999999998</v>
      </c>
      <c r="CT7" s="976">
        <v>69.703999999999994</v>
      </c>
      <c r="CU7" s="976">
        <v>70.093000000000004</v>
      </c>
      <c r="CV7" s="976">
        <v>70.596000000000004</v>
      </c>
      <c r="CW7" s="976">
        <v>70.927000000000007</v>
      </c>
      <c r="CX7" s="976">
        <v>71.274000000000001</v>
      </c>
      <c r="CY7" s="976">
        <v>71.688999999999993</v>
      </c>
      <c r="CZ7" s="976">
        <v>71.980999999999995</v>
      </c>
      <c r="DA7" s="976">
        <v>72.298000000000002</v>
      </c>
      <c r="DB7" s="976">
        <v>72.7</v>
      </c>
      <c r="DC7" s="976">
        <v>73.186999999999998</v>
      </c>
      <c r="DD7" s="976">
        <v>73.498999999999995</v>
      </c>
      <c r="DE7" s="976">
        <v>73.998999999999995</v>
      </c>
      <c r="DF7" s="976">
        <v>74.325999999999993</v>
      </c>
      <c r="DG7" s="976">
        <v>74.512</v>
      </c>
      <c r="DH7" s="976">
        <v>74.709000000000003</v>
      </c>
      <c r="DI7" s="976">
        <v>74.942999999999998</v>
      </c>
      <c r="DJ7" s="976">
        <v>74.948999999999998</v>
      </c>
      <c r="DK7" s="976">
        <v>75.084000000000003</v>
      </c>
      <c r="DL7" s="976">
        <v>75.316999999999993</v>
      </c>
      <c r="DM7" s="976">
        <v>75.515000000000001</v>
      </c>
      <c r="DN7" s="976">
        <v>75.712999999999994</v>
      </c>
      <c r="DO7" s="976">
        <v>76.126999999999995</v>
      </c>
      <c r="DP7" s="976">
        <v>76.53</v>
      </c>
      <c r="DQ7" s="976">
        <v>76.981999999999999</v>
      </c>
      <c r="DR7" s="976">
        <v>77.625</v>
      </c>
      <c r="DS7" s="976">
        <v>77.972999999999999</v>
      </c>
      <c r="DT7" s="976">
        <v>78.454999999999998</v>
      </c>
      <c r="DU7" s="976">
        <v>78.888000000000005</v>
      </c>
      <c r="DV7" s="976">
        <v>79.423000000000002</v>
      </c>
      <c r="DW7" s="976">
        <v>79.795000000000002</v>
      </c>
      <c r="DX7" s="976">
        <v>79.841999999999999</v>
      </c>
      <c r="DY7" s="976">
        <v>79.891999999999996</v>
      </c>
      <c r="DZ7" s="976">
        <v>80.040999999999997</v>
      </c>
      <c r="EA7" s="976">
        <v>80.650999999999996</v>
      </c>
      <c r="EB7" s="976">
        <v>81.045000000000002</v>
      </c>
      <c r="EC7" s="976">
        <v>81.42</v>
      </c>
      <c r="ED7" s="976">
        <v>81.994</v>
      </c>
      <c r="EE7" s="976">
        <v>82.015000000000001</v>
      </c>
      <c r="EF7" s="976">
        <v>82.522000000000006</v>
      </c>
      <c r="EG7" s="976">
        <v>82.900999999999996</v>
      </c>
      <c r="EH7" s="976">
        <v>83.588999999999999</v>
      </c>
      <c r="EI7" s="976">
        <v>84.162000000000006</v>
      </c>
      <c r="EJ7" s="976">
        <v>84.585999999999999</v>
      </c>
      <c r="EK7" s="976">
        <v>85.308999999999997</v>
      </c>
      <c r="EL7" s="976">
        <v>85.795000000000002</v>
      </c>
      <c r="EM7" s="976">
        <v>86.31</v>
      </c>
      <c r="EN7" s="976">
        <v>87.231999999999999</v>
      </c>
      <c r="EO7" s="976">
        <v>87.912999999999997</v>
      </c>
      <c r="EP7" s="976">
        <v>88.358999999999995</v>
      </c>
      <c r="EQ7" s="976">
        <v>89.069000000000003</v>
      </c>
      <c r="ER7" s="976">
        <v>89.710999999999999</v>
      </c>
      <c r="ES7" s="976">
        <v>89.558999999999997</v>
      </c>
      <c r="ET7" s="976">
        <v>90.406000000000006</v>
      </c>
      <c r="EU7" s="976">
        <v>91.138999999999996</v>
      </c>
      <c r="EV7" s="976">
        <v>91.653000000000006</v>
      </c>
      <c r="EW7" s="976">
        <v>92.552999999999997</v>
      </c>
      <c r="EX7" s="976">
        <v>93.328999999999994</v>
      </c>
      <c r="EY7" s="976">
        <v>94.289000000000001</v>
      </c>
      <c r="EZ7" s="976">
        <v>95.266000000000005</v>
      </c>
      <c r="FA7" s="976">
        <v>93.835999999999999</v>
      </c>
      <c r="FB7" s="976">
        <v>93.274000000000001</v>
      </c>
      <c r="FC7" s="976">
        <v>93.692999999999998</v>
      </c>
      <c r="FD7" s="976">
        <v>94.34</v>
      </c>
      <c r="FE7" s="976">
        <v>95.07</v>
      </c>
      <c r="FF7" s="976">
        <v>95.394999999999996</v>
      </c>
      <c r="FG7" s="976">
        <v>95.503</v>
      </c>
      <c r="FH7" s="976">
        <v>95.671000000000006</v>
      </c>
      <c r="FI7" s="976">
        <v>96.25</v>
      </c>
      <c r="FJ7" s="976">
        <v>97.090999999999994</v>
      </c>
      <c r="FK7" s="976">
        <v>98.048000000000002</v>
      </c>
      <c r="FL7" s="976">
        <v>98.522999999999996</v>
      </c>
      <c r="FM7" s="976">
        <v>98.86</v>
      </c>
      <c r="FN7" s="976">
        <v>99.537999999999997</v>
      </c>
      <c r="FO7" s="976">
        <v>99.775999999999996</v>
      </c>
      <c r="FP7" s="976">
        <v>100.062</v>
      </c>
      <c r="FQ7" s="976">
        <v>100.624</v>
      </c>
      <c r="FR7" s="976">
        <v>100.982</v>
      </c>
      <c r="FS7" s="976">
        <v>101.057</v>
      </c>
      <c r="FT7" s="976">
        <v>101.46599999999999</v>
      </c>
      <c r="FU7" s="976">
        <v>101.88</v>
      </c>
      <c r="FV7" s="976">
        <v>102.357</v>
      </c>
      <c r="FW7" s="976">
        <v>102.846</v>
      </c>
      <c r="FX7" s="976">
        <v>103.123</v>
      </c>
      <c r="FY7" s="976">
        <v>102.992</v>
      </c>
      <c r="FZ7" s="976">
        <v>102.55200000000001</v>
      </c>
      <c r="GA7" s="976">
        <v>103.057</v>
      </c>
      <c r="GB7" s="976">
        <v>103.322</v>
      </c>
      <c r="GC7" s="976">
        <v>103.24299999999999</v>
      </c>
      <c r="GD7" s="976">
        <v>103.325</v>
      </c>
      <c r="GE7" s="976">
        <v>103.944</v>
      </c>
      <c r="GF7" s="976">
        <v>104.366</v>
      </c>
      <c r="GG7" s="976">
        <v>104.84699999999999</v>
      </c>
      <c r="GH7" s="976">
        <v>105.42100000000001</v>
      </c>
      <c r="GI7" s="976">
        <v>105.654</v>
      </c>
      <c r="GJ7" s="976">
        <v>106.084</v>
      </c>
      <c r="GK7" s="976">
        <v>106.77500000000001</v>
      </c>
      <c r="GL7" s="976">
        <v>107.485</v>
      </c>
      <c r="GM7" s="976">
        <v>108.081</v>
      </c>
      <c r="GN7" s="976">
        <v>108.501</v>
      </c>
      <c r="GO7" s="976">
        <v>108.889</v>
      </c>
      <c r="GP7" s="976">
        <v>109.042</v>
      </c>
      <c r="GQ7" s="976">
        <v>109.726</v>
      </c>
      <c r="GR7" s="976">
        <v>110.108</v>
      </c>
      <c r="GS7" s="976">
        <v>110.529</v>
      </c>
      <c r="GT7" s="976">
        <v>110.88200000000001</v>
      </c>
      <c r="GU7" s="976">
        <v>110.435</v>
      </c>
      <c r="GV7" s="976">
        <v>111.431</v>
      </c>
      <c r="GW7" s="976">
        <v>111.83499999999999</v>
      </c>
      <c r="GX7" s="976">
        <v>112.861</v>
      </c>
    </row>
    <row r="8" spans="1:206">
      <c r="A8" s="976" t="s">
        <v>216</v>
      </c>
      <c r="B8" s="976">
        <v>18.701000000000001</v>
      </c>
      <c r="C8" s="976">
        <v>18.948</v>
      </c>
      <c r="D8" s="976">
        <v>19.271000000000001</v>
      </c>
      <c r="E8" s="976">
        <v>19.515999999999998</v>
      </c>
      <c r="F8" s="976">
        <v>20.134</v>
      </c>
      <c r="G8" s="976">
        <v>20.51</v>
      </c>
      <c r="H8" s="976">
        <v>20.806999999999999</v>
      </c>
      <c r="I8" s="976">
        <v>21.23</v>
      </c>
      <c r="J8" s="976">
        <v>22.103999999999999</v>
      </c>
      <c r="K8" s="976">
        <v>22.327000000000002</v>
      </c>
      <c r="L8" s="976">
        <v>22.51</v>
      </c>
      <c r="M8" s="976">
        <v>22.998999999999999</v>
      </c>
      <c r="N8" s="976">
        <v>23.37</v>
      </c>
      <c r="O8" s="976">
        <v>23.777000000000001</v>
      </c>
      <c r="P8" s="976">
        <v>24.268999999999998</v>
      </c>
      <c r="Q8" s="976">
        <v>24.788</v>
      </c>
      <c r="R8" s="976">
        <v>25.042000000000002</v>
      </c>
      <c r="S8" s="976">
        <v>25.494</v>
      </c>
      <c r="T8" s="976">
        <v>26.239000000000001</v>
      </c>
      <c r="U8" s="976">
        <v>27.11</v>
      </c>
      <c r="V8" s="976">
        <v>27.603000000000002</v>
      </c>
      <c r="W8" s="976">
        <v>28.003</v>
      </c>
      <c r="X8" s="976">
        <v>28.38</v>
      </c>
      <c r="Y8" s="976">
        <v>29.032</v>
      </c>
      <c r="Z8" s="976">
        <v>29.456</v>
      </c>
      <c r="AA8" s="976">
        <v>29.702999999999999</v>
      </c>
      <c r="AB8" s="976">
        <v>30.042999999999999</v>
      </c>
      <c r="AC8" s="976">
        <v>30.846</v>
      </c>
      <c r="AD8" s="976">
        <v>31.283000000000001</v>
      </c>
      <c r="AE8" s="976">
        <v>31.638999999999999</v>
      </c>
      <c r="AF8" s="976">
        <v>31.795000000000002</v>
      </c>
      <c r="AG8" s="976">
        <v>32.716000000000001</v>
      </c>
      <c r="AH8" s="976">
        <v>33.090000000000003</v>
      </c>
      <c r="AI8" s="976">
        <v>33.74</v>
      </c>
      <c r="AJ8" s="976">
        <v>34.304000000000002</v>
      </c>
      <c r="AK8" s="976">
        <v>34.896000000000001</v>
      </c>
      <c r="AL8" s="976">
        <v>35.539000000000001</v>
      </c>
      <c r="AM8" s="976">
        <v>36.076000000000001</v>
      </c>
      <c r="AN8" s="976">
        <v>36.917999999999999</v>
      </c>
      <c r="AO8" s="976">
        <v>37.731000000000002</v>
      </c>
      <c r="AP8" s="976">
        <v>38.476999999999997</v>
      </c>
      <c r="AQ8" s="976">
        <v>39.963999999999999</v>
      </c>
      <c r="AR8" s="976">
        <v>40.369</v>
      </c>
      <c r="AS8" s="976">
        <v>41.584000000000003</v>
      </c>
      <c r="AT8" s="976">
        <v>42.414999999999999</v>
      </c>
      <c r="AU8" s="976">
        <v>43.402000000000001</v>
      </c>
      <c r="AV8" s="976">
        <v>44.353999999999999</v>
      </c>
      <c r="AW8" s="976">
        <v>45.203000000000003</v>
      </c>
      <c r="AX8" s="976">
        <v>45.924999999999997</v>
      </c>
      <c r="AY8" s="976">
        <v>46.835000000000001</v>
      </c>
      <c r="AZ8" s="976">
        <v>47.228000000000002</v>
      </c>
      <c r="BA8" s="976">
        <v>47.784999999999997</v>
      </c>
      <c r="BB8" s="976">
        <v>47.875</v>
      </c>
      <c r="BC8" s="976">
        <v>48.244999999999997</v>
      </c>
      <c r="BD8" s="976">
        <v>48.78</v>
      </c>
      <c r="BE8" s="976">
        <v>49.097999999999999</v>
      </c>
      <c r="BF8" s="976">
        <v>49.734999999999999</v>
      </c>
      <c r="BG8" s="976">
        <v>50.23</v>
      </c>
      <c r="BH8" s="976">
        <v>50.976999999999997</v>
      </c>
      <c r="BI8" s="976">
        <v>51.604999999999997</v>
      </c>
      <c r="BJ8" s="976">
        <v>51.399000000000001</v>
      </c>
      <c r="BK8" s="976">
        <v>51.52</v>
      </c>
      <c r="BL8" s="976">
        <v>51.795000000000002</v>
      </c>
      <c r="BM8" s="976">
        <v>52.134999999999998</v>
      </c>
      <c r="BN8" s="976">
        <v>52.003</v>
      </c>
      <c r="BO8" s="976">
        <v>51.872999999999998</v>
      </c>
      <c r="BP8" s="976">
        <v>51.947000000000003</v>
      </c>
      <c r="BQ8" s="976">
        <v>52.006</v>
      </c>
      <c r="BR8" s="976">
        <v>51.917000000000002</v>
      </c>
      <c r="BS8" s="976">
        <v>52.164000000000001</v>
      </c>
      <c r="BT8" s="976">
        <v>52.540999999999997</v>
      </c>
      <c r="BU8" s="976">
        <v>52.651000000000003</v>
      </c>
      <c r="BV8" s="976">
        <v>53.369</v>
      </c>
      <c r="BW8" s="976">
        <v>53.893000000000001</v>
      </c>
      <c r="BX8" s="976">
        <v>54.201000000000001</v>
      </c>
      <c r="BY8" s="976">
        <v>54.637999999999998</v>
      </c>
      <c r="BZ8" s="976">
        <v>55.042999999999999</v>
      </c>
      <c r="CA8" s="976">
        <v>55.447000000000003</v>
      </c>
      <c r="CB8" s="976">
        <v>55.722999999999999</v>
      </c>
      <c r="CC8" s="976">
        <v>55.923000000000002</v>
      </c>
      <c r="CD8" s="976">
        <v>56.314999999999998</v>
      </c>
      <c r="CE8" s="976">
        <v>57.281999999999996</v>
      </c>
      <c r="CF8" s="976">
        <v>57.36</v>
      </c>
      <c r="CG8" s="976">
        <v>58.042999999999999</v>
      </c>
      <c r="CH8" s="976">
        <v>58.563000000000002</v>
      </c>
      <c r="CI8" s="976">
        <v>58.851999999999997</v>
      </c>
      <c r="CJ8" s="976">
        <v>59.607999999999997</v>
      </c>
      <c r="CK8" s="976">
        <v>60.210999999999999</v>
      </c>
      <c r="CL8" s="976">
        <v>60.298999999999999</v>
      </c>
      <c r="CM8" s="976">
        <v>60.518999999999998</v>
      </c>
      <c r="CN8" s="976">
        <v>61.046999999999997</v>
      </c>
      <c r="CO8" s="976">
        <v>61.43</v>
      </c>
      <c r="CP8" s="976">
        <v>61.584000000000003</v>
      </c>
      <c r="CQ8" s="976">
        <v>61.854999999999997</v>
      </c>
      <c r="CR8" s="976">
        <v>62.302999999999997</v>
      </c>
      <c r="CS8" s="976">
        <v>62.860999999999997</v>
      </c>
      <c r="CT8" s="976">
        <v>63.15</v>
      </c>
      <c r="CU8" s="976">
        <v>63.679000000000002</v>
      </c>
      <c r="CV8" s="976">
        <v>64.045000000000002</v>
      </c>
      <c r="CW8" s="976">
        <v>64.570999999999998</v>
      </c>
      <c r="CX8" s="976">
        <v>65.114999999999995</v>
      </c>
      <c r="CY8" s="976">
        <v>65.549000000000007</v>
      </c>
      <c r="CZ8" s="976">
        <v>65.888000000000005</v>
      </c>
      <c r="DA8" s="976">
        <v>66.798000000000002</v>
      </c>
      <c r="DB8" s="976">
        <v>66.954999999999998</v>
      </c>
      <c r="DC8" s="976">
        <v>66.596000000000004</v>
      </c>
      <c r="DD8" s="976">
        <v>66.983000000000004</v>
      </c>
      <c r="DE8" s="976">
        <v>67.212000000000003</v>
      </c>
      <c r="DF8" s="976">
        <v>67.441999999999993</v>
      </c>
      <c r="DG8" s="976">
        <v>67.885000000000005</v>
      </c>
      <c r="DH8" s="976">
        <v>68.042000000000002</v>
      </c>
      <c r="DI8" s="976">
        <v>68.519000000000005</v>
      </c>
      <c r="DJ8" s="976">
        <v>68.231999999999999</v>
      </c>
      <c r="DK8" s="976">
        <v>68.671000000000006</v>
      </c>
      <c r="DL8" s="976">
        <v>69.119</v>
      </c>
      <c r="DM8" s="976">
        <v>69.340999999999994</v>
      </c>
      <c r="DN8" s="976">
        <v>69.546000000000006</v>
      </c>
      <c r="DO8" s="976">
        <v>70.128</v>
      </c>
      <c r="DP8" s="976">
        <v>70.765000000000001</v>
      </c>
      <c r="DQ8" s="976">
        <v>71.635999999999996</v>
      </c>
      <c r="DR8" s="976">
        <v>72.334000000000003</v>
      </c>
      <c r="DS8" s="976">
        <v>72.614000000000004</v>
      </c>
      <c r="DT8" s="976">
        <v>73.134</v>
      </c>
      <c r="DU8" s="976">
        <v>73.462999999999994</v>
      </c>
      <c r="DV8" s="976">
        <v>73.588999999999999</v>
      </c>
      <c r="DW8" s="976">
        <v>73.974999999999994</v>
      </c>
      <c r="DX8" s="976">
        <v>74.447999999999993</v>
      </c>
      <c r="DY8" s="976">
        <v>74.930000000000007</v>
      </c>
      <c r="DZ8" s="976">
        <v>75.414000000000001</v>
      </c>
      <c r="EA8" s="976">
        <v>76.126999999999995</v>
      </c>
      <c r="EB8" s="976">
        <v>76.78</v>
      </c>
      <c r="EC8" s="976">
        <v>78.203000000000003</v>
      </c>
      <c r="ED8" s="976">
        <v>79.075000000000003</v>
      </c>
      <c r="EE8" s="976">
        <v>79.637</v>
      </c>
      <c r="EF8" s="976">
        <v>80.358999999999995</v>
      </c>
      <c r="EG8" s="976">
        <v>80.960999999999999</v>
      </c>
      <c r="EH8" s="976">
        <v>81.650000000000006</v>
      </c>
      <c r="EI8" s="976">
        <v>82.358000000000004</v>
      </c>
      <c r="EJ8" s="976">
        <v>83.111999999999995</v>
      </c>
      <c r="EK8" s="976">
        <v>83.92</v>
      </c>
      <c r="EL8" s="976">
        <v>85.025999999999996</v>
      </c>
      <c r="EM8" s="976">
        <v>85.793000000000006</v>
      </c>
      <c r="EN8" s="976">
        <v>86.688000000000002</v>
      </c>
      <c r="EO8" s="976">
        <v>87.31</v>
      </c>
      <c r="EP8" s="976">
        <v>88.045000000000002</v>
      </c>
      <c r="EQ8" s="976">
        <v>88.656999999999996</v>
      </c>
      <c r="ER8" s="976">
        <v>89.314999999999998</v>
      </c>
      <c r="ES8" s="976">
        <v>89.78</v>
      </c>
      <c r="ET8" s="976">
        <v>90.549000000000007</v>
      </c>
      <c r="EU8" s="976">
        <v>91.272000000000006</v>
      </c>
      <c r="EV8" s="976">
        <v>91.899000000000001</v>
      </c>
      <c r="EW8" s="976">
        <v>92.635999999999996</v>
      </c>
      <c r="EX8" s="976">
        <v>93.415999999999997</v>
      </c>
      <c r="EY8" s="976">
        <v>94.373000000000005</v>
      </c>
      <c r="EZ8" s="976">
        <v>95.09</v>
      </c>
      <c r="FA8" s="976">
        <v>94.646000000000001</v>
      </c>
      <c r="FB8" s="976">
        <v>93.876000000000005</v>
      </c>
      <c r="FC8" s="976">
        <v>93.894999999999996</v>
      </c>
      <c r="FD8" s="976">
        <v>94.188000000000002</v>
      </c>
      <c r="FE8" s="976">
        <v>94.896000000000001</v>
      </c>
      <c r="FF8" s="976">
        <v>95.483999999999995</v>
      </c>
      <c r="FG8" s="976">
        <v>96.213999999999999</v>
      </c>
      <c r="FH8" s="976">
        <v>96.596999999999994</v>
      </c>
      <c r="FI8" s="976">
        <v>97.388999999999996</v>
      </c>
      <c r="FJ8" s="976">
        <v>98.266000000000005</v>
      </c>
      <c r="FK8" s="976">
        <v>99.155000000000001</v>
      </c>
      <c r="FL8" s="976">
        <v>99.498000000000005</v>
      </c>
      <c r="FM8" s="976">
        <v>99.363</v>
      </c>
      <c r="FN8" s="976">
        <v>99.704999999999998</v>
      </c>
      <c r="FO8" s="976">
        <v>99.927999999999997</v>
      </c>
      <c r="FP8" s="976">
        <v>100.122</v>
      </c>
      <c r="FQ8" s="976">
        <v>100.245</v>
      </c>
      <c r="FR8" s="976">
        <v>100.241</v>
      </c>
      <c r="FS8" s="976">
        <v>100.43600000000001</v>
      </c>
      <c r="FT8" s="976">
        <v>100.759</v>
      </c>
      <c r="FU8" s="976">
        <v>102.29</v>
      </c>
      <c r="FV8" s="976">
        <v>102.024</v>
      </c>
      <c r="FW8" s="976">
        <v>102.47199999999999</v>
      </c>
      <c r="FX8" s="976">
        <v>102.949</v>
      </c>
      <c r="FY8" s="976">
        <v>103.08499999999999</v>
      </c>
      <c r="FZ8" s="976">
        <v>102.922</v>
      </c>
      <c r="GA8" s="976">
        <v>103.122</v>
      </c>
      <c r="GB8" s="976">
        <v>103.277</v>
      </c>
      <c r="GC8" s="976">
        <v>103.19199999999999</v>
      </c>
      <c r="GD8" s="976">
        <v>102.914</v>
      </c>
      <c r="GE8" s="976">
        <v>103.505</v>
      </c>
      <c r="GF8" s="976">
        <v>103.95</v>
      </c>
      <c r="GG8" s="976">
        <v>104.47499999999999</v>
      </c>
      <c r="GH8" s="976">
        <v>105.072</v>
      </c>
      <c r="GI8" s="976">
        <v>105.46599999999999</v>
      </c>
      <c r="GJ8" s="976">
        <v>106.002</v>
      </c>
      <c r="GK8" s="976">
        <v>106.831</v>
      </c>
      <c r="GL8" s="976">
        <v>107.962</v>
      </c>
      <c r="GM8" s="976">
        <v>108.76300000000001</v>
      </c>
      <c r="GN8" s="976">
        <v>109.413</v>
      </c>
      <c r="GO8" s="976">
        <v>110.218</v>
      </c>
      <c r="GP8" s="976">
        <v>111.479</v>
      </c>
      <c r="GQ8" s="976">
        <v>110.761</v>
      </c>
      <c r="GR8" s="976">
        <v>110.92100000000001</v>
      </c>
      <c r="GS8" s="976">
        <v>111.28100000000001</v>
      </c>
      <c r="GT8" s="976">
        <v>111.205</v>
      </c>
      <c r="GU8" s="976">
        <v>110.901</v>
      </c>
      <c r="GV8" s="976">
        <v>111.373</v>
      </c>
      <c r="GW8" s="976">
        <v>112.102</v>
      </c>
      <c r="GX8" s="976">
        <v>113.16500000000001</v>
      </c>
    </row>
    <row r="9" spans="1:206">
      <c r="A9" s="976" t="s">
        <v>223</v>
      </c>
      <c r="B9" s="976">
        <v>13.706</v>
      </c>
      <c r="C9" s="976">
        <v>13.996</v>
      </c>
      <c r="D9" s="976">
        <v>14.249000000000001</v>
      </c>
      <c r="E9" s="976">
        <v>14.519</v>
      </c>
      <c r="F9" s="976">
        <v>14.849</v>
      </c>
      <c r="G9" s="976">
        <v>15.117000000000001</v>
      </c>
      <c r="H9" s="976">
        <v>15.33</v>
      </c>
      <c r="I9" s="976">
        <v>15.497999999999999</v>
      </c>
      <c r="J9" s="976">
        <v>15.843999999999999</v>
      </c>
      <c r="K9" s="976">
        <v>16.030999999999999</v>
      </c>
      <c r="L9" s="976">
        <v>16.274999999999999</v>
      </c>
      <c r="M9" s="976">
        <v>16.498999999999999</v>
      </c>
      <c r="N9" s="976">
        <v>16.824000000000002</v>
      </c>
      <c r="O9" s="976">
        <v>17.123000000000001</v>
      </c>
      <c r="P9" s="976">
        <v>17.353000000000002</v>
      </c>
      <c r="Q9" s="976">
        <v>17.681999999999999</v>
      </c>
      <c r="R9" s="976">
        <v>18.195</v>
      </c>
      <c r="S9" s="976">
        <v>18.827999999999999</v>
      </c>
      <c r="T9" s="976">
        <v>19.515000000000001</v>
      </c>
      <c r="U9" s="976">
        <v>20.088999999999999</v>
      </c>
      <c r="V9" s="976">
        <v>20.492999999999999</v>
      </c>
      <c r="W9" s="976">
        <v>20.899000000000001</v>
      </c>
      <c r="X9" s="976">
        <v>21.166</v>
      </c>
      <c r="Y9" s="976">
        <v>21.437000000000001</v>
      </c>
      <c r="Z9" s="976">
        <v>21.678999999999998</v>
      </c>
      <c r="AA9" s="976">
        <v>21.942</v>
      </c>
      <c r="AB9" s="976">
        <v>22.105</v>
      </c>
      <c r="AC9" s="976">
        <v>22.369</v>
      </c>
      <c r="AD9" s="976">
        <v>22.791</v>
      </c>
      <c r="AE9" s="976">
        <v>23.199000000000002</v>
      </c>
      <c r="AF9" s="976">
        <v>23.594000000000001</v>
      </c>
      <c r="AG9" s="976">
        <v>23.992000000000001</v>
      </c>
      <c r="AH9" s="976">
        <v>24.331</v>
      </c>
      <c r="AI9" s="976">
        <v>24.736999999999998</v>
      </c>
      <c r="AJ9" s="976">
        <v>25.114000000000001</v>
      </c>
      <c r="AK9" s="976">
        <v>25.474</v>
      </c>
      <c r="AL9" s="976">
        <v>26.08</v>
      </c>
      <c r="AM9" s="976">
        <v>26.675999999999998</v>
      </c>
      <c r="AN9" s="976">
        <v>27.581</v>
      </c>
      <c r="AO9" s="976">
        <v>28.119</v>
      </c>
      <c r="AP9" s="976">
        <v>28.850999999999999</v>
      </c>
      <c r="AQ9" s="976">
        <v>29.643999999999998</v>
      </c>
      <c r="AR9" s="976">
        <v>30.498999999999999</v>
      </c>
      <c r="AS9" s="976">
        <v>31.329000000000001</v>
      </c>
      <c r="AT9" s="976">
        <v>32.347000000000001</v>
      </c>
      <c r="AU9" s="976">
        <v>33.043999999999997</v>
      </c>
      <c r="AV9" s="976">
        <v>33.491999999999997</v>
      </c>
      <c r="AW9" s="976">
        <v>34.021999999999998</v>
      </c>
      <c r="AX9" s="976">
        <v>34.594000000000001</v>
      </c>
      <c r="AY9" s="976">
        <v>35.15</v>
      </c>
      <c r="AZ9" s="976">
        <v>35.703000000000003</v>
      </c>
      <c r="BA9" s="976">
        <v>36.155999999999999</v>
      </c>
      <c r="BB9" s="976">
        <v>36.415999999999997</v>
      </c>
      <c r="BC9" s="976">
        <v>36.814999999999998</v>
      </c>
      <c r="BD9" s="976">
        <v>37.170999999999999</v>
      </c>
      <c r="BE9" s="976">
        <v>37.454000000000001</v>
      </c>
      <c r="BF9" s="976">
        <v>37.997</v>
      </c>
      <c r="BG9" s="976">
        <v>38.359000000000002</v>
      </c>
      <c r="BH9" s="976">
        <v>38.716999999999999</v>
      </c>
      <c r="BI9" s="976">
        <v>39.100999999999999</v>
      </c>
      <c r="BJ9" s="976">
        <v>39.561999999999998</v>
      </c>
      <c r="BK9" s="976">
        <v>39.951999999999998</v>
      </c>
      <c r="BL9" s="976">
        <v>40.283000000000001</v>
      </c>
      <c r="BM9" s="976">
        <v>40.655999999999999</v>
      </c>
      <c r="BN9" s="976">
        <v>40.825000000000003</v>
      </c>
      <c r="BO9" s="976">
        <v>41.005000000000003</v>
      </c>
      <c r="BP9" s="976">
        <v>41.36</v>
      </c>
      <c r="BQ9" s="976">
        <v>41.886000000000003</v>
      </c>
      <c r="BR9" s="976">
        <v>42.484999999999999</v>
      </c>
      <c r="BS9" s="976">
        <v>43.003999999999998</v>
      </c>
      <c r="BT9" s="976">
        <v>43.518000000000001</v>
      </c>
      <c r="BU9" s="976">
        <v>43.777999999999999</v>
      </c>
      <c r="BV9" s="976">
        <v>44.003</v>
      </c>
      <c r="BW9" s="976">
        <v>44.432000000000002</v>
      </c>
      <c r="BX9" s="976">
        <v>44.805999999999997</v>
      </c>
      <c r="BY9" s="976">
        <v>45.319000000000003</v>
      </c>
      <c r="BZ9" s="976">
        <v>45.914999999999999</v>
      </c>
      <c r="CA9" s="976">
        <v>46.537999999999997</v>
      </c>
      <c r="CB9" s="976">
        <v>46.973999999999997</v>
      </c>
      <c r="CC9" s="976">
        <v>47.581000000000003</v>
      </c>
      <c r="CD9" s="976">
        <v>48.253999999999998</v>
      </c>
      <c r="CE9" s="976">
        <v>48.752000000000002</v>
      </c>
      <c r="CF9" s="976">
        <v>49.414999999999999</v>
      </c>
      <c r="CG9" s="976">
        <v>50.192999999999998</v>
      </c>
      <c r="CH9" s="976">
        <v>50.404000000000003</v>
      </c>
      <c r="CI9" s="976">
        <v>50.709000000000003</v>
      </c>
      <c r="CJ9" s="976">
        <v>51.125999999999998</v>
      </c>
      <c r="CK9" s="976">
        <v>51.572000000000003</v>
      </c>
      <c r="CL9" s="976">
        <v>51.94</v>
      </c>
      <c r="CM9" s="976">
        <v>52.56</v>
      </c>
      <c r="CN9" s="976">
        <v>52.948</v>
      </c>
      <c r="CO9" s="976">
        <v>53.308999999999997</v>
      </c>
      <c r="CP9" s="976">
        <v>53.62</v>
      </c>
      <c r="CQ9" s="976">
        <v>53.936</v>
      </c>
      <c r="CR9" s="976">
        <v>54.09</v>
      </c>
      <c r="CS9" s="976">
        <v>54.362000000000002</v>
      </c>
      <c r="CT9" s="976">
        <v>54.807000000000002</v>
      </c>
      <c r="CU9" s="976">
        <v>55.110999999999997</v>
      </c>
      <c r="CV9" s="976">
        <v>55.593000000000004</v>
      </c>
      <c r="CW9" s="976">
        <v>56.064999999999998</v>
      </c>
      <c r="CX9" s="976">
        <v>56.378</v>
      </c>
      <c r="CY9" s="976">
        <v>56.805999999999997</v>
      </c>
      <c r="CZ9" s="976">
        <v>57.04</v>
      </c>
      <c r="DA9" s="976">
        <v>57.258000000000003</v>
      </c>
      <c r="DB9" s="976">
        <v>57.83</v>
      </c>
      <c r="DC9" s="976">
        <v>57.908999999999999</v>
      </c>
      <c r="DD9" s="976">
        <v>58.274999999999999</v>
      </c>
      <c r="DE9" s="976">
        <v>58.692999999999998</v>
      </c>
      <c r="DF9" s="976">
        <v>59.082000000000001</v>
      </c>
      <c r="DG9" s="976">
        <v>59.273000000000003</v>
      </c>
      <c r="DH9" s="976">
        <v>59.530999999999999</v>
      </c>
      <c r="DI9" s="976">
        <v>59.997</v>
      </c>
      <c r="DJ9" s="976">
        <v>60.076999999999998</v>
      </c>
      <c r="DK9" s="976">
        <v>60.344000000000001</v>
      </c>
      <c r="DL9" s="976">
        <v>60.795999999999999</v>
      </c>
      <c r="DM9" s="976">
        <v>61.305</v>
      </c>
      <c r="DN9" s="976">
        <v>61.826999999999998</v>
      </c>
      <c r="DO9" s="976">
        <v>62.66</v>
      </c>
      <c r="DP9" s="976">
        <v>63.408999999999999</v>
      </c>
      <c r="DQ9" s="976">
        <v>64.135999999999996</v>
      </c>
      <c r="DR9" s="976">
        <v>64.965000000000003</v>
      </c>
      <c r="DS9" s="976">
        <v>65.649000000000001</v>
      </c>
      <c r="DT9" s="976">
        <v>66.346000000000004</v>
      </c>
      <c r="DU9" s="976">
        <v>67.17</v>
      </c>
      <c r="DV9" s="976">
        <v>67.957999999999998</v>
      </c>
      <c r="DW9" s="976">
        <v>68.221999999999994</v>
      </c>
      <c r="DX9" s="976">
        <v>68.403000000000006</v>
      </c>
      <c r="DY9" s="976">
        <v>68.542000000000002</v>
      </c>
      <c r="DZ9" s="976">
        <v>68.953999999999994</v>
      </c>
      <c r="EA9" s="976">
        <v>69.578999999999994</v>
      </c>
      <c r="EB9" s="976">
        <v>70.070999999999998</v>
      </c>
      <c r="EC9" s="976">
        <v>70.655000000000001</v>
      </c>
      <c r="ED9" s="976">
        <v>71.646000000000001</v>
      </c>
      <c r="EE9" s="976">
        <v>71.683000000000007</v>
      </c>
      <c r="EF9" s="976">
        <v>72.156000000000006</v>
      </c>
      <c r="EG9" s="976">
        <v>72.712999999999994</v>
      </c>
      <c r="EH9" s="976">
        <v>73.644000000000005</v>
      </c>
      <c r="EI9" s="976">
        <v>74.698999999999998</v>
      </c>
      <c r="EJ9" s="976">
        <v>75.912999999999997</v>
      </c>
      <c r="EK9" s="976">
        <v>77.22</v>
      </c>
      <c r="EL9" s="976">
        <v>77.909000000000006</v>
      </c>
      <c r="EM9" s="976">
        <v>78.900000000000006</v>
      </c>
      <c r="EN9" s="976">
        <v>80.16</v>
      </c>
      <c r="EO9" s="976">
        <v>81.466999999999999</v>
      </c>
      <c r="EP9" s="976">
        <v>82.046000000000006</v>
      </c>
      <c r="EQ9" s="976">
        <v>83.29</v>
      </c>
      <c r="ER9" s="976">
        <v>84.123999999999995</v>
      </c>
      <c r="ES9" s="976">
        <v>85.007999999999996</v>
      </c>
      <c r="ET9" s="976">
        <v>86.64</v>
      </c>
      <c r="EU9" s="976">
        <v>87.564999999999998</v>
      </c>
      <c r="EV9" s="976">
        <v>88.522999999999996</v>
      </c>
      <c r="EW9" s="976">
        <v>89.802999999999997</v>
      </c>
      <c r="EX9" s="976">
        <v>91.253</v>
      </c>
      <c r="EY9" s="976">
        <v>92.54</v>
      </c>
      <c r="EZ9" s="976">
        <v>93.766000000000005</v>
      </c>
      <c r="FA9" s="976">
        <v>92.673000000000002</v>
      </c>
      <c r="FB9" s="976">
        <v>91.481999999999999</v>
      </c>
      <c r="FC9" s="976">
        <v>91.694999999999993</v>
      </c>
      <c r="FD9" s="976">
        <v>92.165999999999997</v>
      </c>
      <c r="FE9" s="976">
        <v>92.85</v>
      </c>
      <c r="FF9" s="976">
        <v>93.766000000000005</v>
      </c>
      <c r="FG9" s="976">
        <v>94.382000000000005</v>
      </c>
      <c r="FH9" s="976">
        <v>94.872</v>
      </c>
      <c r="FI9" s="976">
        <v>95.658000000000001</v>
      </c>
      <c r="FJ9" s="976">
        <v>96.637</v>
      </c>
      <c r="FK9" s="976">
        <v>97.801000000000002</v>
      </c>
      <c r="FL9" s="976">
        <v>98.313999999999993</v>
      </c>
      <c r="FM9" s="976">
        <v>98.203999999999994</v>
      </c>
      <c r="FN9" s="976">
        <v>99.403000000000006</v>
      </c>
      <c r="FO9" s="976">
        <v>99.4</v>
      </c>
      <c r="FP9" s="976">
        <v>99.988</v>
      </c>
      <c r="FQ9" s="976">
        <v>101.21</v>
      </c>
      <c r="FR9" s="976">
        <v>102.318</v>
      </c>
      <c r="FS9" s="976">
        <v>102.861</v>
      </c>
      <c r="FT9" s="976">
        <v>103.676</v>
      </c>
      <c r="FU9" s="976">
        <v>104.26300000000001</v>
      </c>
      <c r="FV9" s="976">
        <v>105.08799999999999</v>
      </c>
      <c r="FW9" s="976">
        <v>105.449</v>
      </c>
      <c r="FX9" s="976">
        <v>106.04</v>
      </c>
      <c r="FY9" s="976">
        <v>106.003</v>
      </c>
      <c r="FZ9" s="976">
        <v>105.11199999999999</v>
      </c>
      <c r="GA9" s="976">
        <v>105.8</v>
      </c>
      <c r="GB9" s="976">
        <v>105.913</v>
      </c>
      <c r="GC9" s="976">
        <v>105.569</v>
      </c>
      <c r="GD9" s="976">
        <v>104.869</v>
      </c>
      <c r="GE9" s="976">
        <v>105.639</v>
      </c>
      <c r="GF9" s="976">
        <v>106.00700000000001</v>
      </c>
      <c r="GG9" s="976">
        <v>106.56399999999999</v>
      </c>
      <c r="GH9" s="976">
        <v>107.45399999999999</v>
      </c>
      <c r="GI9" s="976">
        <v>107.708</v>
      </c>
      <c r="GJ9" s="976">
        <v>108.661</v>
      </c>
      <c r="GK9" s="976">
        <v>109.97799999999999</v>
      </c>
      <c r="GL9" s="976">
        <v>111.19</v>
      </c>
      <c r="GM9" s="976">
        <v>112.36499999999999</v>
      </c>
      <c r="GN9" s="976">
        <v>113.398</v>
      </c>
      <c r="GO9" s="976">
        <v>114.148</v>
      </c>
      <c r="GP9" s="976">
        <v>113.914</v>
      </c>
      <c r="GQ9" s="976">
        <v>114.89</v>
      </c>
      <c r="GR9" s="976">
        <v>115.262</v>
      </c>
      <c r="GS9" s="976">
        <v>115.81100000000001</v>
      </c>
      <c r="GT9" s="976">
        <v>116.688</v>
      </c>
      <c r="GU9" s="976">
        <v>115.96899999999999</v>
      </c>
      <c r="GV9" s="976">
        <v>116.889</v>
      </c>
      <c r="GW9" s="976">
        <v>117.727</v>
      </c>
      <c r="GX9" s="976">
        <v>119.88500000000001</v>
      </c>
    </row>
    <row r="10" spans="1:206">
      <c r="A10" s="976" t="s">
        <v>224</v>
      </c>
      <c r="B10" s="976">
        <v>13.106</v>
      </c>
      <c r="C10" s="976">
        <v>13.367000000000001</v>
      </c>
      <c r="D10" s="976">
        <v>13.603</v>
      </c>
      <c r="E10" s="976">
        <v>13.832000000000001</v>
      </c>
      <c r="F10" s="976">
        <v>14.173</v>
      </c>
      <c r="G10" s="976">
        <v>14.438000000000001</v>
      </c>
      <c r="H10" s="976">
        <v>14.656000000000001</v>
      </c>
      <c r="I10" s="976">
        <v>14.789</v>
      </c>
      <c r="J10" s="976">
        <v>15.161</v>
      </c>
      <c r="K10" s="976">
        <v>15.36</v>
      </c>
      <c r="L10" s="976">
        <v>15.599</v>
      </c>
      <c r="M10" s="976">
        <v>15.792999999999999</v>
      </c>
      <c r="N10" s="976">
        <v>16.105</v>
      </c>
      <c r="O10" s="976">
        <v>16.376999999999999</v>
      </c>
      <c r="P10" s="976">
        <v>16.567</v>
      </c>
      <c r="Q10" s="976">
        <v>16.844999999999999</v>
      </c>
      <c r="R10" s="976">
        <v>17.254000000000001</v>
      </c>
      <c r="S10" s="976">
        <v>17.718</v>
      </c>
      <c r="T10" s="976">
        <v>18.225999999999999</v>
      </c>
      <c r="U10" s="976">
        <v>18.702999999999999</v>
      </c>
      <c r="V10" s="976">
        <v>19.077000000000002</v>
      </c>
      <c r="W10" s="976">
        <v>19.536000000000001</v>
      </c>
      <c r="X10" s="976">
        <v>19.837</v>
      </c>
      <c r="Y10" s="976">
        <v>20.126000000000001</v>
      </c>
      <c r="Z10" s="976">
        <v>20.388000000000002</v>
      </c>
      <c r="AA10" s="976">
        <v>20.654</v>
      </c>
      <c r="AB10" s="976">
        <v>20.834</v>
      </c>
      <c r="AC10" s="976">
        <v>21.11</v>
      </c>
      <c r="AD10" s="976">
        <v>21.538</v>
      </c>
      <c r="AE10" s="976">
        <v>21.966000000000001</v>
      </c>
      <c r="AF10" s="976">
        <v>22.359000000000002</v>
      </c>
      <c r="AG10" s="976">
        <v>22.768999999999998</v>
      </c>
      <c r="AH10" s="976">
        <v>23.1</v>
      </c>
      <c r="AI10" s="976">
        <v>23.471</v>
      </c>
      <c r="AJ10" s="976">
        <v>23.806000000000001</v>
      </c>
      <c r="AK10" s="976">
        <v>24.125</v>
      </c>
      <c r="AL10" s="976">
        <v>24.718</v>
      </c>
      <c r="AM10" s="976">
        <v>25.257000000000001</v>
      </c>
      <c r="AN10" s="976">
        <v>26.145</v>
      </c>
      <c r="AO10" s="976">
        <v>26.594000000000001</v>
      </c>
      <c r="AP10" s="976">
        <v>27.277999999999999</v>
      </c>
      <c r="AQ10" s="976">
        <v>28.018000000000001</v>
      </c>
      <c r="AR10" s="976">
        <v>28.797000000000001</v>
      </c>
      <c r="AS10" s="976">
        <v>29.562999999999999</v>
      </c>
      <c r="AT10" s="976">
        <v>30.553999999999998</v>
      </c>
      <c r="AU10" s="976">
        <v>31.193000000000001</v>
      </c>
      <c r="AV10" s="976">
        <v>31.565000000000001</v>
      </c>
      <c r="AW10" s="976">
        <v>32.049999999999997</v>
      </c>
      <c r="AX10" s="976">
        <v>32.612000000000002</v>
      </c>
      <c r="AY10" s="976">
        <v>33.131</v>
      </c>
      <c r="AZ10" s="976">
        <v>33.682000000000002</v>
      </c>
      <c r="BA10" s="976">
        <v>34.188000000000002</v>
      </c>
      <c r="BB10" s="976">
        <v>34.481000000000002</v>
      </c>
      <c r="BC10" s="976">
        <v>34.951999999999998</v>
      </c>
      <c r="BD10" s="976">
        <v>35.36</v>
      </c>
      <c r="BE10" s="976">
        <v>35.692</v>
      </c>
      <c r="BF10" s="976">
        <v>36.317</v>
      </c>
      <c r="BG10" s="976">
        <v>36.713000000000001</v>
      </c>
      <c r="BH10" s="976">
        <v>37.107999999999997</v>
      </c>
      <c r="BI10" s="976">
        <v>37.545000000000002</v>
      </c>
      <c r="BJ10" s="976">
        <v>38.040999999999997</v>
      </c>
      <c r="BK10" s="976">
        <v>38.475999999999999</v>
      </c>
      <c r="BL10" s="976">
        <v>38.834000000000003</v>
      </c>
      <c r="BM10" s="976">
        <v>39.223999999999997</v>
      </c>
      <c r="BN10" s="976">
        <v>39.368000000000002</v>
      </c>
      <c r="BO10" s="976">
        <v>39.485999999999997</v>
      </c>
      <c r="BP10" s="976">
        <v>39.823999999999998</v>
      </c>
      <c r="BQ10" s="976">
        <v>40.348999999999997</v>
      </c>
      <c r="BR10" s="976">
        <v>41.003</v>
      </c>
      <c r="BS10" s="976">
        <v>41.542000000000002</v>
      </c>
      <c r="BT10" s="976">
        <v>42.069000000000003</v>
      </c>
      <c r="BU10" s="976">
        <v>42.326000000000001</v>
      </c>
      <c r="BV10" s="976">
        <v>42.514000000000003</v>
      </c>
      <c r="BW10" s="976">
        <v>42.972000000000001</v>
      </c>
      <c r="BX10" s="976">
        <v>43.353999999999999</v>
      </c>
      <c r="BY10" s="976">
        <v>43.915999999999997</v>
      </c>
      <c r="BZ10" s="976">
        <v>44.582000000000001</v>
      </c>
      <c r="CA10" s="976">
        <v>45.244999999999997</v>
      </c>
      <c r="CB10" s="976">
        <v>45.69</v>
      </c>
      <c r="CC10" s="976">
        <v>46.360999999999997</v>
      </c>
      <c r="CD10" s="976">
        <v>47.095999999999997</v>
      </c>
      <c r="CE10" s="976">
        <v>47.597999999999999</v>
      </c>
      <c r="CF10" s="976">
        <v>48.290999999999997</v>
      </c>
      <c r="CG10" s="976">
        <v>49.204999999999998</v>
      </c>
      <c r="CH10" s="976">
        <v>49.439</v>
      </c>
      <c r="CI10" s="976">
        <v>49.749000000000002</v>
      </c>
      <c r="CJ10" s="976">
        <v>50.222999999999999</v>
      </c>
      <c r="CK10" s="976">
        <v>50.795000000000002</v>
      </c>
      <c r="CL10" s="976">
        <v>51.274000000000001</v>
      </c>
      <c r="CM10" s="976">
        <v>51.972000000000001</v>
      </c>
      <c r="CN10" s="976">
        <v>52.415999999999997</v>
      </c>
      <c r="CO10" s="976">
        <v>52.8</v>
      </c>
      <c r="CP10" s="976">
        <v>53.088000000000001</v>
      </c>
      <c r="CQ10" s="976">
        <v>53.402000000000001</v>
      </c>
      <c r="CR10" s="976">
        <v>53.576000000000001</v>
      </c>
      <c r="CS10" s="976">
        <v>53.85</v>
      </c>
      <c r="CT10" s="976">
        <v>54.301000000000002</v>
      </c>
      <c r="CU10" s="976">
        <v>54.616999999999997</v>
      </c>
      <c r="CV10" s="976">
        <v>55.094999999999999</v>
      </c>
      <c r="CW10" s="976">
        <v>55.564999999999998</v>
      </c>
      <c r="CX10" s="976">
        <v>55.820999999999998</v>
      </c>
      <c r="CY10" s="976">
        <v>56.250999999999998</v>
      </c>
      <c r="CZ10" s="976">
        <v>56.463999999999999</v>
      </c>
      <c r="DA10" s="976">
        <v>56.655999999999999</v>
      </c>
      <c r="DB10" s="976">
        <v>57.280999999999999</v>
      </c>
      <c r="DC10" s="976">
        <v>57.362000000000002</v>
      </c>
      <c r="DD10" s="976">
        <v>57.741999999999997</v>
      </c>
      <c r="DE10" s="976">
        <v>58.21</v>
      </c>
      <c r="DF10" s="976">
        <v>58.609000000000002</v>
      </c>
      <c r="DG10" s="976">
        <v>58.749000000000002</v>
      </c>
      <c r="DH10" s="976">
        <v>59.03</v>
      </c>
      <c r="DI10" s="976">
        <v>59.512</v>
      </c>
      <c r="DJ10" s="976">
        <v>59.604999999999997</v>
      </c>
      <c r="DK10" s="976">
        <v>59.923000000000002</v>
      </c>
      <c r="DL10" s="976">
        <v>60.390999999999998</v>
      </c>
      <c r="DM10" s="976">
        <v>60.936</v>
      </c>
      <c r="DN10" s="976">
        <v>61.521000000000001</v>
      </c>
      <c r="DO10" s="976">
        <v>62.438000000000002</v>
      </c>
      <c r="DP10" s="976">
        <v>63.3</v>
      </c>
      <c r="DQ10" s="976">
        <v>64.069000000000003</v>
      </c>
      <c r="DR10" s="976">
        <v>64.975999999999999</v>
      </c>
      <c r="DS10" s="976">
        <v>65.647000000000006</v>
      </c>
      <c r="DT10" s="976">
        <v>66.408000000000001</v>
      </c>
      <c r="DU10" s="976">
        <v>67.337000000000003</v>
      </c>
      <c r="DV10" s="976">
        <v>68.218000000000004</v>
      </c>
      <c r="DW10" s="976">
        <v>68.504999999999995</v>
      </c>
      <c r="DX10" s="976">
        <v>68.679000000000002</v>
      </c>
      <c r="DY10" s="976">
        <v>68.763000000000005</v>
      </c>
      <c r="DZ10" s="976">
        <v>69.203000000000003</v>
      </c>
      <c r="EA10" s="976">
        <v>69.891000000000005</v>
      </c>
      <c r="EB10" s="976">
        <v>70.453000000000003</v>
      </c>
      <c r="EC10" s="976">
        <v>71.150999999999996</v>
      </c>
      <c r="ED10" s="976">
        <v>72.248999999999995</v>
      </c>
      <c r="EE10" s="976">
        <v>72.278000000000006</v>
      </c>
      <c r="EF10" s="976">
        <v>72.847999999999999</v>
      </c>
      <c r="EG10" s="976">
        <v>73.497</v>
      </c>
      <c r="EH10" s="976">
        <v>74.548000000000002</v>
      </c>
      <c r="EI10" s="976">
        <v>75.543000000000006</v>
      </c>
      <c r="EJ10" s="976">
        <v>76.58</v>
      </c>
      <c r="EK10" s="976">
        <v>77.775999999999996</v>
      </c>
      <c r="EL10" s="976">
        <v>78.478999999999999</v>
      </c>
      <c r="EM10" s="976">
        <v>79.364000000000004</v>
      </c>
      <c r="EN10" s="976">
        <v>80.515000000000001</v>
      </c>
      <c r="EO10" s="976">
        <v>81.873000000000005</v>
      </c>
      <c r="EP10" s="976">
        <v>82.474000000000004</v>
      </c>
      <c r="EQ10" s="976">
        <v>83.587000000000003</v>
      </c>
      <c r="ER10" s="976">
        <v>84.346000000000004</v>
      </c>
      <c r="ES10" s="976">
        <v>84.971999999999994</v>
      </c>
      <c r="ET10" s="976">
        <v>86.478999999999999</v>
      </c>
      <c r="EU10" s="976">
        <v>87.406000000000006</v>
      </c>
      <c r="EV10" s="976">
        <v>88.388999999999996</v>
      </c>
      <c r="EW10" s="976">
        <v>89.722999999999999</v>
      </c>
      <c r="EX10" s="976">
        <v>91.317999999999998</v>
      </c>
      <c r="EY10" s="976">
        <v>92.748000000000005</v>
      </c>
      <c r="EZ10" s="976">
        <v>93.984999999999999</v>
      </c>
      <c r="FA10" s="976">
        <v>92.22</v>
      </c>
      <c r="FB10" s="976">
        <v>90.61</v>
      </c>
      <c r="FC10" s="976">
        <v>91.072000000000003</v>
      </c>
      <c r="FD10" s="976">
        <v>91.855999999999995</v>
      </c>
      <c r="FE10" s="976">
        <v>92.715999999999994</v>
      </c>
      <c r="FF10" s="976">
        <v>93.781000000000006</v>
      </c>
      <c r="FG10" s="976">
        <v>94.444000000000003</v>
      </c>
      <c r="FH10" s="976">
        <v>94.978999999999999</v>
      </c>
      <c r="FI10" s="976">
        <v>95.847999999999999</v>
      </c>
      <c r="FJ10" s="976">
        <v>96.92</v>
      </c>
      <c r="FK10" s="976">
        <v>98.129000000000005</v>
      </c>
      <c r="FL10" s="976">
        <v>98.510999999999996</v>
      </c>
      <c r="FM10" s="976">
        <v>98.167000000000002</v>
      </c>
      <c r="FN10" s="976">
        <v>99.471999999999994</v>
      </c>
      <c r="FO10" s="976">
        <v>99.293999999999997</v>
      </c>
      <c r="FP10" s="976">
        <v>99.894000000000005</v>
      </c>
      <c r="FQ10" s="976">
        <v>101.339</v>
      </c>
      <c r="FR10" s="976">
        <v>102.598</v>
      </c>
      <c r="FS10" s="976">
        <v>103.14700000000001</v>
      </c>
      <c r="FT10" s="976">
        <v>104.02</v>
      </c>
      <c r="FU10" s="976">
        <v>104.568</v>
      </c>
      <c r="FV10" s="976">
        <v>105.446</v>
      </c>
      <c r="FW10" s="976">
        <v>105.783</v>
      </c>
      <c r="FX10" s="976">
        <v>106.393</v>
      </c>
      <c r="FY10" s="976">
        <v>106.30800000000001</v>
      </c>
      <c r="FZ10" s="976">
        <v>105.232</v>
      </c>
      <c r="GA10" s="976">
        <v>105.97</v>
      </c>
      <c r="GB10" s="976">
        <v>106.042</v>
      </c>
      <c r="GC10" s="976">
        <v>105.636</v>
      </c>
      <c r="GD10" s="976">
        <v>104.845</v>
      </c>
      <c r="GE10" s="976">
        <v>105.589</v>
      </c>
      <c r="GF10" s="976">
        <v>106.02</v>
      </c>
      <c r="GG10" s="976">
        <v>106.595</v>
      </c>
      <c r="GH10" s="976">
        <v>107.517</v>
      </c>
      <c r="GI10" s="976">
        <v>107.702</v>
      </c>
      <c r="GJ10" s="976">
        <v>108.64700000000001</v>
      </c>
      <c r="GK10" s="976">
        <v>110.13200000000001</v>
      </c>
      <c r="GL10" s="976">
        <v>111.383</v>
      </c>
      <c r="GM10" s="976">
        <v>112.48099999999999</v>
      </c>
      <c r="GN10" s="976">
        <v>113.54900000000001</v>
      </c>
      <c r="GO10" s="976">
        <v>114.206</v>
      </c>
      <c r="GP10" s="976">
        <v>113.80800000000001</v>
      </c>
      <c r="GQ10" s="976">
        <v>114.687</v>
      </c>
      <c r="GR10" s="976">
        <v>115.00700000000001</v>
      </c>
      <c r="GS10" s="976">
        <v>115.65</v>
      </c>
      <c r="GT10" s="976">
        <v>116.628</v>
      </c>
      <c r="GU10" s="976">
        <v>115.81100000000001</v>
      </c>
      <c r="GV10" s="976">
        <v>116.685</v>
      </c>
      <c r="GW10" s="976">
        <v>117.64700000000001</v>
      </c>
      <c r="GX10" s="976">
        <v>119.911</v>
      </c>
    </row>
    <row r="11" spans="1:206">
      <c r="A11" s="976" t="s">
        <v>225</v>
      </c>
      <c r="B11" s="976">
        <v>16.824999999999999</v>
      </c>
      <c r="C11" s="976">
        <v>17.248000000000001</v>
      </c>
      <c r="D11" s="976">
        <v>17.582000000000001</v>
      </c>
      <c r="E11" s="976">
        <v>18.027999999999999</v>
      </c>
      <c r="F11" s="976">
        <v>18.332000000000001</v>
      </c>
      <c r="G11" s="976">
        <v>18.625</v>
      </c>
      <c r="H11" s="976">
        <v>18.827999999999999</v>
      </c>
      <c r="I11" s="976">
        <v>19.152999999999999</v>
      </c>
      <c r="J11" s="976">
        <v>19.398</v>
      </c>
      <c r="K11" s="976">
        <v>19.533999999999999</v>
      </c>
      <c r="L11" s="976">
        <v>19.805</v>
      </c>
      <c r="M11" s="976">
        <v>20.175000000000001</v>
      </c>
      <c r="N11" s="976">
        <v>20.564</v>
      </c>
      <c r="O11" s="976">
        <v>20.997</v>
      </c>
      <c r="P11" s="976">
        <v>21.425000000000001</v>
      </c>
      <c r="Q11" s="976">
        <v>22</v>
      </c>
      <c r="R11" s="976">
        <v>23.02</v>
      </c>
      <c r="S11" s="976">
        <v>24.466999999999999</v>
      </c>
      <c r="T11" s="976">
        <v>26.030999999999999</v>
      </c>
      <c r="U11" s="976">
        <v>27.113</v>
      </c>
      <c r="V11" s="976">
        <v>27.689</v>
      </c>
      <c r="W11" s="976">
        <v>27.826000000000001</v>
      </c>
      <c r="X11" s="976">
        <v>27.914000000000001</v>
      </c>
      <c r="Y11" s="976">
        <v>28.084</v>
      </c>
      <c r="Z11" s="976">
        <v>28.222000000000001</v>
      </c>
      <c r="AA11" s="976">
        <v>28.463999999999999</v>
      </c>
      <c r="AB11" s="976">
        <v>28.526</v>
      </c>
      <c r="AC11" s="976">
        <v>28.72</v>
      </c>
      <c r="AD11" s="976">
        <v>29.091999999999999</v>
      </c>
      <c r="AE11" s="976">
        <v>29.379000000000001</v>
      </c>
      <c r="AF11" s="976">
        <v>29.774000000000001</v>
      </c>
      <c r="AG11" s="976">
        <v>30.091999999999999</v>
      </c>
      <c r="AH11" s="976">
        <v>30.465</v>
      </c>
      <c r="AI11" s="976">
        <v>31.064</v>
      </c>
      <c r="AJ11" s="976">
        <v>31.658000000000001</v>
      </c>
      <c r="AK11" s="976">
        <v>32.223999999999997</v>
      </c>
      <c r="AL11" s="976">
        <v>32.889000000000003</v>
      </c>
      <c r="AM11" s="976">
        <v>33.781999999999996</v>
      </c>
      <c r="AN11" s="976">
        <v>34.768000000000001</v>
      </c>
      <c r="AO11" s="976">
        <v>35.753999999999998</v>
      </c>
      <c r="AP11" s="976">
        <v>36.731000000000002</v>
      </c>
      <c r="AQ11" s="976">
        <v>37.784999999999997</v>
      </c>
      <c r="AR11" s="976">
        <v>39.027000000000001</v>
      </c>
      <c r="AS11" s="976">
        <v>40.182000000000002</v>
      </c>
      <c r="AT11" s="976">
        <v>41.32</v>
      </c>
      <c r="AU11" s="976">
        <v>42.308</v>
      </c>
      <c r="AV11" s="976">
        <v>43.174999999999997</v>
      </c>
      <c r="AW11" s="976">
        <v>43.944000000000003</v>
      </c>
      <c r="AX11" s="976">
        <v>44.56</v>
      </c>
      <c r="AY11" s="976">
        <v>45.305</v>
      </c>
      <c r="AZ11" s="976">
        <v>45.84</v>
      </c>
      <c r="BA11" s="976">
        <v>45.956000000000003</v>
      </c>
      <c r="BB11" s="976">
        <v>45.999000000000002</v>
      </c>
      <c r="BC11" s="976">
        <v>45.936999999999998</v>
      </c>
      <c r="BD11" s="976">
        <v>45.963000000000001</v>
      </c>
      <c r="BE11" s="976">
        <v>45.95</v>
      </c>
      <c r="BF11" s="976">
        <v>46</v>
      </c>
      <c r="BG11" s="976">
        <v>46.162999999999997</v>
      </c>
      <c r="BH11" s="976">
        <v>46.311999999999998</v>
      </c>
      <c r="BI11" s="976">
        <v>46.405999999999999</v>
      </c>
      <c r="BJ11" s="976">
        <v>46.664000000000001</v>
      </c>
      <c r="BK11" s="976">
        <v>46.808</v>
      </c>
      <c r="BL11" s="976">
        <v>47</v>
      </c>
      <c r="BM11" s="976">
        <v>47.28</v>
      </c>
      <c r="BN11" s="976">
        <v>47.573999999999998</v>
      </c>
      <c r="BO11" s="976">
        <v>48.063000000000002</v>
      </c>
      <c r="BP11" s="976">
        <v>48.500999999999998</v>
      </c>
      <c r="BQ11" s="976">
        <v>49.026000000000003</v>
      </c>
      <c r="BR11" s="976">
        <v>49.34</v>
      </c>
      <c r="BS11" s="976">
        <v>49.755000000000003</v>
      </c>
      <c r="BT11" s="976">
        <v>50.198</v>
      </c>
      <c r="BU11" s="976">
        <v>50.463999999999999</v>
      </c>
      <c r="BV11" s="976">
        <v>50.87</v>
      </c>
      <c r="BW11" s="976">
        <v>51.151000000000003</v>
      </c>
      <c r="BX11" s="976">
        <v>51.481000000000002</v>
      </c>
      <c r="BY11" s="976">
        <v>51.753</v>
      </c>
      <c r="BZ11" s="976">
        <v>52.003</v>
      </c>
      <c r="CA11" s="976">
        <v>52.424999999999997</v>
      </c>
      <c r="CB11" s="976">
        <v>52.814</v>
      </c>
      <c r="CC11" s="976">
        <v>53.104999999999997</v>
      </c>
      <c r="CD11" s="976">
        <v>53.487000000000002</v>
      </c>
      <c r="CE11" s="976">
        <v>53.959000000000003</v>
      </c>
      <c r="CF11" s="976">
        <v>54.482999999999997</v>
      </c>
      <c r="CG11" s="976">
        <v>54.628</v>
      </c>
      <c r="CH11" s="976">
        <v>54.735999999999997</v>
      </c>
      <c r="CI11" s="976">
        <v>55.018000000000001</v>
      </c>
      <c r="CJ11" s="976">
        <v>55.164000000000001</v>
      </c>
      <c r="CK11" s="976">
        <v>55.026000000000003</v>
      </c>
      <c r="CL11" s="976">
        <v>54.881999999999998</v>
      </c>
      <c r="CM11" s="976">
        <v>55.142000000000003</v>
      </c>
      <c r="CN11" s="976">
        <v>55.253999999999998</v>
      </c>
      <c r="CO11" s="976">
        <v>55.506</v>
      </c>
      <c r="CP11" s="976">
        <v>55.918999999999997</v>
      </c>
      <c r="CQ11" s="976">
        <v>56.244999999999997</v>
      </c>
      <c r="CR11" s="976">
        <v>56.302</v>
      </c>
      <c r="CS11" s="976">
        <v>56.564999999999998</v>
      </c>
      <c r="CT11" s="976">
        <v>56.978000000000002</v>
      </c>
      <c r="CU11" s="976">
        <v>57.225000000000001</v>
      </c>
      <c r="CV11" s="976">
        <v>57.725999999999999</v>
      </c>
      <c r="CW11" s="976">
        <v>58.207000000000001</v>
      </c>
      <c r="CX11" s="976">
        <v>58.787999999999997</v>
      </c>
      <c r="CY11" s="976">
        <v>59.207999999999998</v>
      </c>
      <c r="CZ11" s="976">
        <v>59.534999999999997</v>
      </c>
      <c r="DA11" s="976">
        <v>59.878</v>
      </c>
      <c r="DB11" s="976">
        <v>60.198999999999998</v>
      </c>
      <c r="DC11" s="976">
        <v>60.265999999999998</v>
      </c>
      <c r="DD11" s="976">
        <v>60.564999999999998</v>
      </c>
      <c r="DE11" s="976">
        <v>60.761000000000003</v>
      </c>
      <c r="DF11" s="976">
        <v>61.103999999999999</v>
      </c>
      <c r="DG11" s="976">
        <v>61.521000000000001</v>
      </c>
      <c r="DH11" s="976">
        <v>61.677</v>
      </c>
      <c r="DI11" s="976">
        <v>62.073999999999998</v>
      </c>
      <c r="DJ11" s="976">
        <v>62.094999999999999</v>
      </c>
      <c r="DK11" s="976">
        <v>62.134</v>
      </c>
      <c r="DL11" s="976">
        <v>62.517000000000003</v>
      </c>
      <c r="DM11" s="976">
        <v>62.87</v>
      </c>
      <c r="DN11" s="976">
        <v>63.122</v>
      </c>
      <c r="DO11" s="976">
        <v>63.59</v>
      </c>
      <c r="DP11" s="976">
        <v>63.857999999999997</v>
      </c>
      <c r="DQ11" s="976">
        <v>64.402000000000001</v>
      </c>
      <c r="DR11" s="976">
        <v>64.912000000000006</v>
      </c>
      <c r="DS11" s="976">
        <v>65.650999999999996</v>
      </c>
      <c r="DT11" s="976">
        <v>66.081000000000003</v>
      </c>
      <c r="DU11" s="976">
        <v>66.47</v>
      </c>
      <c r="DV11" s="976">
        <v>66.88</v>
      </c>
      <c r="DW11" s="976">
        <v>67.052000000000007</v>
      </c>
      <c r="DX11" s="976">
        <v>67.262</v>
      </c>
      <c r="DY11" s="976">
        <v>67.623000000000005</v>
      </c>
      <c r="DZ11" s="976">
        <v>67.921000000000006</v>
      </c>
      <c r="EA11" s="976">
        <v>68.290000000000006</v>
      </c>
      <c r="EB11" s="976">
        <v>68.5</v>
      </c>
      <c r="EC11" s="976">
        <v>68.617999999999995</v>
      </c>
      <c r="ED11" s="976">
        <v>69.186999999999998</v>
      </c>
      <c r="EE11" s="976">
        <v>69.259</v>
      </c>
      <c r="EF11" s="976">
        <v>69.346999999999994</v>
      </c>
      <c r="EG11" s="976">
        <v>69.539000000000001</v>
      </c>
      <c r="EH11" s="976">
        <v>69.992000000000004</v>
      </c>
      <c r="EI11" s="976">
        <v>71.278000000000006</v>
      </c>
      <c r="EJ11" s="976">
        <v>73.197000000000003</v>
      </c>
      <c r="EK11" s="976">
        <v>74.954999999999998</v>
      </c>
      <c r="EL11" s="976">
        <v>75.587999999999994</v>
      </c>
      <c r="EM11" s="976">
        <v>77.010000000000005</v>
      </c>
      <c r="EN11" s="976">
        <v>78.724999999999994</v>
      </c>
      <c r="EO11" s="976">
        <v>79.822999999999993</v>
      </c>
      <c r="EP11" s="976">
        <v>80.319000000000003</v>
      </c>
      <c r="EQ11" s="976">
        <v>82.088999999999999</v>
      </c>
      <c r="ER11" s="976">
        <v>83.231999999999999</v>
      </c>
      <c r="ES11" s="976">
        <v>85.185000000000002</v>
      </c>
      <c r="ET11" s="976">
        <v>87.334000000000003</v>
      </c>
      <c r="EU11" s="976">
        <v>88.247</v>
      </c>
      <c r="EV11" s="976">
        <v>89.096999999999994</v>
      </c>
      <c r="EW11" s="976">
        <v>90.144999999999996</v>
      </c>
      <c r="EX11" s="976">
        <v>90.998999999999995</v>
      </c>
      <c r="EY11" s="976">
        <v>91.698999999999998</v>
      </c>
      <c r="EZ11" s="976">
        <v>92.884</v>
      </c>
      <c r="FA11" s="976">
        <v>94.585999999999999</v>
      </c>
      <c r="FB11" s="976">
        <v>95.176000000000002</v>
      </c>
      <c r="FC11" s="976">
        <v>94.34</v>
      </c>
      <c r="FD11" s="976">
        <v>93.49</v>
      </c>
      <c r="FE11" s="976">
        <v>93.418000000000006</v>
      </c>
      <c r="FF11" s="976">
        <v>93.683000000000007</v>
      </c>
      <c r="FG11" s="976">
        <v>94.09</v>
      </c>
      <c r="FH11" s="976">
        <v>94.385999999999996</v>
      </c>
      <c r="FI11" s="976">
        <v>94.81</v>
      </c>
      <c r="FJ11" s="976">
        <v>95.382999999999996</v>
      </c>
      <c r="FK11" s="976">
        <v>96.346999999999994</v>
      </c>
      <c r="FL11" s="976">
        <v>97.436000000000007</v>
      </c>
      <c r="FM11" s="976">
        <v>98.352000000000004</v>
      </c>
      <c r="FN11" s="976">
        <v>99.088999999999999</v>
      </c>
      <c r="FO11" s="976">
        <v>99.879000000000005</v>
      </c>
      <c r="FP11" s="976">
        <v>100.417</v>
      </c>
      <c r="FQ11" s="976">
        <v>100.61499999999999</v>
      </c>
      <c r="FR11" s="976">
        <v>101.023</v>
      </c>
      <c r="FS11" s="976">
        <v>101.538</v>
      </c>
      <c r="FT11" s="976">
        <v>102.08499999999999</v>
      </c>
      <c r="FU11" s="976">
        <v>102.85599999999999</v>
      </c>
      <c r="FV11" s="976">
        <v>103.435</v>
      </c>
      <c r="FW11" s="976">
        <v>103.907</v>
      </c>
      <c r="FX11" s="976">
        <v>104.40900000000001</v>
      </c>
      <c r="FY11" s="976">
        <v>104.593</v>
      </c>
      <c r="FZ11" s="976">
        <v>104.562</v>
      </c>
      <c r="GA11" s="976">
        <v>105.021</v>
      </c>
      <c r="GB11" s="976">
        <v>105.319</v>
      </c>
      <c r="GC11" s="976">
        <v>105.261</v>
      </c>
      <c r="GD11" s="976">
        <v>104.98</v>
      </c>
      <c r="GE11" s="976">
        <v>105.874</v>
      </c>
      <c r="GF11" s="976">
        <v>105.94799999999999</v>
      </c>
      <c r="GG11" s="976">
        <v>106.426</v>
      </c>
      <c r="GH11" s="976">
        <v>107.17</v>
      </c>
      <c r="GI11" s="976">
        <v>107.736</v>
      </c>
      <c r="GJ11" s="976">
        <v>108.72799999999999</v>
      </c>
      <c r="GK11" s="976">
        <v>109.28700000000001</v>
      </c>
      <c r="GL11" s="976">
        <v>110.321</v>
      </c>
      <c r="GM11" s="976">
        <v>111.843</v>
      </c>
      <c r="GN11" s="976">
        <v>112.72</v>
      </c>
      <c r="GO11" s="976">
        <v>113.88200000000001</v>
      </c>
      <c r="GP11" s="976">
        <v>114.389</v>
      </c>
      <c r="GQ11" s="976">
        <v>115.79300000000001</v>
      </c>
      <c r="GR11" s="976">
        <v>116.39100000000001</v>
      </c>
      <c r="GS11" s="976">
        <v>116.521</v>
      </c>
      <c r="GT11" s="976">
        <v>116.961</v>
      </c>
      <c r="GU11" s="976">
        <v>116.655</v>
      </c>
      <c r="GV11" s="976">
        <v>117.77500000000001</v>
      </c>
      <c r="GW11" s="976">
        <v>118.093</v>
      </c>
      <c r="GX11" s="976">
        <v>119.809</v>
      </c>
    </row>
    <row r="12" spans="1:206">
      <c r="A12" s="976" t="s">
        <v>226</v>
      </c>
      <c r="B12" s="976">
        <v>7</v>
      </c>
      <c r="C12" s="976">
        <v>7.2</v>
      </c>
      <c r="D12" s="976">
        <v>7.3</v>
      </c>
      <c r="E12" s="976">
        <v>7.5</v>
      </c>
      <c r="F12" s="976">
        <v>7.8</v>
      </c>
      <c r="G12" s="976">
        <v>8</v>
      </c>
      <c r="H12" s="976">
        <v>8.1</v>
      </c>
      <c r="I12" s="976">
        <v>8.3000000000000007</v>
      </c>
      <c r="J12" s="976">
        <v>8.5</v>
      </c>
      <c r="K12" s="976">
        <v>8.6999999999999993</v>
      </c>
      <c r="L12" s="976">
        <v>8.9</v>
      </c>
      <c r="M12" s="976">
        <v>9.1999999999999993</v>
      </c>
      <c r="N12" s="976">
        <v>9.5</v>
      </c>
      <c r="O12" s="976">
        <v>10</v>
      </c>
      <c r="P12" s="976">
        <v>10.5</v>
      </c>
      <c r="Q12" s="976">
        <v>11</v>
      </c>
      <c r="R12" s="976">
        <v>11.7</v>
      </c>
      <c r="S12" s="976">
        <v>12.4</v>
      </c>
      <c r="T12" s="976">
        <v>13.1</v>
      </c>
      <c r="U12" s="976">
        <v>13.8</v>
      </c>
      <c r="V12" s="976">
        <v>14.5</v>
      </c>
      <c r="W12" s="976">
        <v>15.2</v>
      </c>
      <c r="X12" s="976">
        <v>16</v>
      </c>
      <c r="Y12" s="976">
        <v>16.8</v>
      </c>
      <c r="Z12" s="976">
        <v>17.600000000000001</v>
      </c>
      <c r="AA12" s="976">
        <v>18.399999999999999</v>
      </c>
      <c r="AB12" s="976">
        <v>19.2</v>
      </c>
      <c r="AC12" s="976">
        <v>20</v>
      </c>
      <c r="AD12" s="976">
        <v>20.9</v>
      </c>
      <c r="AE12" s="976">
        <v>21.7</v>
      </c>
      <c r="AF12" s="976">
        <v>22.5</v>
      </c>
      <c r="AG12" s="976">
        <v>23.3</v>
      </c>
      <c r="AH12" s="976">
        <v>24.2</v>
      </c>
      <c r="AI12" s="976">
        <v>25</v>
      </c>
      <c r="AJ12" s="976">
        <v>26</v>
      </c>
      <c r="AK12" s="976">
        <v>27</v>
      </c>
      <c r="AL12" s="976">
        <v>28</v>
      </c>
      <c r="AM12" s="976">
        <v>29.2</v>
      </c>
      <c r="AN12" s="976">
        <v>30.5</v>
      </c>
      <c r="AO12" s="976">
        <v>32</v>
      </c>
      <c r="AP12" s="976">
        <v>33.6</v>
      </c>
      <c r="AQ12" s="976">
        <v>35.299999999999997</v>
      </c>
      <c r="AR12" s="976">
        <v>37</v>
      </c>
      <c r="AS12" s="976">
        <v>38.799999999999997</v>
      </c>
      <c r="AT12" s="976">
        <v>40.700000000000003</v>
      </c>
      <c r="AU12" s="976">
        <v>42.6</v>
      </c>
      <c r="AV12" s="976">
        <v>44.4</v>
      </c>
      <c r="AW12" s="976">
        <v>46.3</v>
      </c>
      <c r="AX12" s="976">
        <v>48.2</v>
      </c>
      <c r="AY12" s="976">
        <v>50.1</v>
      </c>
      <c r="AZ12" s="976">
        <v>51.8</v>
      </c>
      <c r="BA12" s="976">
        <v>53.6</v>
      </c>
      <c r="BB12" s="976">
        <v>55.2</v>
      </c>
      <c r="BC12" s="976">
        <v>56.9</v>
      </c>
      <c r="BD12" s="976">
        <v>58.7</v>
      </c>
      <c r="BE12" s="976">
        <v>60.4</v>
      </c>
      <c r="BF12" s="976">
        <v>62.5</v>
      </c>
      <c r="BG12" s="976">
        <v>64.099999999999994</v>
      </c>
      <c r="BH12" s="976">
        <v>65.599999999999994</v>
      </c>
      <c r="BI12" s="976">
        <v>66.900000000000006</v>
      </c>
      <c r="BJ12" s="976">
        <v>67.900000000000006</v>
      </c>
      <c r="BK12" s="976">
        <v>69.099999999999994</v>
      </c>
      <c r="BL12" s="976">
        <v>70.3</v>
      </c>
      <c r="BM12" s="976">
        <v>71.599999999999994</v>
      </c>
      <c r="BN12" s="976">
        <v>73</v>
      </c>
      <c r="BO12" s="976">
        <v>74.5</v>
      </c>
      <c r="BP12" s="976">
        <v>76</v>
      </c>
      <c r="BQ12" s="976">
        <v>77.599999999999994</v>
      </c>
      <c r="BR12" s="976">
        <v>79.599999999999994</v>
      </c>
      <c r="BS12" s="976">
        <v>81.099999999999994</v>
      </c>
      <c r="BT12" s="976">
        <v>82.3</v>
      </c>
      <c r="BU12" s="976">
        <v>83.3</v>
      </c>
      <c r="BV12" s="976">
        <v>83.4</v>
      </c>
      <c r="BW12" s="976">
        <v>85</v>
      </c>
      <c r="BX12" s="976">
        <v>87</v>
      </c>
      <c r="BY12" s="976">
        <v>89.7</v>
      </c>
      <c r="BZ12" s="976">
        <v>93.8</v>
      </c>
      <c r="CA12" s="976">
        <v>96.9</v>
      </c>
      <c r="CB12" s="976">
        <v>99.7</v>
      </c>
      <c r="CC12" s="976">
        <v>102.3</v>
      </c>
      <c r="CD12" s="976">
        <v>104.3</v>
      </c>
      <c r="CE12" s="976">
        <v>106.5</v>
      </c>
      <c r="CF12" s="976">
        <v>108.7</v>
      </c>
      <c r="CG12" s="976">
        <v>111</v>
      </c>
      <c r="CH12" s="976">
        <v>112.9</v>
      </c>
      <c r="CI12" s="976">
        <v>115.7</v>
      </c>
      <c r="CJ12" s="976">
        <v>118.9</v>
      </c>
      <c r="CK12" s="976">
        <v>122.5</v>
      </c>
      <c r="CL12" s="976">
        <v>127.2</v>
      </c>
      <c r="CM12" s="976">
        <v>131</v>
      </c>
      <c r="CN12" s="976">
        <v>134.5</v>
      </c>
      <c r="CO12" s="976">
        <v>137.69999999999999</v>
      </c>
      <c r="CP12" s="976">
        <v>143.4</v>
      </c>
      <c r="CQ12" s="976">
        <v>144.69999999999999</v>
      </c>
      <c r="CR12" s="976">
        <v>147.5</v>
      </c>
      <c r="CS12" s="976">
        <v>151.6</v>
      </c>
      <c r="CT12" s="976">
        <v>156.9</v>
      </c>
      <c r="CU12" s="976">
        <v>162.19999999999999</v>
      </c>
      <c r="CV12" s="976">
        <v>167.1</v>
      </c>
      <c r="CW12" s="976">
        <v>171.6</v>
      </c>
      <c r="CX12" s="976">
        <v>175.7</v>
      </c>
      <c r="CY12" s="976">
        <v>179.6</v>
      </c>
      <c r="CZ12" s="976">
        <v>183.2</v>
      </c>
      <c r="DA12" s="976">
        <v>186.5</v>
      </c>
      <c r="DB12" s="976">
        <v>189.6</v>
      </c>
      <c r="DC12" s="976">
        <v>192.9</v>
      </c>
      <c r="DD12" s="976">
        <v>196.5</v>
      </c>
      <c r="DE12" s="976">
        <v>200.4</v>
      </c>
      <c r="DF12" s="976">
        <v>204.4</v>
      </c>
      <c r="DG12" s="976">
        <v>207.1</v>
      </c>
      <c r="DH12" s="976">
        <v>208.3</v>
      </c>
      <c r="DI12" s="976">
        <v>207.9</v>
      </c>
      <c r="DJ12" s="976">
        <v>206.4</v>
      </c>
      <c r="DK12" s="976">
        <v>205.3</v>
      </c>
      <c r="DL12" s="976">
        <v>205</v>
      </c>
      <c r="DM12" s="976">
        <v>205.5</v>
      </c>
      <c r="DN12" s="976">
        <v>206.6</v>
      </c>
      <c r="DO12" s="976">
        <v>207.9</v>
      </c>
      <c r="DP12" s="976">
        <v>209.4</v>
      </c>
      <c r="DQ12" s="976">
        <v>211</v>
      </c>
      <c r="DR12" s="976">
        <v>213</v>
      </c>
      <c r="DS12" s="976">
        <v>216.1</v>
      </c>
      <c r="DT12" s="976">
        <v>220.7</v>
      </c>
      <c r="DU12" s="976">
        <v>226.7</v>
      </c>
      <c r="DV12" s="976">
        <v>233.8</v>
      </c>
      <c r="DW12" s="976">
        <v>240.4</v>
      </c>
      <c r="DX12" s="976">
        <v>245.8</v>
      </c>
      <c r="DY12" s="976">
        <v>250.3</v>
      </c>
      <c r="DZ12" s="976">
        <v>254.1</v>
      </c>
      <c r="EA12" s="976">
        <v>257.89999999999998</v>
      </c>
      <c r="EB12" s="976">
        <v>261.60000000000002</v>
      </c>
      <c r="EC12" s="976">
        <v>265.2</v>
      </c>
      <c r="ED12" s="976">
        <v>268.89999999999998</v>
      </c>
      <c r="EE12" s="976">
        <v>273.39999999999998</v>
      </c>
      <c r="EF12" s="976">
        <v>279</v>
      </c>
      <c r="EG12" s="976">
        <v>285.5</v>
      </c>
      <c r="EH12" s="976">
        <v>293</v>
      </c>
      <c r="EI12" s="976">
        <v>300.39999999999998</v>
      </c>
      <c r="EJ12" s="976">
        <v>308.60000000000002</v>
      </c>
      <c r="EK12" s="976">
        <v>315.39999999999998</v>
      </c>
      <c r="EL12" s="976">
        <v>323.2</v>
      </c>
      <c r="EM12" s="976">
        <v>329.2</v>
      </c>
      <c r="EN12" s="976">
        <v>335.1</v>
      </c>
      <c r="EO12" s="976">
        <v>341</v>
      </c>
      <c r="EP12" s="976">
        <v>389.6</v>
      </c>
      <c r="EQ12" s="976">
        <v>395.6</v>
      </c>
      <c r="ER12" s="976">
        <v>402.1</v>
      </c>
      <c r="ES12" s="976">
        <v>409.1</v>
      </c>
      <c r="ET12" s="976">
        <v>416.4</v>
      </c>
      <c r="EU12" s="976">
        <v>424.1</v>
      </c>
      <c r="EV12" s="976">
        <v>432</v>
      </c>
      <c r="EW12" s="976">
        <v>440.3</v>
      </c>
      <c r="EX12" s="976">
        <v>448.8</v>
      </c>
      <c r="EY12" s="976">
        <v>457.3</v>
      </c>
      <c r="EZ12" s="976">
        <v>465.9</v>
      </c>
      <c r="FA12" s="976">
        <v>474.5</v>
      </c>
      <c r="FB12" s="976">
        <v>482.9</v>
      </c>
      <c r="FC12" s="976">
        <v>490.4</v>
      </c>
      <c r="FD12" s="976">
        <v>496.7</v>
      </c>
      <c r="FE12" s="976">
        <v>501.8</v>
      </c>
      <c r="FF12" s="976">
        <v>506</v>
      </c>
      <c r="FG12" s="976">
        <v>510.5</v>
      </c>
      <c r="FH12" s="976">
        <v>515.70000000000005</v>
      </c>
      <c r="FI12" s="976">
        <v>521.4</v>
      </c>
      <c r="FJ12" s="976">
        <v>527.6</v>
      </c>
      <c r="FK12" s="976">
        <v>533.4</v>
      </c>
      <c r="FL12" s="976">
        <v>538.5</v>
      </c>
      <c r="FM12" s="976">
        <v>542.9</v>
      </c>
      <c r="FN12" s="976">
        <v>547</v>
      </c>
      <c r="FO12" s="976">
        <v>551.6</v>
      </c>
      <c r="FP12" s="976">
        <v>557.1</v>
      </c>
      <c r="FQ12" s="976">
        <v>563.4</v>
      </c>
      <c r="FR12" s="976">
        <v>570.29999999999995</v>
      </c>
      <c r="FS12" s="976">
        <v>567.1</v>
      </c>
      <c r="FT12" s="976">
        <v>573.70000000000005</v>
      </c>
      <c r="FU12" s="976">
        <v>580.20000000000005</v>
      </c>
      <c r="FV12" s="976">
        <v>587.5</v>
      </c>
      <c r="FW12" s="976">
        <v>595.6</v>
      </c>
      <c r="FX12" s="976">
        <v>604</v>
      </c>
      <c r="FY12" s="976">
        <v>612.79999999999995</v>
      </c>
      <c r="FZ12" s="976">
        <v>622.4</v>
      </c>
      <c r="GA12" s="976">
        <v>631.5</v>
      </c>
      <c r="GB12" s="976">
        <v>639.5</v>
      </c>
      <c r="GC12" s="976">
        <v>646.4</v>
      </c>
      <c r="GD12" s="976">
        <v>652.5</v>
      </c>
      <c r="GE12" s="976">
        <v>658.7</v>
      </c>
      <c r="GF12" s="976">
        <v>665.2</v>
      </c>
      <c r="GG12" s="976">
        <v>672.1</v>
      </c>
      <c r="GH12" s="976">
        <v>679.5</v>
      </c>
      <c r="GI12" s="976">
        <v>687.5</v>
      </c>
      <c r="GJ12" s="976">
        <v>696.3</v>
      </c>
      <c r="GK12" s="976">
        <v>705.8</v>
      </c>
      <c r="GL12" s="976">
        <v>716.1</v>
      </c>
      <c r="GM12" s="976">
        <v>727.5</v>
      </c>
      <c r="GN12" s="976">
        <v>739.9</v>
      </c>
      <c r="GO12" s="976">
        <v>753.3</v>
      </c>
      <c r="GP12" s="976">
        <v>767.4</v>
      </c>
      <c r="GQ12" s="976">
        <v>779.7</v>
      </c>
      <c r="GR12" s="976">
        <v>789.9</v>
      </c>
      <c r="GS12" s="976">
        <v>797.9</v>
      </c>
      <c r="GT12" s="976">
        <v>804.7</v>
      </c>
      <c r="GU12" s="976">
        <v>824.1</v>
      </c>
      <c r="GV12" s="976">
        <v>842.7</v>
      </c>
      <c r="GW12" s="976">
        <v>860.6</v>
      </c>
      <c r="GX12" s="976">
        <v>880.1</v>
      </c>
    </row>
    <row r="13" spans="1:206">
      <c r="A13" s="976" t="s">
        <v>227</v>
      </c>
      <c r="B13" s="976">
        <v>5</v>
      </c>
      <c r="C13" s="976">
        <v>5.3</v>
      </c>
      <c r="D13" s="976">
        <v>5.6</v>
      </c>
      <c r="E13" s="976">
        <v>5.9</v>
      </c>
      <c r="F13" s="976">
        <v>6.2</v>
      </c>
      <c r="G13" s="976">
        <v>6.6</v>
      </c>
      <c r="H13" s="976">
        <v>6.9</v>
      </c>
      <c r="I13" s="976">
        <v>7.3</v>
      </c>
      <c r="J13" s="976">
        <v>7.8</v>
      </c>
      <c r="K13" s="976">
        <v>8</v>
      </c>
      <c r="L13" s="976">
        <v>8.6</v>
      </c>
      <c r="M13" s="976">
        <v>8.5</v>
      </c>
      <c r="N13" s="976">
        <v>9</v>
      </c>
      <c r="O13" s="976">
        <v>9.6</v>
      </c>
      <c r="P13" s="976">
        <v>9.6999999999999993</v>
      </c>
      <c r="Q13" s="976">
        <v>10.1</v>
      </c>
      <c r="R13" s="976">
        <v>10.199999999999999</v>
      </c>
      <c r="S13" s="976">
        <v>11.1</v>
      </c>
      <c r="T13" s="976">
        <v>11.4</v>
      </c>
      <c r="U13" s="976">
        <v>12</v>
      </c>
      <c r="V13" s="976">
        <v>13.3</v>
      </c>
      <c r="W13" s="976">
        <v>13.8</v>
      </c>
      <c r="X13" s="976">
        <v>13.8</v>
      </c>
      <c r="Y13" s="976">
        <v>14.6</v>
      </c>
      <c r="Z13" s="976">
        <v>15.2</v>
      </c>
      <c r="AA13" s="976">
        <v>14.9</v>
      </c>
      <c r="AB13" s="976">
        <v>15.9</v>
      </c>
      <c r="AC13" s="976">
        <v>15.9</v>
      </c>
      <c r="AD13" s="976">
        <v>16.2</v>
      </c>
      <c r="AE13" s="976">
        <v>17.5</v>
      </c>
      <c r="AF13" s="976">
        <v>16.7</v>
      </c>
      <c r="AG13" s="976">
        <v>16.5</v>
      </c>
      <c r="AH13" s="976">
        <v>17.5</v>
      </c>
      <c r="AI13" s="976">
        <v>18.600000000000001</v>
      </c>
      <c r="AJ13" s="976">
        <v>18.899999999999999</v>
      </c>
      <c r="AK13" s="976">
        <v>19.5</v>
      </c>
      <c r="AL13" s="976">
        <v>20</v>
      </c>
      <c r="AM13" s="976">
        <v>20.8</v>
      </c>
      <c r="AN13" s="976">
        <v>21.1</v>
      </c>
      <c r="AO13" s="976">
        <v>22.4</v>
      </c>
      <c r="AP13" s="976">
        <v>23.4</v>
      </c>
      <c r="AQ13" s="976">
        <v>22.2</v>
      </c>
      <c r="AR13" s="976">
        <v>24.2</v>
      </c>
      <c r="AS13" s="976">
        <v>25.6</v>
      </c>
      <c r="AT13" s="976">
        <v>26.5</v>
      </c>
      <c r="AU13" s="976">
        <v>28.1</v>
      </c>
      <c r="AV13" s="976">
        <v>28.3</v>
      </c>
      <c r="AW13" s="976">
        <v>28</v>
      </c>
      <c r="AX13" s="976">
        <v>28.8</v>
      </c>
      <c r="AY13" s="976">
        <v>30.2</v>
      </c>
      <c r="AZ13" s="976">
        <v>30.8</v>
      </c>
      <c r="BA13" s="976">
        <v>30.8</v>
      </c>
      <c r="BB13" s="976">
        <v>33.200000000000003</v>
      </c>
      <c r="BC13" s="976">
        <v>33.4</v>
      </c>
      <c r="BD13" s="976">
        <v>34</v>
      </c>
      <c r="BE13" s="976">
        <v>34.9</v>
      </c>
      <c r="BF13" s="976">
        <v>35.700000000000003</v>
      </c>
      <c r="BG13" s="976">
        <v>36.200000000000003</v>
      </c>
      <c r="BH13" s="976">
        <v>36.799999999999997</v>
      </c>
      <c r="BI13" s="976">
        <v>37.6</v>
      </c>
      <c r="BJ13" s="976">
        <v>38.4</v>
      </c>
      <c r="BK13" s="976">
        <v>39.200000000000003</v>
      </c>
      <c r="BL13" s="976">
        <v>40.1</v>
      </c>
      <c r="BM13" s="976">
        <v>41.1</v>
      </c>
      <c r="BN13" s="976">
        <v>42.1</v>
      </c>
      <c r="BO13" s="976">
        <v>43.1</v>
      </c>
      <c r="BP13" s="976">
        <v>44.1</v>
      </c>
      <c r="BQ13" s="976">
        <v>45.2</v>
      </c>
      <c r="BR13" s="976">
        <v>46.2</v>
      </c>
      <c r="BS13" s="976">
        <v>47.3</v>
      </c>
      <c r="BT13" s="976">
        <v>48.4</v>
      </c>
      <c r="BU13" s="976">
        <v>49.4</v>
      </c>
      <c r="BV13" s="976">
        <v>50.9</v>
      </c>
      <c r="BW13" s="976">
        <v>52.2</v>
      </c>
      <c r="BX13" s="976">
        <v>53.7</v>
      </c>
      <c r="BY13" s="976">
        <v>55.4</v>
      </c>
      <c r="BZ13" s="976">
        <v>57.4</v>
      </c>
      <c r="CA13" s="976">
        <v>59.6</v>
      </c>
      <c r="CB13" s="976">
        <v>61.9</v>
      </c>
      <c r="CC13" s="976">
        <v>64.400000000000006</v>
      </c>
      <c r="CD13" s="976">
        <v>66.599999999999994</v>
      </c>
      <c r="CE13" s="976">
        <v>70.3</v>
      </c>
      <c r="CF13" s="976">
        <v>74.900000000000006</v>
      </c>
      <c r="CG13" s="976">
        <v>80.7</v>
      </c>
      <c r="CH13" s="976">
        <v>83.7</v>
      </c>
      <c r="CI13" s="976">
        <v>93.1</v>
      </c>
      <c r="CJ13" s="976">
        <v>98.4</v>
      </c>
      <c r="CK13" s="976">
        <v>112.5</v>
      </c>
      <c r="CL13" s="976">
        <v>108.3</v>
      </c>
      <c r="CM13" s="976">
        <v>115.4</v>
      </c>
      <c r="CN13" s="976">
        <v>120.6</v>
      </c>
      <c r="CO13" s="976">
        <v>120.8</v>
      </c>
      <c r="CP13" s="976">
        <v>124.4</v>
      </c>
      <c r="CQ13" s="976">
        <v>124.8</v>
      </c>
      <c r="CR13" s="976">
        <v>135.19999999999999</v>
      </c>
      <c r="CS13" s="976">
        <v>136</v>
      </c>
      <c r="CT13" s="976">
        <v>136.6</v>
      </c>
      <c r="CU13" s="976">
        <v>137.1</v>
      </c>
      <c r="CV13" s="976">
        <v>136.19999999999999</v>
      </c>
      <c r="CW13" s="976">
        <v>147.80000000000001</v>
      </c>
      <c r="CX13" s="976">
        <v>152.5</v>
      </c>
      <c r="CY13" s="976">
        <v>152.5</v>
      </c>
      <c r="CZ13" s="976">
        <v>152.69999999999999</v>
      </c>
      <c r="DA13" s="976">
        <v>140.69999999999999</v>
      </c>
      <c r="DB13" s="976">
        <v>151.30000000000001</v>
      </c>
      <c r="DC13" s="976">
        <v>165.8</v>
      </c>
      <c r="DD13" s="976">
        <v>158.80000000000001</v>
      </c>
      <c r="DE13" s="976">
        <v>156.9</v>
      </c>
      <c r="DF13" s="976">
        <v>161.4</v>
      </c>
      <c r="DG13" s="976">
        <v>159.4</v>
      </c>
      <c r="DH13" s="976">
        <v>163.69999999999999</v>
      </c>
      <c r="DI13" s="976">
        <v>168</v>
      </c>
      <c r="DJ13" s="976">
        <v>167.2</v>
      </c>
      <c r="DK13" s="976">
        <v>170</v>
      </c>
      <c r="DL13" s="976">
        <v>168.1</v>
      </c>
      <c r="DM13" s="976">
        <v>175.4</v>
      </c>
      <c r="DN13" s="976">
        <v>181.1</v>
      </c>
      <c r="DO13" s="976">
        <v>179.1</v>
      </c>
      <c r="DP13" s="976">
        <v>186.7</v>
      </c>
      <c r="DQ13" s="976">
        <v>191.3</v>
      </c>
      <c r="DR13" s="976">
        <v>190.2</v>
      </c>
      <c r="DS13" s="976">
        <v>198.3</v>
      </c>
      <c r="DT13" s="976">
        <v>204.8</v>
      </c>
      <c r="DU13" s="976">
        <v>204.8</v>
      </c>
      <c r="DV13" s="976">
        <v>215</v>
      </c>
      <c r="DW13" s="976">
        <v>230.1</v>
      </c>
      <c r="DX13" s="976">
        <v>217.4</v>
      </c>
      <c r="DY13" s="976">
        <v>246.5</v>
      </c>
      <c r="DZ13" s="976">
        <v>244.9</v>
      </c>
      <c r="EA13" s="976">
        <v>243.8</v>
      </c>
      <c r="EB13" s="976">
        <v>251.1</v>
      </c>
      <c r="EC13" s="976">
        <v>260.3</v>
      </c>
      <c r="ED13" s="976">
        <v>260.7</v>
      </c>
      <c r="EE13" s="976">
        <v>260.10000000000002</v>
      </c>
      <c r="EF13" s="976">
        <v>271.7</v>
      </c>
      <c r="EG13" s="976">
        <v>265.7</v>
      </c>
      <c r="EH13" s="976">
        <v>283.39999999999998</v>
      </c>
      <c r="EI13" s="976">
        <v>293</v>
      </c>
      <c r="EJ13" s="976">
        <v>288.3</v>
      </c>
      <c r="EK13" s="976">
        <v>294.5</v>
      </c>
      <c r="EL13" s="976">
        <v>301.3</v>
      </c>
      <c r="EM13" s="976">
        <v>310.8</v>
      </c>
      <c r="EN13" s="976">
        <v>300.10000000000002</v>
      </c>
      <c r="EO13" s="976">
        <v>305.39999999999998</v>
      </c>
      <c r="EP13" s="976">
        <v>291.3</v>
      </c>
      <c r="EQ13" s="976">
        <v>294.89999999999998</v>
      </c>
      <c r="ER13" s="976">
        <v>308.7</v>
      </c>
      <c r="ES13" s="976">
        <v>301.39999999999998</v>
      </c>
      <c r="ET13" s="976">
        <v>332.5</v>
      </c>
      <c r="EU13" s="976">
        <v>314.7</v>
      </c>
      <c r="EV13" s="976">
        <v>319.60000000000002</v>
      </c>
      <c r="EW13" s="976">
        <v>329.9</v>
      </c>
      <c r="EX13" s="976">
        <v>331.6</v>
      </c>
      <c r="EY13" s="976">
        <v>339.2</v>
      </c>
      <c r="EZ13" s="976">
        <v>340.8</v>
      </c>
      <c r="FA13" s="976">
        <v>341.8</v>
      </c>
      <c r="FB13" s="976">
        <v>358.4</v>
      </c>
      <c r="FC13" s="976">
        <v>368.9</v>
      </c>
      <c r="FD13" s="976">
        <v>378.2</v>
      </c>
      <c r="FE13" s="976">
        <v>372.8</v>
      </c>
      <c r="FF13" s="976">
        <v>382.1</v>
      </c>
      <c r="FG13" s="976">
        <v>385.7</v>
      </c>
      <c r="FH13" s="976">
        <v>405.6</v>
      </c>
      <c r="FI13" s="976">
        <v>414.1</v>
      </c>
      <c r="FJ13" s="976">
        <v>418.8</v>
      </c>
      <c r="FK13" s="976">
        <v>409.7</v>
      </c>
      <c r="FL13" s="976">
        <v>396.4</v>
      </c>
      <c r="FM13" s="976">
        <v>399.3</v>
      </c>
      <c r="FN13" s="976">
        <v>400.6</v>
      </c>
      <c r="FO13" s="976">
        <v>421.7</v>
      </c>
      <c r="FP13" s="976">
        <v>419</v>
      </c>
      <c r="FQ13" s="976">
        <v>428.9</v>
      </c>
      <c r="FR13" s="976">
        <v>424.8</v>
      </c>
      <c r="FS13" s="976">
        <v>438.4</v>
      </c>
      <c r="FT13" s="976">
        <v>448.2</v>
      </c>
      <c r="FU13" s="976">
        <v>448.6</v>
      </c>
      <c r="FV13" s="976">
        <v>459.5</v>
      </c>
      <c r="FW13" s="976">
        <v>481.5</v>
      </c>
      <c r="FX13" s="976">
        <v>507.2</v>
      </c>
      <c r="FY13" s="976">
        <v>515.29999999999995</v>
      </c>
      <c r="FZ13" s="976">
        <v>523.6</v>
      </c>
      <c r="GA13" s="976">
        <v>537.9</v>
      </c>
      <c r="GB13" s="976">
        <v>540.4</v>
      </c>
      <c r="GC13" s="976">
        <v>541.79999999999995</v>
      </c>
      <c r="GD13" s="976">
        <v>550.4</v>
      </c>
      <c r="GE13" s="976">
        <v>558.79999999999995</v>
      </c>
      <c r="GF13" s="976">
        <v>566.4</v>
      </c>
      <c r="GG13" s="976">
        <v>575.29999999999995</v>
      </c>
      <c r="GH13" s="976">
        <v>572.4</v>
      </c>
      <c r="GI13" s="976">
        <v>567.9</v>
      </c>
      <c r="GJ13" s="976">
        <v>578.79999999999995</v>
      </c>
      <c r="GK13" s="976">
        <v>575.79999999999995</v>
      </c>
      <c r="GL13" s="976">
        <v>581.79999999999995</v>
      </c>
      <c r="GM13" s="976">
        <v>592.6</v>
      </c>
      <c r="GN13" s="976">
        <v>595.1</v>
      </c>
      <c r="GO13" s="976">
        <v>589.79999999999995</v>
      </c>
      <c r="GP13" s="976">
        <v>599.4</v>
      </c>
      <c r="GQ13" s="976">
        <v>615</v>
      </c>
      <c r="GR13" s="976">
        <v>622.29999999999995</v>
      </c>
      <c r="GS13" s="976">
        <v>619.4</v>
      </c>
      <c r="GT13" s="976">
        <v>624.1</v>
      </c>
      <c r="GU13" s="976">
        <v>668.8</v>
      </c>
      <c r="GV13" s="976">
        <v>683.7</v>
      </c>
      <c r="GW13" s="976">
        <v>682.4</v>
      </c>
      <c r="GX13" s="976">
        <v>700.1</v>
      </c>
    </row>
    <row r="14" spans="1:206">
      <c r="A14" s="976" t="s">
        <v>209</v>
      </c>
      <c r="B14" s="976">
        <v>2.9</v>
      </c>
      <c r="C14" s="976">
        <v>3.9</v>
      </c>
      <c r="D14" s="976">
        <v>4.5999999999999996</v>
      </c>
      <c r="E14" s="976">
        <v>5.4</v>
      </c>
      <c r="F14" s="976">
        <v>5.7</v>
      </c>
      <c r="G14" s="976">
        <v>6.3</v>
      </c>
      <c r="H14" s="976">
        <v>6.3</v>
      </c>
      <c r="I14" s="976">
        <v>6.3</v>
      </c>
      <c r="J14" s="976">
        <v>6.5</v>
      </c>
      <c r="K14" s="976">
        <v>6.9</v>
      </c>
      <c r="L14" s="976">
        <v>5.8</v>
      </c>
      <c r="M14" s="976">
        <v>5</v>
      </c>
      <c r="N14" s="976">
        <v>4.5999999999999996</v>
      </c>
      <c r="O14" s="976">
        <v>4.5</v>
      </c>
      <c r="P14" s="976">
        <v>4.5</v>
      </c>
      <c r="Q14" s="976">
        <v>4.7</v>
      </c>
      <c r="R14" s="976">
        <v>5.8</v>
      </c>
      <c r="S14" s="976">
        <v>6.7</v>
      </c>
      <c r="T14" s="976">
        <v>6.9</v>
      </c>
      <c r="U14" s="976">
        <v>8.6</v>
      </c>
      <c r="V14" s="976">
        <v>14.2</v>
      </c>
      <c r="W14" s="976">
        <v>19.399999999999999</v>
      </c>
      <c r="X14" s="976">
        <v>20.2</v>
      </c>
      <c r="Y14" s="976">
        <v>18.8</v>
      </c>
      <c r="Z14" s="976">
        <v>17.7</v>
      </c>
      <c r="AA14" s="976">
        <v>16.3</v>
      </c>
      <c r="AB14" s="976">
        <v>16.100000000000001</v>
      </c>
      <c r="AC14" s="976">
        <v>15.5</v>
      </c>
      <c r="AD14" s="976">
        <v>15.5</v>
      </c>
      <c r="AE14" s="976">
        <v>13.3</v>
      </c>
      <c r="AF14" s="976">
        <v>11.9</v>
      </c>
      <c r="AG14" s="976">
        <v>11.8</v>
      </c>
      <c r="AH14" s="976">
        <v>10.8</v>
      </c>
      <c r="AI14" s="976">
        <v>9.4</v>
      </c>
      <c r="AJ14" s="976">
        <v>9</v>
      </c>
      <c r="AK14" s="976">
        <v>8.5</v>
      </c>
      <c r="AL14" s="976">
        <v>9.4</v>
      </c>
      <c r="AM14" s="976">
        <v>9.1999999999999993</v>
      </c>
      <c r="AN14" s="976">
        <v>9.6</v>
      </c>
      <c r="AO14" s="976">
        <v>10.6</v>
      </c>
      <c r="AP14" s="976">
        <v>12</v>
      </c>
      <c r="AQ14" s="976">
        <v>15.7</v>
      </c>
      <c r="AR14" s="976">
        <v>19</v>
      </c>
      <c r="AS14" s="976">
        <v>17.8</v>
      </c>
      <c r="AT14" s="976">
        <v>16.399999999999999</v>
      </c>
      <c r="AU14" s="976">
        <v>15.5</v>
      </c>
      <c r="AV14" s="976">
        <v>15</v>
      </c>
      <c r="AW14" s="976">
        <v>16.600000000000001</v>
      </c>
      <c r="AX14" s="976">
        <v>19.100000000000001</v>
      </c>
      <c r="AY14" s="976">
        <v>23.9</v>
      </c>
      <c r="AZ14" s="976">
        <v>26.1</v>
      </c>
      <c r="BA14" s="976">
        <v>31.8</v>
      </c>
      <c r="BB14" s="976">
        <v>30.3</v>
      </c>
      <c r="BC14" s="976">
        <v>32.1</v>
      </c>
      <c r="BD14" s="976">
        <v>23.3</v>
      </c>
      <c r="BE14" s="976">
        <v>20</v>
      </c>
      <c r="BF14" s="976">
        <v>17.3</v>
      </c>
      <c r="BG14" s="976">
        <v>15.7</v>
      </c>
      <c r="BH14" s="976">
        <v>15.1</v>
      </c>
      <c r="BI14" s="976">
        <v>15.9</v>
      </c>
      <c r="BJ14" s="976">
        <v>16.899999999999999</v>
      </c>
      <c r="BK14" s="976">
        <v>16</v>
      </c>
      <c r="BL14" s="976">
        <v>15</v>
      </c>
      <c r="BM14" s="976">
        <v>15.6</v>
      </c>
      <c r="BN14" s="976">
        <v>15.6</v>
      </c>
      <c r="BO14" s="976">
        <v>16.399999999999999</v>
      </c>
      <c r="BP14" s="976">
        <v>17</v>
      </c>
      <c r="BQ14" s="976">
        <v>16.899999999999999</v>
      </c>
      <c r="BR14" s="976">
        <v>15.5</v>
      </c>
      <c r="BS14" s="976">
        <v>15.1</v>
      </c>
      <c r="BT14" s="976">
        <v>14.4</v>
      </c>
      <c r="BU14" s="976">
        <v>13.5</v>
      </c>
      <c r="BV14" s="976">
        <v>13.9</v>
      </c>
      <c r="BW14" s="976">
        <v>13.2</v>
      </c>
      <c r="BX14" s="976">
        <v>13.2</v>
      </c>
      <c r="BY14" s="976">
        <v>13</v>
      </c>
      <c r="BZ14" s="976">
        <v>13.6</v>
      </c>
      <c r="CA14" s="976">
        <v>13.7</v>
      </c>
      <c r="CB14" s="976">
        <v>14.6</v>
      </c>
      <c r="CC14" s="976">
        <v>15.8</v>
      </c>
      <c r="CD14" s="976">
        <v>16.399999999999999</v>
      </c>
      <c r="CE14" s="976">
        <v>17.100000000000001</v>
      </c>
      <c r="CF14" s="976">
        <v>18.2</v>
      </c>
      <c r="CG14" s="976">
        <v>21</v>
      </c>
      <c r="CH14" s="976">
        <v>24.3</v>
      </c>
      <c r="CI14" s="976">
        <v>27.5</v>
      </c>
      <c r="CJ14" s="976">
        <v>25.9</v>
      </c>
      <c r="CK14" s="976">
        <v>29.4</v>
      </c>
      <c r="CL14" s="976">
        <v>39.700000000000003</v>
      </c>
      <c r="CM14" s="976">
        <v>41.2</v>
      </c>
      <c r="CN14" s="976">
        <v>39.6</v>
      </c>
      <c r="CO14" s="976">
        <v>38</v>
      </c>
      <c r="CP14" s="976">
        <v>35.1</v>
      </c>
      <c r="CQ14" s="976">
        <v>35.5</v>
      </c>
      <c r="CR14" s="976">
        <v>35.5</v>
      </c>
      <c r="CS14" s="976">
        <v>33.200000000000003</v>
      </c>
      <c r="CT14" s="976">
        <v>28</v>
      </c>
      <c r="CU14" s="976">
        <v>24.4</v>
      </c>
      <c r="CV14" s="976">
        <v>22.1</v>
      </c>
      <c r="CW14" s="976">
        <v>21.3</v>
      </c>
      <c r="CX14" s="976">
        <v>20.9</v>
      </c>
      <c r="CY14" s="976">
        <v>21.6</v>
      </c>
      <c r="CZ14" s="976">
        <v>22</v>
      </c>
      <c r="DA14" s="976">
        <v>22.5</v>
      </c>
      <c r="DB14" s="976">
        <v>23</v>
      </c>
      <c r="DC14" s="976">
        <v>22.7</v>
      </c>
      <c r="DD14" s="976">
        <v>21.6</v>
      </c>
      <c r="DE14" s="976">
        <v>21.7</v>
      </c>
      <c r="DF14" s="976">
        <v>21</v>
      </c>
      <c r="DG14" s="976">
        <v>20.399999999999999</v>
      </c>
      <c r="DH14" s="976">
        <v>19.600000000000001</v>
      </c>
      <c r="DI14" s="976">
        <v>19.399999999999999</v>
      </c>
      <c r="DJ14" s="976">
        <v>19.399999999999999</v>
      </c>
      <c r="DK14" s="976">
        <v>19.3</v>
      </c>
      <c r="DL14" s="976">
        <v>20.3</v>
      </c>
      <c r="DM14" s="976">
        <v>19.8</v>
      </c>
      <c r="DN14" s="976">
        <v>20.8</v>
      </c>
      <c r="DO14" s="976">
        <v>20.9</v>
      </c>
      <c r="DP14" s="976">
        <v>20.3</v>
      </c>
      <c r="DQ14" s="976">
        <v>20</v>
      </c>
      <c r="DR14" s="976">
        <v>20.5</v>
      </c>
      <c r="DS14" s="976">
        <v>20</v>
      </c>
      <c r="DT14" s="976">
        <v>20.6</v>
      </c>
      <c r="DU14" s="976">
        <v>21.9</v>
      </c>
      <c r="DV14" s="976">
        <v>25.5</v>
      </c>
      <c r="DW14" s="976">
        <v>28.4</v>
      </c>
      <c r="DX14" s="976">
        <v>33.1</v>
      </c>
      <c r="DY14" s="976">
        <v>40.6</v>
      </c>
      <c r="DZ14" s="976">
        <v>42.8</v>
      </c>
      <c r="EA14" s="976">
        <v>60.5</v>
      </c>
      <c r="EB14" s="976">
        <v>56.9</v>
      </c>
      <c r="EC14" s="976">
        <v>53.7</v>
      </c>
      <c r="ED14" s="976">
        <v>51.8</v>
      </c>
      <c r="EE14" s="976">
        <v>55.2</v>
      </c>
      <c r="EF14" s="976">
        <v>54.2</v>
      </c>
      <c r="EG14" s="976">
        <v>51.5</v>
      </c>
      <c r="EH14" s="976">
        <v>42.3</v>
      </c>
      <c r="EI14" s="976">
        <v>35.9</v>
      </c>
      <c r="EJ14" s="976">
        <v>34.700000000000003</v>
      </c>
      <c r="EK14" s="976">
        <v>32.9</v>
      </c>
      <c r="EL14" s="976">
        <v>32.1</v>
      </c>
      <c r="EM14" s="976">
        <v>30.9</v>
      </c>
      <c r="EN14" s="976">
        <v>31.6</v>
      </c>
      <c r="EO14" s="976">
        <v>32.5</v>
      </c>
      <c r="EP14" s="976">
        <v>30.3</v>
      </c>
      <c r="EQ14" s="976">
        <v>29.5</v>
      </c>
      <c r="ER14" s="976">
        <v>30.6</v>
      </c>
      <c r="ES14" s="976">
        <v>31.1</v>
      </c>
      <c r="ET14" s="976">
        <v>32.299999999999997</v>
      </c>
      <c r="EU14" s="976">
        <v>31.8</v>
      </c>
      <c r="EV14" s="976">
        <v>32.799999999999997</v>
      </c>
      <c r="EW14" s="976">
        <v>34</v>
      </c>
      <c r="EX14" s="976">
        <v>36.299999999999997</v>
      </c>
      <c r="EY14" s="976">
        <v>38.200000000000003</v>
      </c>
      <c r="EZ14" s="976">
        <v>58.2</v>
      </c>
      <c r="FA14" s="976">
        <v>71.900000000000006</v>
      </c>
      <c r="FB14" s="976">
        <v>101.6</v>
      </c>
      <c r="FC14" s="976">
        <v>130.30000000000001</v>
      </c>
      <c r="FD14" s="976">
        <v>144.4</v>
      </c>
      <c r="FE14" s="976">
        <v>148.6</v>
      </c>
      <c r="FF14" s="976">
        <v>159.30000000000001</v>
      </c>
      <c r="FG14" s="976">
        <v>141.19999999999999</v>
      </c>
      <c r="FH14" s="976">
        <v>131</v>
      </c>
      <c r="FI14" s="976">
        <v>123.9</v>
      </c>
      <c r="FJ14" s="976">
        <v>116.7</v>
      </c>
      <c r="FK14" s="976">
        <v>109.3</v>
      </c>
      <c r="FL14" s="976">
        <v>102.9</v>
      </c>
      <c r="FM14" s="976">
        <v>99.8</v>
      </c>
      <c r="FN14" s="976">
        <v>94.6</v>
      </c>
      <c r="FO14" s="976">
        <v>86.3</v>
      </c>
      <c r="FP14" s="976">
        <v>78.400000000000006</v>
      </c>
      <c r="FQ14" s="976">
        <v>75.099999999999994</v>
      </c>
      <c r="FR14" s="976">
        <v>69</v>
      </c>
      <c r="FS14" s="976">
        <v>64.8</v>
      </c>
      <c r="FT14" s="976">
        <v>59.1</v>
      </c>
      <c r="FU14" s="976">
        <v>57.1</v>
      </c>
      <c r="FV14" s="976">
        <v>39</v>
      </c>
      <c r="FW14" s="976">
        <v>35.799999999999997</v>
      </c>
      <c r="FX14" s="976">
        <v>34</v>
      </c>
      <c r="FY14" s="976">
        <v>33</v>
      </c>
      <c r="FZ14" s="976">
        <v>32.9</v>
      </c>
      <c r="GA14" s="976">
        <v>32.4</v>
      </c>
      <c r="GB14" s="976">
        <v>32.5</v>
      </c>
      <c r="GC14" s="976">
        <v>32.4</v>
      </c>
      <c r="GD14" s="976">
        <v>32.6</v>
      </c>
      <c r="GE14" s="976">
        <v>32.6</v>
      </c>
      <c r="GF14" s="976">
        <v>32.4</v>
      </c>
      <c r="GG14" s="976">
        <v>31.5</v>
      </c>
      <c r="GH14" s="976">
        <v>30.9</v>
      </c>
      <c r="GI14" s="976">
        <v>30.2</v>
      </c>
      <c r="GJ14" s="976">
        <v>30.3</v>
      </c>
      <c r="GK14" s="976">
        <v>29.8</v>
      </c>
      <c r="GL14" s="976">
        <v>29.2</v>
      </c>
      <c r="GM14" s="976">
        <v>27.9</v>
      </c>
      <c r="GN14" s="976">
        <v>27.4</v>
      </c>
      <c r="GO14" s="976">
        <v>27</v>
      </c>
      <c r="GP14" s="976">
        <v>28</v>
      </c>
      <c r="GQ14" s="976">
        <v>27.5</v>
      </c>
      <c r="GR14" s="976">
        <v>27.6</v>
      </c>
      <c r="GS14" s="976">
        <v>27.9</v>
      </c>
      <c r="GT14" s="976">
        <v>43.4</v>
      </c>
      <c r="GU14" s="976">
        <v>1084.5999999999999</v>
      </c>
      <c r="GV14" s="976">
        <v>775.2</v>
      </c>
      <c r="GW14" s="976">
        <v>296.39999999999998</v>
      </c>
      <c r="GX14" s="976">
        <v>544.29999999999995</v>
      </c>
    </row>
    <row r="15" spans="1:206">
      <c r="A15" s="976" t="s">
        <v>228</v>
      </c>
      <c r="B15" s="976">
        <v>63</v>
      </c>
      <c r="C15" s="976">
        <v>73.099999999999994</v>
      </c>
      <c r="D15" s="976">
        <v>73.5</v>
      </c>
      <c r="E15" s="976">
        <v>77.400000000000006</v>
      </c>
      <c r="F15" s="976">
        <v>79.3</v>
      </c>
      <c r="G15" s="976">
        <v>86.9</v>
      </c>
      <c r="H15" s="976">
        <v>86.9</v>
      </c>
      <c r="I15" s="976">
        <v>88.5</v>
      </c>
      <c r="J15" s="976">
        <v>91.4</v>
      </c>
      <c r="K15" s="976">
        <v>91.9</v>
      </c>
      <c r="L15" s="976">
        <v>92.9</v>
      </c>
      <c r="M15" s="976">
        <v>103.1</v>
      </c>
      <c r="N15" s="976">
        <v>105.4</v>
      </c>
      <c r="O15" s="976">
        <v>107.6</v>
      </c>
      <c r="P15" s="976">
        <v>109.2</v>
      </c>
      <c r="Q15" s="976">
        <v>112.3</v>
      </c>
      <c r="R15" s="976">
        <v>117.5</v>
      </c>
      <c r="S15" s="976">
        <v>125.4</v>
      </c>
      <c r="T15" s="976">
        <v>132.19999999999999</v>
      </c>
      <c r="U15" s="976">
        <v>139.1</v>
      </c>
      <c r="V15" s="976">
        <v>149.80000000000001</v>
      </c>
      <c r="W15" s="976">
        <v>164.6</v>
      </c>
      <c r="X15" s="976">
        <v>167.7</v>
      </c>
      <c r="Y15" s="976">
        <v>170.4</v>
      </c>
      <c r="Z15" s="976">
        <v>174.7</v>
      </c>
      <c r="AA15" s="976">
        <v>173.1</v>
      </c>
      <c r="AB15" s="976">
        <v>180.1</v>
      </c>
      <c r="AC15" s="976">
        <v>182.7</v>
      </c>
      <c r="AD15" s="976">
        <v>185.5</v>
      </c>
      <c r="AE15" s="976">
        <v>186.4</v>
      </c>
      <c r="AF15" s="976">
        <v>191.7</v>
      </c>
      <c r="AG15" s="976">
        <v>194.3</v>
      </c>
      <c r="AH15" s="976">
        <v>197.7</v>
      </c>
      <c r="AI15" s="976">
        <v>199</v>
      </c>
      <c r="AJ15" s="976">
        <v>207.1</v>
      </c>
      <c r="AK15" s="976">
        <v>209.9</v>
      </c>
      <c r="AL15" s="976">
        <v>214.9</v>
      </c>
      <c r="AM15" s="976">
        <v>219.2</v>
      </c>
      <c r="AN15" s="976">
        <v>234.6</v>
      </c>
      <c r="AO15" s="976">
        <v>240.7</v>
      </c>
      <c r="AP15" s="976">
        <v>251.2</v>
      </c>
      <c r="AQ15" s="976">
        <v>256.2</v>
      </c>
      <c r="AR15" s="976">
        <v>287.89999999999998</v>
      </c>
      <c r="AS15" s="976">
        <v>290.7</v>
      </c>
      <c r="AT15" s="976">
        <v>296.10000000000002</v>
      </c>
      <c r="AU15" s="976">
        <v>299</v>
      </c>
      <c r="AV15" s="976">
        <v>317</v>
      </c>
      <c r="AW15" s="976">
        <v>319.2</v>
      </c>
      <c r="AX15" s="976">
        <v>324.3</v>
      </c>
      <c r="AY15" s="976">
        <v>333.2</v>
      </c>
      <c r="AZ15" s="976">
        <v>349.7</v>
      </c>
      <c r="BA15" s="976">
        <v>365.2</v>
      </c>
      <c r="BB15" s="976">
        <v>368</v>
      </c>
      <c r="BC15" s="976">
        <v>373.7</v>
      </c>
      <c r="BD15" s="976">
        <v>368.5</v>
      </c>
      <c r="BE15" s="976">
        <v>371.8</v>
      </c>
      <c r="BF15" s="976">
        <v>376.3</v>
      </c>
      <c r="BG15" s="976">
        <v>379</v>
      </c>
      <c r="BH15" s="976">
        <v>380.4</v>
      </c>
      <c r="BI15" s="976">
        <v>387.9</v>
      </c>
      <c r="BJ15" s="976">
        <v>398.1</v>
      </c>
      <c r="BK15" s="976">
        <v>400.5</v>
      </c>
      <c r="BL15" s="976">
        <v>405.6</v>
      </c>
      <c r="BM15" s="976">
        <v>408.3</v>
      </c>
      <c r="BN15" s="976">
        <v>419.9</v>
      </c>
      <c r="BO15" s="976">
        <v>425.6</v>
      </c>
      <c r="BP15" s="976">
        <v>433.1</v>
      </c>
      <c r="BQ15" s="976">
        <v>435.8</v>
      </c>
      <c r="BR15" s="976">
        <v>441.9</v>
      </c>
      <c r="BS15" s="976">
        <v>447.5</v>
      </c>
      <c r="BT15" s="976">
        <v>449.4</v>
      </c>
      <c r="BU15" s="976">
        <v>452.8</v>
      </c>
      <c r="BV15" s="976">
        <v>470.3</v>
      </c>
      <c r="BW15" s="976">
        <v>473.4</v>
      </c>
      <c r="BX15" s="976">
        <v>478.8</v>
      </c>
      <c r="BY15" s="976">
        <v>484.9</v>
      </c>
      <c r="BZ15" s="976">
        <v>508.2</v>
      </c>
      <c r="CA15" s="976">
        <v>515.70000000000005</v>
      </c>
      <c r="CB15" s="976">
        <v>524.70000000000005</v>
      </c>
      <c r="CC15" s="976">
        <v>535.79999999999995</v>
      </c>
      <c r="CD15" s="976">
        <v>556.20000000000005</v>
      </c>
      <c r="CE15" s="976">
        <v>567.5</v>
      </c>
      <c r="CF15" s="976">
        <v>578.1</v>
      </c>
      <c r="CG15" s="976">
        <v>596.79999999999995</v>
      </c>
      <c r="CH15" s="976">
        <v>622.5</v>
      </c>
      <c r="CI15" s="976">
        <v>643.5</v>
      </c>
      <c r="CJ15" s="976">
        <v>653.79999999999995</v>
      </c>
      <c r="CK15" s="976">
        <v>682.3</v>
      </c>
      <c r="CL15" s="976">
        <v>710.5</v>
      </c>
      <c r="CM15" s="976">
        <v>729.1</v>
      </c>
      <c r="CN15" s="976">
        <v>741.3</v>
      </c>
      <c r="CO15" s="976">
        <v>746</v>
      </c>
      <c r="CP15" s="976">
        <v>766.5</v>
      </c>
      <c r="CQ15" s="976">
        <v>771.7</v>
      </c>
      <c r="CR15" s="976">
        <v>786.3</v>
      </c>
      <c r="CS15" s="976">
        <v>791.3</v>
      </c>
      <c r="CT15" s="976">
        <v>805.3</v>
      </c>
      <c r="CU15" s="976">
        <v>810.1</v>
      </c>
      <c r="CV15" s="976">
        <v>813.6</v>
      </c>
      <c r="CW15" s="976">
        <v>833.8</v>
      </c>
      <c r="CX15" s="976">
        <v>857.9</v>
      </c>
      <c r="CY15" s="976">
        <v>865.6</v>
      </c>
      <c r="CZ15" s="976">
        <v>870.7</v>
      </c>
      <c r="DA15" s="976">
        <v>864.6</v>
      </c>
      <c r="DB15" s="976">
        <v>893.2</v>
      </c>
      <c r="DC15" s="976">
        <v>912.9</v>
      </c>
      <c r="DD15" s="976">
        <v>908.5</v>
      </c>
      <c r="DE15" s="976">
        <v>910.7</v>
      </c>
      <c r="DF15" s="976">
        <v>930.5</v>
      </c>
      <c r="DG15" s="976">
        <v>931.3</v>
      </c>
      <c r="DH15" s="976">
        <v>937.2</v>
      </c>
      <c r="DI15" s="976">
        <v>942.7</v>
      </c>
      <c r="DJ15" s="976">
        <v>951.8</v>
      </c>
      <c r="DK15" s="976">
        <v>956</v>
      </c>
      <c r="DL15" s="976">
        <v>957.4</v>
      </c>
      <c r="DM15" s="976">
        <v>966.4</v>
      </c>
      <c r="DN15" s="976">
        <v>983.4</v>
      </c>
      <c r="DO15" s="976">
        <v>985</v>
      </c>
      <c r="DP15" s="976">
        <v>996.1</v>
      </c>
      <c r="DQ15" s="976">
        <v>1004.3</v>
      </c>
      <c r="DR15" s="976">
        <v>1016.9</v>
      </c>
      <c r="DS15" s="976">
        <v>1042.3</v>
      </c>
      <c r="DT15" s="976">
        <v>1054.7</v>
      </c>
      <c r="DU15" s="976">
        <v>1065.5999999999999</v>
      </c>
      <c r="DV15" s="976">
        <v>1107.8</v>
      </c>
      <c r="DW15" s="976">
        <v>1139.0999999999999</v>
      </c>
      <c r="DX15" s="976">
        <v>1145.2</v>
      </c>
      <c r="DY15" s="976">
        <v>1191.2</v>
      </c>
      <c r="DZ15" s="976">
        <v>1221</v>
      </c>
      <c r="EA15" s="976">
        <v>1247.0999999999999</v>
      </c>
      <c r="EB15" s="976">
        <v>1259.9000000000001</v>
      </c>
      <c r="EC15" s="976">
        <v>1276.2</v>
      </c>
      <c r="ED15" s="976">
        <v>1294.5999999999999</v>
      </c>
      <c r="EE15" s="976">
        <v>1312.6</v>
      </c>
      <c r="EF15" s="976">
        <v>1335.5</v>
      </c>
      <c r="EG15" s="976">
        <v>1341.2</v>
      </c>
      <c r="EH15" s="976">
        <v>1379.6</v>
      </c>
      <c r="EI15" s="976">
        <v>1400.6</v>
      </c>
      <c r="EJ15" s="976">
        <v>1409.8</v>
      </c>
      <c r="EK15" s="976">
        <v>1427.9</v>
      </c>
      <c r="EL15" s="976">
        <v>1464.4</v>
      </c>
      <c r="EM15" s="976">
        <v>1486</v>
      </c>
      <c r="EN15" s="976">
        <v>1501</v>
      </c>
      <c r="EO15" s="976">
        <v>1512.3</v>
      </c>
      <c r="EP15" s="976">
        <v>1566.7</v>
      </c>
      <c r="EQ15" s="976">
        <v>1583.2</v>
      </c>
      <c r="ER15" s="976">
        <v>1608.5</v>
      </c>
      <c r="ES15" s="976">
        <v>1613.8</v>
      </c>
      <c r="ET15" s="976">
        <v>1680.2</v>
      </c>
      <c r="EU15" s="976">
        <v>1680.4</v>
      </c>
      <c r="EV15" s="976">
        <v>1700.2</v>
      </c>
      <c r="EW15" s="976">
        <v>1728.6</v>
      </c>
      <c r="EX15" s="976">
        <v>1768.2</v>
      </c>
      <c r="EY15" s="976">
        <v>2113</v>
      </c>
      <c r="EZ15" s="976">
        <v>1905.3</v>
      </c>
      <c r="FA15" s="976">
        <v>1890.8</v>
      </c>
      <c r="FB15" s="976">
        <v>2001.9</v>
      </c>
      <c r="FC15" s="976">
        <v>2140</v>
      </c>
      <c r="FD15" s="976">
        <v>2136.9</v>
      </c>
      <c r="FE15" s="976">
        <v>2152.1</v>
      </c>
      <c r="FF15" s="976">
        <v>2262.1999999999998</v>
      </c>
      <c r="FG15" s="976">
        <v>2268.6999999999998</v>
      </c>
      <c r="FH15" s="976">
        <v>2292</v>
      </c>
      <c r="FI15" s="976">
        <v>2302.6999999999998</v>
      </c>
      <c r="FJ15" s="976">
        <v>2313</v>
      </c>
      <c r="FK15" s="976">
        <v>2312.1</v>
      </c>
      <c r="FL15" s="976">
        <v>2303.1999999999998</v>
      </c>
      <c r="FM15" s="976">
        <v>2312.1999999999998</v>
      </c>
      <c r="FN15" s="976">
        <v>2296.8000000000002</v>
      </c>
      <c r="FO15" s="976">
        <v>2321.8000000000002</v>
      </c>
      <c r="FP15" s="976">
        <v>2325.6</v>
      </c>
      <c r="FQ15" s="976">
        <v>2346.1</v>
      </c>
      <c r="FR15" s="976">
        <v>2365.6999999999998</v>
      </c>
      <c r="FS15" s="976">
        <v>2378.3000000000002</v>
      </c>
      <c r="FT15" s="976">
        <v>2396</v>
      </c>
      <c r="FU15" s="976">
        <v>2403.6999999999998</v>
      </c>
      <c r="FV15" s="976">
        <v>2433.1999999999998</v>
      </c>
      <c r="FW15" s="976">
        <v>2484.5</v>
      </c>
      <c r="FX15" s="976">
        <v>2524.6</v>
      </c>
      <c r="FY15" s="976">
        <v>2552.1</v>
      </c>
      <c r="FZ15" s="976">
        <v>2597.6999999999998</v>
      </c>
      <c r="GA15" s="976">
        <v>2633.9</v>
      </c>
      <c r="GB15" s="976">
        <v>2647.8</v>
      </c>
      <c r="GC15" s="976">
        <v>2661.2</v>
      </c>
      <c r="GD15" s="976">
        <v>2686.1</v>
      </c>
      <c r="GE15" s="976">
        <v>2706.6</v>
      </c>
      <c r="GF15" s="976">
        <v>2726.2</v>
      </c>
      <c r="GG15" s="976">
        <v>2749.6</v>
      </c>
      <c r="GH15" s="976">
        <v>2778.8</v>
      </c>
      <c r="GI15" s="976">
        <v>2789.3</v>
      </c>
      <c r="GJ15" s="976">
        <v>2822.2</v>
      </c>
      <c r="GK15" s="976">
        <v>2834.7</v>
      </c>
      <c r="GL15" s="976">
        <v>2890.9</v>
      </c>
      <c r="GM15" s="976">
        <v>2916</v>
      </c>
      <c r="GN15" s="976">
        <v>2935.4</v>
      </c>
      <c r="GO15" s="976">
        <v>2949.4</v>
      </c>
      <c r="GP15" s="976">
        <v>3037.5</v>
      </c>
      <c r="GQ15" s="976">
        <v>3071</v>
      </c>
      <c r="GR15" s="976">
        <v>3094.8</v>
      </c>
      <c r="GS15" s="976">
        <v>3108.7</v>
      </c>
      <c r="GT15" s="976">
        <v>3189.6</v>
      </c>
      <c r="GU15" s="976">
        <v>5627.4</v>
      </c>
      <c r="GV15" s="976">
        <v>4323.3999999999996</v>
      </c>
      <c r="GW15" s="976">
        <v>3745.8</v>
      </c>
      <c r="GX15" s="976">
        <v>6010</v>
      </c>
    </row>
    <row r="16" spans="1:206">
      <c r="A16" s="976" t="s">
        <v>229</v>
      </c>
      <c r="B16" s="976">
        <v>1.2</v>
      </c>
      <c r="C16" s="976">
        <v>1.3</v>
      </c>
      <c r="D16" s="976">
        <v>1.3</v>
      </c>
      <c r="E16" s="976">
        <v>1.3</v>
      </c>
      <c r="F16" s="976">
        <v>1.4</v>
      </c>
      <c r="G16" s="976">
        <v>1.4</v>
      </c>
      <c r="H16" s="976">
        <v>1.5</v>
      </c>
      <c r="I16" s="976">
        <v>1.5</v>
      </c>
      <c r="J16" s="976">
        <v>1.7</v>
      </c>
      <c r="K16" s="976">
        <v>1.8</v>
      </c>
      <c r="L16" s="976">
        <v>1.8</v>
      </c>
      <c r="M16" s="976">
        <v>1.9</v>
      </c>
      <c r="N16" s="976">
        <v>1.8</v>
      </c>
      <c r="O16" s="976">
        <v>1.8</v>
      </c>
      <c r="P16" s="976">
        <v>1.8</v>
      </c>
      <c r="Q16" s="976">
        <v>1.9</v>
      </c>
      <c r="R16" s="976">
        <v>1.9</v>
      </c>
      <c r="S16" s="976">
        <v>2</v>
      </c>
      <c r="T16" s="976">
        <v>2.1</v>
      </c>
      <c r="U16" s="976">
        <v>2.2000000000000002</v>
      </c>
      <c r="V16" s="976">
        <v>2.2999999999999998</v>
      </c>
      <c r="W16" s="976">
        <v>2.4</v>
      </c>
      <c r="X16" s="976">
        <v>2.6</v>
      </c>
      <c r="Y16" s="976">
        <v>2.7</v>
      </c>
      <c r="Z16" s="976">
        <v>2.8</v>
      </c>
      <c r="AA16" s="976">
        <v>3</v>
      </c>
      <c r="AB16" s="976">
        <v>3.1</v>
      </c>
      <c r="AC16" s="976">
        <v>3.2</v>
      </c>
      <c r="AD16" s="976">
        <v>3.3</v>
      </c>
      <c r="AE16" s="976">
        <v>3.4</v>
      </c>
      <c r="AF16" s="976">
        <v>3.5</v>
      </c>
      <c r="AG16" s="976">
        <v>3.6</v>
      </c>
      <c r="AH16" s="976">
        <v>3.7</v>
      </c>
      <c r="AI16" s="976">
        <v>3.8</v>
      </c>
      <c r="AJ16" s="976">
        <v>3.9</v>
      </c>
      <c r="AK16" s="976">
        <v>4</v>
      </c>
      <c r="AL16" s="976">
        <v>4.0999999999999996</v>
      </c>
      <c r="AM16" s="976">
        <v>4.3</v>
      </c>
      <c r="AN16" s="976">
        <v>4.4000000000000004</v>
      </c>
      <c r="AO16" s="976">
        <v>4.5</v>
      </c>
      <c r="AP16" s="976">
        <v>4.5999999999999996</v>
      </c>
      <c r="AQ16" s="976">
        <v>4.8</v>
      </c>
      <c r="AR16" s="976">
        <v>5</v>
      </c>
      <c r="AS16" s="976">
        <v>5.3</v>
      </c>
      <c r="AT16" s="976">
        <v>5.6</v>
      </c>
      <c r="AU16" s="976">
        <v>5.9</v>
      </c>
      <c r="AV16" s="976">
        <v>6.1</v>
      </c>
      <c r="AW16" s="976">
        <v>6.3</v>
      </c>
      <c r="AX16" s="976">
        <v>6.7</v>
      </c>
      <c r="AY16" s="976">
        <v>6.9</v>
      </c>
      <c r="AZ16" s="976">
        <v>7.2</v>
      </c>
      <c r="BA16" s="976">
        <v>7.5</v>
      </c>
      <c r="BB16" s="976">
        <v>7.7</v>
      </c>
      <c r="BC16" s="976">
        <v>8</v>
      </c>
      <c r="BD16" s="976">
        <v>8.3000000000000007</v>
      </c>
      <c r="BE16" s="976">
        <v>8.5</v>
      </c>
      <c r="BF16" s="976">
        <v>8.8000000000000007</v>
      </c>
      <c r="BG16" s="976">
        <v>9.1</v>
      </c>
      <c r="BH16" s="976">
        <v>9.3000000000000007</v>
      </c>
      <c r="BI16" s="976">
        <v>9.5</v>
      </c>
      <c r="BJ16" s="976">
        <v>9.9</v>
      </c>
      <c r="BK16" s="976">
        <v>10.199999999999999</v>
      </c>
      <c r="BL16" s="976">
        <v>10.6</v>
      </c>
      <c r="BM16" s="976">
        <v>11</v>
      </c>
      <c r="BN16" s="976">
        <v>11.3</v>
      </c>
      <c r="BO16" s="976">
        <v>11.7</v>
      </c>
      <c r="BP16" s="976">
        <v>12.1</v>
      </c>
      <c r="BQ16" s="976">
        <v>12.7</v>
      </c>
      <c r="BR16" s="976">
        <v>12.7</v>
      </c>
      <c r="BS16" s="976">
        <v>12.9</v>
      </c>
      <c r="BT16" s="976">
        <v>13.5</v>
      </c>
      <c r="BU16" s="976">
        <v>13.7</v>
      </c>
      <c r="BV16" s="976">
        <v>14.2</v>
      </c>
      <c r="BW16" s="976">
        <v>14.8</v>
      </c>
      <c r="BX16" s="976">
        <v>15.1</v>
      </c>
      <c r="BY16" s="976">
        <v>15.4</v>
      </c>
      <c r="BZ16" s="976">
        <v>15.9</v>
      </c>
      <c r="CA16" s="976">
        <v>16.3</v>
      </c>
      <c r="CB16" s="976">
        <v>16.7</v>
      </c>
      <c r="CC16" s="976">
        <v>17.100000000000001</v>
      </c>
      <c r="CD16" s="976">
        <v>17.3</v>
      </c>
      <c r="CE16" s="976">
        <v>17.899999999999999</v>
      </c>
      <c r="CF16" s="976">
        <v>18.7</v>
      </c>
      <c r="CG16" s="976">
        <v>19.600000000000001</v>
      </c>
      <c r="CH16" s="976">
        <v>20.9</v>
      </c>
      <c r="CI16" s="976">
        <v>22.1</v>
      </c>
      <c r="CJ16" s="976">
        <v>23.1</v>
      </c>
      <c r="CK16" s="976">
        <v>24.2</v>
      </c>
      <c r="CL16" s="976">
        <v>25</v>
      </c>
      <c r="CM16" s="976">
        <v>25.8</v>
      </c>
      <c r="CN16" s="976">
        <v>26.4</v>
      </c>
      <c r="CO16" s="976">
        <v>26.8</v>
      </c>
      <c r="CP16" s="976">
        <v>28</v>
      </c>
      <c r="CQ16" s="976">
        <v>28.3</v>
      </c>
      <c r="CR16" s="976">
        <v>28.7</v>
      </c>
      <c r="CS16" s="976">
        <v>29.2</v>
      </c>
      <c r="CT16" s="976">
        <v>30.1</v>
      </c>
      <c r="CU16" s="976">
        <v>30.7</v>
      </c>
      <c r="CV16" s="976">
        <v>31.2</v>
      </c>
      <c r="CW16" s="976">
        <v>31.6</v>
      </c>
      <c r="CX16" s="976">
        <v>31.9</v>
      </c>
      <c r="CY16" s="976">
        <v>32.299999999999997</v>
      </c>
      <c r="CZ16" s="976">
        <v>32.9</v>
      </c>
      <c r="DA16" s="976">
        <v>33.5</v>
      </c>
      <c r="DB16" s="976">
        <v>34</v>
      </c>
      <c r="DC16" s="976">
        <v>34.6</v>
      </c>
      <c r="DD16" s="976">
        <v>35.200000000000003</v>
      </c>
      <c r="DE16" s="976">
        <v>35.799999999999997</v>
      </c>
      <c r="DF16" s="976">
        <v>37.200000000000003</v>
      </c>
      <c r="DG16" s="976">
        <v>38</v>
      </c>
      <c r="DH16" s="976">
        <v>38.6</v>
      </c>
      <c r="DI16" s="976">
        <v>39</v>
      </c>
      <c r="DJ16" s="976">
        <v>39.1</v>
      </c>
      <c r="DK16" s="976">
        <v>39.299999999999997</v>
      </c>
      <c r="DL16" s="976">
        <v>40</v>
      </c>
      <c r="DM16" s="976">
        <v>41.1</v>
      </c>
      <c r="DN16" s="976">
        <v>42.3</v>
      </c>
      <c r="DO16" s="976">
        <v>43.5</v>
      </c>
      <c r="DP16" s="976">
        <v>44.7</v>
      </c>
      <c r="DQ16" s="976">
        <v>45.8</v>
      </c>
      <c r="DR16" s="976">
        <v>46.9</v>
      </c>
      <c r="DS16" s="976">
        <v>48.1</v>
      </c>
      <c r="DT16" s="976">
        <v>49.3</v>
      </c>
      <c r="DU16" s="976">
        <v>50.6</v>
      </c>
      <c r="DV16" s="976">
        <v>51.5</v>
      </c>
      <c r="DW16" s="976">
        <v>52.5</v>
      </c>
      <c r="DX16" s="976">
        <v>53.4</v>
      </c>
      <c r="DY16" s="976">
        <v>54.3</v>
      </c>
      <c r="DZ16" s="976">
        <v>55.2</v>
      </c>
      <c r="EA16" s="976">
        <v>56</v>
      </c>
      <c r="EB16" s="976">
        <v>56.8</v>
      </c>
      <c r="EC16" s="976">
        <v>57.6</v>
      </c>
      <c r="ED16" s="976">
        <v>58.5</v>
      </c>
      <c r="EE16" s="976">
        <v>59.7</v>
      </c>
      <c r="EF16" s="976">
        <v>61.1</v>
      </c>
      <c r="EG16" s="976">
        <v>62.7</v>
      </c>
      <c r="EH16" s="976">
        <v>64.8</v>
      </c>
      <c r="EI16" s="976">
        <v>66.400000000000006</v>
      </c>
      <c r="EJ16" s="976">
        <v>67.7</v>
      </c>
      <c r="EK16" s="976">
        <v>68.7</v>
      </c>
      <c r="EL16" s="976">
        <v>70.3</v>
      </c>
      <c r="EM16" s="976">
        <v>71.2</v>
      </c>
      <c r="EN16" s="976">
        <v>72.099999999999994</v>
      </c>
      <c r="EO16" s="976">
        <v>73</v>
      </c>
      <c r="EP16" s="976">
        <v>74.400000000000006</v>
      </c>
      <c r="EQ16" s="976">
        <v>74.900000000000006</v>
      </c>
      <c r="ER16" s="976">
        <v>75.5</v>
      </c>
      <c r="ES16" s="976">
        <v>76.3</v>
      </c>
      <c r="ET16" s="976">
        <v>78</v>
      </c>
      <c r="EU16" s="976">
        <v>78.8</v>
      </c>
      <c r="EV16" s="976">
        <v>79.599999999999994</v>
      </c>
      <c r="EW16" s="976">
        <v>80.3</v>
      </c>
      <c r="EX16" s="976">
        <v>80.5</v>
      </c>
      <c r="EY16" s="976">
        <v>81</v>
      </c>
      <c r="EZ16" s="976">
        <v>81.2</v>
      </c>
      <c r="FA16" s="976">
        <v>81.2</v>
      </c>
      <c r="FB16" s="976">
        <v>80.599999999999994</v>
      </c>
      <c r="FC16" s="976">
        <v>80.3</v>
      </c>
      <c r="FD16" s="976">
        <v>79.900000000000006</v>
      </c>
      <c r="FE16" s="976">
        <v>79.5</v>
      </c>
      <c r="FF16" s="976">
        <v>79.5</v>
      </c>
      <c r="FG16" s="976">
        <v>79.3</v>
      </c>
      <c r="FH16" s="976">
        <v>79.3</v>
      </c>
      <c r="FI16" s="976">
        <v>79.5</v>
      </c>
      <c r="FJ16" s="976">
        <v>80.400000000000006</v>
      </c>
      <c r="FK16" s="976">
        <v>81.5</v>
      </c>
      <c r="FL16" s="976">
        <v>82.7</v>
      </c>
      <c r="FM16" s="976">
        <v>84.1</v>
      </c>
      <c r="FN16" s="976">
        <v>85.2</v>
      </c>
      <c r="FO16" s="976">
        <v>86.3</v>
      </c>
      <c r="FP16" s="976">
        <v>86.9</v>
      </c>
      <c r="FQ16" s="976">
        <v>86.8</v>
      </c>
      <c r="FR16" s="976">
        <v>86.6</v>
      </c>
      <c r="FS16" s="976">
        <v>86.8</v>
      </c>
      <c r="FT16" s="976">
        <v>87.5</v>
      </c>
      <c r="FU16" s="976">
        <v>88.9</v>
      </c>
      <c r="FV16" s="976">
        <v>90.9</v>
      </c>
      <c r="FW16" s="976">
        <v>92.6</v>
      </c>
      <c r="FX16" s="976">
        <v>94.2</v>
      </c>
      <c r="FY16" s="976">
        <v>95.7</v>
      </c>
      <c r="FZ16" s="976">
        <v>99.4</v>
      </c>
      <c r="GA16" s="976">
        <v>100.7</v>
      </c>
      <c r="GB16" s="976">
        <v>101.6</v>
      </c>
      <c r="GC16" s="976">
        <v>101.9</v>
      </c>
      <c r="GD16" s="976">
        <v>103</v>
      </c>
      <c r="GE16" s="976">
        <v>103.1</v>
      </c>
      <c r="GF16" s="976">
        <v>103.4</v>
      </c>
      <c r="GG16" s="976">
        <v>104</v>
      </c>
      <c r="GH16" s="976">
        <v>105.7</v>
      </c>
      <c r="GI16" s="976">
        <v>106.6</v>
      </c>
      <c r="GJ16" s="976">
        <v>107.6</v>
      </c>
      <c r="GK16" s="976">
        <v>108.7</v>
      </c>
      <c r="GL16" s="976">
        <v>109.8</v>
      </c>
      <c r="GM16" s="976">
        <v>110.9</v>
      </c>
      <c r="GN16" s="976">
        <v>111.9</v>
      </c>
      <c r="GO16" s="976">
        <v>112.9</v>
      </c>
      <c r="GP16" s="976">
        <v>114.2</v>
      </c>
      <c r="GQ16" s="976">
        <v>114.9</v>
      </c>
      <c r="GR16" s="976">
        <v>115.5</v>
      </c>
      <c r="GS16" s="976">
        <v>116</v>
      </c>
      <c r="GT16" s="976">
        <v>112.2</v>
      </c>
      <c r="GU16" s="976">
        <v>112.5</v>
      </c>
      <c r="GV16" s="976">
        <v>113</v>
      </c>
      <c r="GW16" s="976">
        <v>113.6</v>
      </c>
      <c r="GX16" s="976">
        <v>114.4</v>
      </c>
    </row>
    <row r="17" spans="1:206">
      <c r="A17" s="976" t="s">
        <v>230</v>
      </c>
      <c r="B17" s="976">
        <v>104.6</v>
      </c>
      <c r="C17" s="976">
        <v>105.5</v>
      </c>
      <c r="D17" s="976">
        <v>100.7</v>
      </c>
      <c r="E17" s="976">
        <v>101.5</v>
      </c>
      <c r="F17" s="976">
        <v>98.3</v>
      </c>
      <c r="G17" s="976">
        <v>100.7</v>
      </c>
      <c r="H17" s="976">
        <v>102.3</v>
      </c>
      <c r="I17" s="976">
        <v>105.5</v>
      </c>
      <c r="J17" s="976">
        <v>119.8</v>
      </c>
      <c r="K17" s="976">
        <v>123.4</v>
      </c>
      <c r="L17" s="976">
        <v>124.3</v>
      </c>
      <c r="M17" s="976">
        <v>127.1</v>
      </c>
      <c r="N17" s="976">
        <v>126.4</v>
      </c>
      <c r="O17" s="976">
        <v>129.19999999999999</v>
      </c>
      <c r="P17" s="976">
        <v>134.1</v>
      </c>
      <c r="Q17" s="976">
        <v>140</v>
      </c>
      <c r="R17" s="976">
        <v>142.80000000000001</v>
      </c>
      <c r="S17" s="976">
        <v>148.9</v>
      </c>
      <c r="T17" s="976">
        <v>154.9</v>
      </c>
      <c r="U17" s="976">
        <v>157.6</v>
      </c>
      <c r="V17" s="976">
        <v>158</v>
      </c>
      <c r="W17" s="976">
        <v>121.1</v>
      </c>
      <c r="X17" s="976">
        <v>152.80000000000001</v>
      </c>
      <c r="Y17" s="976">
        <v>158.5</v>
      </c>
      <c r="Z17" s="976">
        <v>162.5</v>
      </c>
      <c r="AA17" s="976">
        <v>169.3</v>
      </c>
      <c r="AB17" s="976">
        <v>176.1</v>
      </c>
      <c r="AC17" s="976">
        <v>182.7</v>
      </c>
      <c r="AD17" s="976">
        <v>188.8</v>
      </c>
      <c r="AE17" s="976">
        <v>195.7</v>
      </c>
      <c r="AF17" s="976">
        <v>198.6</v>
      </c>
      <c r="AG17" s="976">
        <v>208.5</v>
      </c>
      <c r="AH17" s="976">
        <v>212</v>
      </c>
      <c r="AI17" s="976">
        <v>223.1</v>
      </c>
      <c r="AJ17" s="976">
        <v>236.3</v>
      </c>
      <c r="AK17" s="976">
        <v>247.2</v>
      </c>
      <c r="AL17" s="976">
        <v>253.6</v>
      </c>
      <c r="AM17" s="976">
        <v>262</v>
      </c>
      <c r="AN17" s="976">
        <v>274.8</v>
      </c>
      <c r="AO17" s="976">
        <v>285.2</v>
      </c>
      <c r="AP17" s="976">
        <v>284.8</v>
      </c>
      <c r="AQ17" s="976">
        <v>292.2</v>
      </c>
      <c r="AR17" s="976">
        <v>302.2</v>
      </c>
      <c r="AS17" s="976">
        <v>318.89999999999998</v>
      </c>
      <c r="AT17" s="976">
        <v>330.9</v>
      </c>
      <c r="AU17" s="976">
        <v>342.7</v>
      </c>
      <c r="AV17" s="976">
        <v>356.9</v>
      </c>
      <c r="AW17" s="976">
        <v>352.7</v>
      </c>
      <c r="AX17" s="976">
        <v>352.5</v>
      </c>
      <c r="AY17" s="976">
        <v>359.7</v>
      </c>
      <c r="AZ17" s="976">
        <v>350.1</v>
      </c>
      <c r="BA17" s="976">
        <v>356.6</v>
      </c>
      <c r="BB17" s="976">
        <v>350.9</v>
      </c>
      <c r="BC17" s="976">
        <v>359.6</v>
      </c>
      <c r="BD17" s="976">
        <v>345.4</v>
      </c>
      <c r="BE17" s="976">
        <v>355.7</v>
      </c>
      <c r="BF17" s="976">
        <v>361.2</v>
      </c>
      <c r="BG17" s="976">
        <v>370.4</v>
      </c>
      <c r="BH17" s="976">
        <v>384.1</v>
      </c>
      <c r="BI17" s="976">
        <v>395.9</v>
      </c>
      <c r="BJ17" s="976">
        <v>432.3</v>
      </c>
      <c r="BK17" s="976">
        <v>388.5</v>
      </c>
      <c r="BL17" s="976">
        <v>421.5</v>
      </c>
      <c r="BM17" s="976">
        <v>428.9</v>
      </c>
      <c r="BN17" s="976">
        <v>426.3</v>
      </c>
      <c r="BO17" s="976">
        <v>429.4</v>
      </c>
      <c r="BP17" s="976">
        <v>439.5</v>
      </c>
      <c r="BQ17" s="976">
        <v>456</v>
      </c>
      <c r="BR17" s="976">
        <v>450.7</v>
      </c>
      <c r="BS17" s="976">
        <v>511.7</v>
      </c>
      <c r="BT17" s="976">
        <v>489</v>
      </c>
      <c r="BU17" s="976">
        <v>507</v>
      </c>
      <c r="BV17" s="976">
        <v>502.1</v>
      </c>
      <c r="BW17" s="976">
        <v>497.8</v>
      </c>
      <c r="BX17" s="976">
        <v>506.7</v>
      </c>
      <c r="BY17" s="976">
        <v>517.20000000000005</v>
      </c>
      <c r="BZ17" s="976">
        <v>552.9</v>
      </c>
      <c r="CA17" s="976">
        <v>566.70000000000005</v>
      </c>
      <c r="CB17" s="976">
        <v>571.6</v>
      </c>
      <c r="CC17" s="976">
        <v>579.79999999999995</v>
      </c>
      <c r="CD17" s="976">
        <v>582.5</v>
      </c>
      <c r="CE17" s="976">
        <v>594.6</v>
      </c>
      <c r="CF17" s="976">
        <v>600.70000000000005</v>
      </c>
      <c r="CG17" s="976">
        <v>600.79999999999995</v>
      </c>
      <c r="CH17" s="976">
        <v>580.79999999999995</v>
      </c>
      <c r="CI17" s="976">
        <v>585.9</v>
      </c>
      <c r="CJ17" s="976">
        <v>590.20000000000005</v>
      </c>
      <c r="CK17" s="976">
        <v>598.70000000000005</v>
      </c>
      <c r="CL17" s="976">
        <v>588.9</v>
      </c>
      <c r="CM17" s="976">
        <v>607.20000000000005</v>
      </c>
      <c r="CN17" s="976">
        <v>616.20000000000005</v>
      </c>
      <c r="CO17" s="976">
        <v>638.9</v>
      </c>
      <c r="CP17" s="976">
        <v>617</v>
      </c>
      <c r="CQ17" s="976">
        <v>643.5</v>
      </c>
      <c r="CR17" s="976">
        <v>659.2</v>
      </c>
      <c r="CS17" s="976">
        <v>675.3</v>
      </c>
      <c r="CT17" s="976">
        <v>673.7</v>
      </c>
      <c r="CU17" s="976">
        <v>697.8</v>
      </c>
      <c r="CV17" s="976">
        <v>695.4</v>
      </c>
      <c r="CW17" s="976">
        <v>705.4</v>
      </c>
      <c r="CX17" s="976">
        <v>724.6</v>
      </c>
      <c r="CY17" s="976">
        <v>746.8</v>
      </c>
      <c r="CZ17" s="976">
        <v>752.2</v>
      </c>
      <c r="DA17" s="976">
        <v>770</v>
      </c>
      <c r="DB17" s="976">
        <v>801.7</v>
      </c>
      <c r="DC17" s="976">
        <v>839.6</v>
      </c>
      <c r="DD17" s="976">
        <v>843.5</v>
      </c>
      <c r="DE17" s="976">
        <v>863.5</v>
      </c>
      <c r="DF17" s="976">
        <v>902.1</v>
      </c>
      <c r="DG17" s="976">
        <v>916.2</v>
      </c>
      <c r="DH17" s="976">
        <v>941.1</v>
      </c>
      <c r="DI17" s="976">
        <v>967.8</v>
      </c>
      <c r="DJ17" s="976">
        <v>996.1</v>
      </c>
      <c r="DK17" s="976">
        <v>1022.4</v>
      </c>
      <c r="DL17" s="976">
        <v>1043.2</v>
      </c>
      <c r="DM17" s="976">
        <v>1068</v>
      </c>
      <c r="DN17" s="976">
        <v>1077.9000000000001</v>
      </c>
      <c r="DO17" s="976">
        <v>1095.2</v>
      </c>
      <c r="DP17" s="976">
        <v>1120.5999999999999</v>
      </c>
      <c r="DQ17" s="976">
        <v>1154</v>
      </c>
      <c r="DR17" s="976">
        <v>1208.8</v>
      </c>
      <c r="DS17" s="976">
        <v>1230.2</v>
      </c>
      <c r="DT17" s="976">
        <v>1247.7</v>
      </c>
      <c r="DU17" s="976">
        <v>1258.7</v>
      </c>
      <c r="DV17" s="976">
        <v>1301.9000000000001</v>
      </c>
      <c r="DW17" s="976">
        <v>1308.9000000000001</v>
      </c>
      <c r="DX17" s="976">
        <v>1113.5999999999999</v>
      </c>
      <c r="DY17" s="976">
        <v>1231.8</v>
      </c>
      <c r="DZ17" s="976">
        <v>1075.2</v>
      </c>
      <c r="EA17" s="976">
        <v>1051</v>
      </c>
      <c r="EB17" s="976">
        <v>1044.0999999999999</v>
      </c>
      <c r="EC17" s="976">
        <v>1038.4000000000001</v>
      </c>
      <c r="ED17" s="976">
        <v>1021.3</v>
      </c>
      <c r="EE17" s="976">
        <v>1020.8</v>
      </c>
      <c r="EF17" s="976">
        <v>950.7</v>
      </c>
      <c r="EG17" s="976">
        <v>1021.3</v>
      </c>
      <c r="EH17" s="976">
        <v>1012.3</v>
      </c>
      <c r="EI17" s="976">
        <v>1026.8</v>
      </c>
      <c r="EJ17" s="976">
        <v>1064.4000000000001</v>
      </c>
      <c r="EK17" s="976">
        <v>1091.5999999999999</v>
      </c>
      <c r="EL17" s="976">
        <v>1172.3</v>
      </c>
      <c r="EM17" s="976">
        <v>1196.3</v>
      </c>
      <c r="EN17" s="976">
        <v>1225.5</v>
      </c>
      <c r="EO17" s="976">
        <v>1255.8</v>
      </c>
      <c r="EP17" s="976">
        <v>1320.5</v>
      </c>
      <c r="EQ17" s="976">
        <v>1351.3</v>
      </c>
      <c r="ER17" s="976">
        <v>1358.6</v>
      </c>
      <c r="ES17" s="976">
        <v>1397.5</v>
      </c>
      <c r="ET17" s="976">
        <v>1466.5</v>
      </c>
      <c r="EU17" s="976">
        <v>1495.9</v>
      </c>
      <c r="EV17" s="976">
        <v>1498.9</v>
      </c>
      <c r="EW17" s="976">
        <v>1508.6</v>
      </c>
      <c r="EX17" s="976">
        <v>1535.1</v>
      </c>
      <c r="EY17" s="976">
        <v>1552.5</v>
      </c>
      <c r="EZ17" s="976">
        <v>1497.5</v>
      </c>
      <c r="FA17" s="976">
        <v>1444.9</v>
      </c>
      <c r="FB17" s="976">
        <v>1202.4000000000001</v>
      </c>
      <c r="FC17" s="976">
        <v>1131.0999999999999</v>
      </c>
      <c r="FD17" s="976">
        <v>1135.3</v>
      </c>
      <c r="FE17" s="976">
        <v>1140.7</v>
      </c>
      <c r="FF17" s="976">
        <v>1191.8</v>
      </c>
      <c r="FG17" s="976">
        <v>1213.2</v>
      </c>
      <c r="FH17" s="976">
        <v>1256.3</v>
      </c>
      <c r="FI17" s="976">
        <v>1289.0999999999999</v>
      </c>
      <c r="FJ17" s="976">
        <v>1426.6</v>
      </c>
      <c r="FK17" s="976">
        <v>1445.9</v>
      </c>
      <c r="FL17" s="976">
        <v>1471.4</v>
      </c>
      <c r="FM17" s="976">
        <v>1470.9</v>
      </c>
      <c r="FN17" s="976">
        <v>1468.3</v>
      </c>
      <c r="FO17" s="976">
        <v>1487.7</v>
      </c>
      <c r="FP17" s="976">
        <v>1510</v>
      </c>
      <c r="FQ17" s="976">
        <v>1572</v>
      </c>
      <c r="FR17" s="976">
        <v>1650</v>
      </c>
      <c r="FS17" s="976">
        <v>1682.5</v>
      </c>
      <c r="FT17" s="976">
        <v>1674.9</v>
      </c>
      <c r="FU17" s="976">
        <v>1698.1</v>
      </c>
      <c r="FV17" s="976">
        <v>1744.8</v>
      </c>
      <c r="FW17" s="976">
        <v>1758.4</v>
      </c>
      <c r="FX17" s="976">
        <v>1798.6</v>
      </c>
      <c r="FY17" s="976">
        <v>1836.5</v>
      </c>
      <c r="FZ17" s="976">
        <v>1904.6</v>
      </c>
      <c r="GA17" s="976">
        <v>1943</v>
      </c>
      <c r="GB17" s="976">
        <v>1947.3</v>
      </c>
      <c r="GC17" s="976">
        <v>1964.9</v>
      </c>
      <c r="GD17" s="976">
        <v>1925</v>
      </c>
      <c r="GE17" s="976">
        <v>1945.2</v>
      </c>
      <c r="GF17" s="976">
        <v>1971</v>
      </c>
      <c r="GG17" s="976">
        <v>1990.4</v>
      </c>
      <c r="GH17" s="976">
        <v>2001.1</v>
      </c>
      <c r="GI17" s="976">
        <v>2005.6</v>
      </c>
      <c r="GJ17" s="976">
        <v>2052.3000000000002</v>
      </c>
      <c r="GK17" s="976">
        <v>2127.9</v>
      </c>
      <c r="GL17" s="976">
        <v>2085.6</v>
      </c>
      <c r="GM17" s="976">
        <v>2064.4</v>
      </c>
      <c r="GN17" s="976">
        <v>2100.5</v>
      </c>
      <c r="GO17" s="976">
        <v>2090.6999999999998</v>
      </c>
      <c r="GP17" s="976">
        <v>2170.6999999999998</v>
      </c>
      <c r="GQ17" s="976">
        <v>2222.5</v>
      </c>
      <c r="GR17" s="976">
        <v>2197.1</v>
      </c>
      <c r="GS17" s="976">
        <v>2221.1999999999998</v>
      </c>
      <c r="GT17" s="976">
        <v>2252.4</v>
      </c>
      <c r="GU17" s="976">
        <v>2096.5</v>
      </c>
      <c r="GV17" s="976">
        <v>2191.6</v>
      </c>
      <c r="GW17" s="976">
        <v>2270.1999999999998</v>
      </c>
      <c r="GX17" s="976">
        <v>2314.1</v>
      </c>
    </row>
    <row r="18" spans="1:206">
      <c r="A18" s="976" t="s">
        <v>231</v>
      </c>
      <c r="B18" s="976">
        <v>88.5</v>
      </c>
      <c r="C18" s="976">
        <v>90.5</v>
      </c>
      <c r="D18" s="976">
        <v>92.5</v>
      </c>
      <c r="E18" s="976">
        <v>94.1</v>
      </c>
      <c r="F18" s="976">
        <v>97.7</v>
      </c>
      <c r="G18" s="976">
        <v>98.9</v>
      </c>
      <c r="H18" s="976">
        <v>101.7</v>
      </c>
      <c r="I18" s="976">
        <v>103.7</v>
      </c>
      <c r="J18" s="976">
        <v>104.6</v>
      </c>
      <c r="K18" s="976">
        <v>106.8</v>
      </c>
      <c r="L18" s="976">
        <v>108.9</v>
      </c>
      <c r="M18" s="976">
        <v>111.5</v>
      </c>
      <c r="N18" s="976">
        <v>114.6</v>
      </c>
      <c r="O18" s="976">
        <v>116.2</v>
      </c>
      <c r="P18" s="976">
        <v>118.4</v>
      </c>
      <c r="Q18" s="976">
        <v>119.7</v>
      </c>
      <c r="R18" s="976">
        <v>120.8</v>
      </c>
      <c r="S18" s="976">
        <v>124.1</v>
      </c>
      <c r="T18" s="976">
        <v>127.1</v>
      </c>
      <c r="U18" s="976">
        <v>127.7</v>
      </c>
      <c r="V18" s="976">
        <v>128.80000000000001</v>
      </c>
      <c r="W18" s="976">
        <v>133</v>
      </c>
      <c r="X18" s="976">
        <v>138.19999999999999</v>
      </c>
      <c r="Y18" s="976">
        <v>141.1</v>
      </c>
      <c r="Z18" s="976">
        <v>141.69999999999999</v>
      </c>
      <c r="AA18" s="976">
        <v>144.9</v>
      </c>
      <c r="AB18" s="976">
        <v>147.69999999999999</v>
      </c>
      <c r="AC18" s="976">
        <v>151.30000000000001</v>
      </c>
      <c r="AD18" s="976">
        <v>154.80000000000001</v>
      </c>
      <c r="AE18" s="976">
        <v>158</v>
      </c>
      <c r="AF18" s="976">
        <v>161.5</v>
      </c>
      <c r="AG18" s="976">
        <v>164.3</v>
      </c>
      <c r="AH18" s="976">
        <v>166.9</v>
      </c>
      <c r="AI18" s="976">
        <v>173.1</v>
      </c>
      <c r="AJ18" s="976">
        <v>169.7</v>
      </c>
      <c r="AK18" s="976">
        <v>173.9</v>
      </c>
      <c r="AL18" s="976">
        <v>176.4</v>
      </c>
      <c r="AM18" s="976">
        <v>178.5</v>
      </c>
      <c r="AN18" s="976">
        <v>180.9</v>
      </c>
      <c r="AO18" s="976">
        <v>184.6</v>
      </c>
      <c r="AP18" s="976">
        <v>189.5</v>
      </c>
      <c r="AQ18" s="976">
        <v>196.9</v>
      </c>
      <c r="AR18" s="976">
        <v>204.3</v>
      </c>
      <c r="AS18" s="976">
        <v>210.6</v>
      </c>
      <c r="AT18" s="976">
        <v>230.8</v>
      </c>
      <c r="AU18" s="976">
        <v>235.5</v>
      </c>
      <c r="AV18" s="976">
        <v>237.5</v>
      </c>
      <c r="AW18" s="976">
        <v>238.8</v>
      </c>
      <c r="AX18" s="976">
        <v>237.4</v>
      </c>
      <c r="AY18" s="976">
        <v>238.3</v>
      </c>
      <c r="AZ18" s="976">
        <v>241.8</v>
      </c>
      <c r="BA18" s="976">
        <v>246.3</v>
      </c>
      <c r="BB18" s="976">
        <v>250.7</v>
      </c>
      <c r="BC18" s="976">
        <v>261.2</v>
      </c>
      <c r="BD18" s="976">
        <v>267.5</v>
      </c>
      <c r="BE18" s="976">
        <v>273.7</v>
      </c>
      <c r="BF18" s="976">
        <v>281.60000000000002</v>
      </c>
      <c r="BG18" s="976">
        <v>287.7</v>
      </c>
      <c r="BH18" s="976">
        <v>292.2</v>
      </c>
      <c r="BI18" s="976">
        <v>297.5</v>
      </c>
      <c r="BJ18" s="976">
        <v>301</v>
      </c>
      <c r="BK18" s="976">
        <v>305.7</v>
      </c>
      <c r="BL18" s="976">
        <v>311.89999999999998</v>
      </c>
      <c r="BM18" s="976">
        <v>313.89999999999998</v>
      </c>
      <c r="BN18" s="976">
        <v>317.5</v>
      </c>
      <c r="BO18" s="976">
        <v>319.5</v>
      </c>
      <c r="BP18" s="976">
        <v>326.2</v>
      </c>
      <c r="BQ18" s="976">
        <v>330.4</v>
      </c>
      <c r="BR18" s="976">
        <v>336</v>
      </c>
      <c r="BS18" s="976">
        <v>344.4</v>
      </c>
      <c r="BT18" s="976">
        <v>352.4</v>
      </c>
      <c r="BU18" s="976">
        <v>357.4</v>
      </c>
      <c r="BV18" s="976">
        <v>365.2</v>
      </c>
      <c r="BW18" s="976">
        <v>372.5</v>
      </c>
      <c r="BX18" s="976">
        <v>377.5</v>
      </c>
      <c r="BY18" s="976">
        <v>382.6</v>
      </c>
      <c r="BZ18" s="976">
        <v>391</v>
      </c>
      <c r="CA18" s="976">
        <v>397.5</v>
      </c>
      <c r="CB18" s="976">
        <v>403.9</v>
      </c>
      <c r="CC18" s="976">
        <v>403</v>
      </c>
      <c r="CD18" s="976">
        <v>419.5</v>
      </c>
      <c r="CE18" s="976">
        <v>419.5</v>
      </c>
      <c r="CF18" s="976">
        <v>426.8</v>
      </c>
      <c r="CG18" s="976">
        <v>434.2</v>
      </c>
      <c r="CH18" s="976">
        <v>444</v>
      </c>
      <c r="CI18" s="976">
        <v>451.6</v>
      </c>
      <c r="CJ18" s="976">
        <v>461.3</v>
      </c>
      <c r="CK18" s="976">
        <v>471.5</v>
      </c>
      <c r="CL18" s="976">
        <v>476.4</v>
      </c>
      <c r="CM18" s="976">
        <v>481.2</v>
      </c>
      <c r="CN18" s="976">
        <v>486</v>
      </c>
      <c r="CO18" s="976">
        <v>489.9</v>
      </c>
      <c r="CP18" s="976">
        <v>489.7</v>
      </c>
      <c r="CQ18" s="976">
        <v>497.6</v>
      </c>
      <c r="CR18" s="976">
        <v>504.9</v>
      </c>
      <c r="CS18" s="976">
        <v>520.29999999999995</v>
      </c>
      <c r="CT18" s="976">
        <v>531.5</v>
      </c>
      <c r="CU18" s="976">
        <v>544.4</v>
      </c>
      <c r="CV18" s="976">
        <v>550.5</v>
      </c>
      <c r="CW18" s="976">
        <v>554.6</v>
      </c>
      <c r="CX18" s="976">
        <v>555.29999999999995</v>
      </c>
      <c r="CY18" s="976">
        <v>553.6</v>
      </c>
      <c r="CZ18" s="976">
        <v>558.9</v>
      </c>
      <c r="DA18" s="976">
        <v>563.79999999999995</v>
      </c>
      <c r="DB18" s="976">
        <v>570.4</v>
      </c>
      <c r="DC18" s="976">
        <v>577.70000000000005</v>
      </c>
      <c r="DD18" s="976">
        <v>581.79999999999995</v>
      </c>
      <c r="DE18" s="976">
        <v>593.20000000000005</v>
      </c>
      <c r="DF18" s="976">
        <v>595.70000000000005</v>
      </c>
      <c r="DG18" s="976">
        <v>610.4</v>
      </c>
      <c r="DH18" s="976">
        <v>616.6</v>
      </c>
      <c r="DI18" s="976">
        <v>623.79999999999995</v>
      </c>
      <c r="DJ18" s="976">
        <v>629.1</v>
      </c>
      <c r="DK18" s="976">
        <v>635.5</v>
      </c>
      <c r="DL18" s="976">
        <v>643</v>
      </c>
      <c r="DM18" s="976">
        <v>650.29999999999995</v>
      </c>
      <c r="DN18" s="976">
        <v>657.5</v>
      </c>
      <c r="DO18" s="976">
        <v>667.1</v>
      </c>
      <c r="DP18" s="976">
        <v>679</v>
      </c>
      <c r="DQ18" s="976">
        <v>690.7</v>
      </c>
      <c r="DR18" s="976">
        <v>698.6</v>
      </c>
      <c r="DS18" s="976">
        <v>707.3</v>
      </c>
      <c r="DT18" s="976">
        <v>711.3</v>
      </c>
      <c r="DU18" s="976">
        <v>717.1</v>
      </c>
      <c r="DV18" s="976">
        <v>724.2</v>
      </c>
      <c r="DW18" s="976">
        <v>724.1</v>
      </c>
      <c r="DX18" s="976">
        <v>725.3</v>
      </c>
      <c r="DY18" s="976">
        <v>737.1</v>
      </c>
      <c r="DZ18" s="976">
        <v>744</v>
      </c>
      <c r="EA18" s="976">
        <v>751.3</v>
      </c>
      <c r="EB18" s="976">
        <v>768.5</v>
      </c>
      <c r="EC18" s="976">
        <v>776.3</v>
      </c>
      <c r="ED18" s="976">
        <v>788.6</v>
      </c>
      <c r="EE18" s="976">
        <v>800</v>
      </c>
      <c r="EF18" s="976">
        <v>813</v>
      </c>
      <c r="EG18" s="976">
        <v>820.9</v>
      </c>
      <c r="EH18" s="976">
        <v>847.3</v>
      </c>
      <c r="EI18" s="976">
        <v>859.9</v>
      </c>
      <c r="EJ18" s="976">
        <v>871.3</v>
      </c>
      <c r="EK18" s="976">
        <v>893.8</v>
      </c>
      <c r="EL18" s="976">
        <v>915.1</v>
      </c>
      <c r="EM18" s="976">
        <v>937.3</v>
      </c>
      <c r="EN18" s="976">
        <v>952.1</v>
      </c>
      <c r="EO18" s="976">
        <v>965.3</v>
      </c>
      <c r="EP18" s="976">
        <v>981.8</v>
      </c>
      <c r="EQ18" s="976">
        <v>991.7</v>
      </c>
      <c r="ER18" s="976">
        <v>1004.1</v>
      </c>
      <c r="ES18" s="976">
        <v>1010.5</v>
      </c>
      <c r="ET18" s="976">
        <v>1025.9000000000001</v>
      </c>
      <c r="EU18" s="976">
        <v>1033.0999999999999</v>
      </c>
      <c r="EV18" s="976">
        <v>1035.8</v>
      </c>
      <c r="EW18" s="976">
        <v>1052.5999999999999</v>
      </c>
      <c r="EX18" s="976">
        <v>1045.7</v>
      </c>
      <c r="EY18" s="976">
        <v>1054.7</v>
      </c>
      <c r="EZ18" s="976">
        <v>1058.5</v>
      </c>
      <c r="FA18" s="976">
        <v>1040</v>
      </c>
      <c r="FB18" s="976">
        <v>1015.9</v>
      </c>
      <c r="FC18" s="976">
        <v>1017.3</v>
      </c>
      <c r="FD18" s="976">
        <v>1028.8</v>
      </c>
      <c r="FE18" s="976">
        <v>1045.3</v>
      </c>
      <c r="FF18" s="976">
        <v>1044.5999999999999</v>
      </c>
      <c r="FG18" s="976">
        <v>1062.0999999999999</v>
      </c>
      <c r="FH18" s="976">
        <v>1069.0999999999999</v>
      </c>
      <c r="FI18" s="976">
        <v>1076.4000000000001</v>
      </c>
      <c r="FJ18" s="976">
        <v>1091.5</v>
      </c>
      <c r="FK18" s="976">
        <v>1105.5</v>
      </c>
      <c r="FL18" s="976">
        <v>1103.9000000000001</v>
      </c>
      <c r="FM18" s="976">
        <v>1114</v>
      </c>
      <c r="FN18" s="976">
        <v>1130.9000000000001</v>
      </c>
      <c r="FO18" s="976">
        <v>1133.9000000000001</v>
      </c>
      <c r="FP18" s="976">
        <v>1131.3</v>
      </c>
      <c r="FQ18" s="976">
        <v>1148.4000000000001</v>
      </c>
      <c r="FR18" s="976">
        <v>1174.5999999999999</v>
      </c>
      <c r="FS18" s="976">
        <v>1180.8</v>
      </c>
      <c r="FT18" s="976">
        <v>1195</v>
      </c>
      <c r="FU18" s="976">
        <v>1204.0999999999999</v>
      </c>
      <c r="FV18" s="976">
        <v>1220.5</v>
      </c>
      <c r="FW18" s="976">
        <v>1237.5</v>
      </c>
      <c r="FX18" s="976">
        <v>1248.4000000000001</v>
      </c>
      <c r="FY18" s="976">
        <v>1257</v>
      </c>
      <c r="FZ18" s="976">
        <v>1262.2</v>
      </c>
      <c r="GA18" s="976">
        <v>1273.0999999999999</v>
      </c>
      <c r="GB18" s="976">
        <v>1275.5</v>
      </c>
      <c r="GC18" s="976">
        <v>1289.9000000000001</v>
      </c>
      <c r="GD18" s="976">
        <v>1295.9000000000001</v>
      </c>
      <c r="GE18" s="976">
        <v>1301.8</v>
      </c>
      <c r="GF18" s="976">
        <v>1320.3</v>
      </c>
      <c r="GG18" s="976">
        <v>1329</v>
      </c>
      <c r="GH18" s="976">
        <v>1340</v>
      </c>
      <c r="GI18" s="976">
        <v>1357.4</v>
      </c>
      <c r="GJ18" s="976">
        <v>1368.7</v>
      </c>
      <c r="GK18" s="976">
        <v>1389.8</v>
      </c>
      <c r="GL18" s="976">
        <v>1418.3</v>
      </c>
      <c r="GM18" s="976">
        <v>1433.1</v>
      </c>
      <c r="GN18" s="976">
        <v>1448.7</v>
      </c>
      <c r="GO18" s="976">
        <v>1479</v>
      </c>
      <c r="GP18" s="976">
        <v>1473.8</v>
      </c>
      <c r="GQ18" s="976">
        <v>1480.7</v>
      </c>
      <c r="GR18" s="976">
        <v>1501.6</v>
      </c>
      <c r="GS18" s="976">
        <v>1509.6</v>
      </c>
      <c r="GT18" s="976">
        <v>1530</v>
      </c>
      <c r="GU18" s="976">
        <v>1395.8</v>
      </c>
      <c r="GV18" s="976">
        <v>1489.2</v>
      </c>
      <c r="GW18" s="976">
        <v>1511.6</v>
      </c>
      <c r="GX18" s="976">
        <v>1532.1</v>
      </c>
    </row>
    <row r="19" spans="1:206">
      <c r="A19" s="976" t="s">
        <v>232</v>
      </c>
      <c r="B19" s="976">
        <v>30.7</v>
      </c>
      <c r="C19" s="976">
        <v>30.8</v>
      </c>
      <c r="D19" s="976">
        <v>31.7</v>
      </c>
      <c r="E19" s="976">
        <v>30.2</v>
      </c>
      <c r="F19" s="976">
        <v>34</v>
      </c>
      <c r="G19" s="976">
        <v>34.9</v>
      </c>
      <c r="H19" s="976">
        <v>34.1</v>
      </c>
      <c r="I19" s="976">
        <v>34.6</v>
      </c>
      <c r="J19" s="976">
        <v>36.799999999999997</v>
      </c>
      <c r="K19" s="976">
        <v>37.1</v>
      </c>
      <c r="L19" s="976">
        <v>38.299999999999997</v>
      </c>
      <c r="M19" s="976">
        <v>42.4</v>
      </c>
      <c r="N19" s="976">
        <v>45.3</v>
      </c>
      <c r="O19" s="976">
        <v>45.4</v>
      </c>
      <c r="P19" s="976">
        <v>43.4</v>
      </c>
      <c r="Q19" s="976">
        <v>45.6</v>
      </c>
      <c r="R19" s="976">
        <v>43.7</v>
      </c>
      <c r="S19" s="976">
        <v>45.9</v>
      </c>
      <c r="T19" s="976">
        <v>50.8</v>
      </c>
      <c r="U19" s="976">
        <v>44.6</v>
      </c>
      <c r="V19" s="976">
        <v>37.6</v>
      </c>
      <c r="W19" s="976">
        <v>40.799999999999997</v>
      </c>
      <c r="X19" s="976">
        <v>51.4</v>
      </c>
      <c r="Y19" s="976">
        <v>52.3</v>
      </c>
      <c r="Z19" s="976">
        <v>59.6</v>
      </c>
      <c r="AA19" s="976">
        <v>58.6</v>
      </c>
      <c r="AB19" s="976">
        <v>58.1</v>
      </c>
      <c r="AC19" s="976">
        <v>57.1</v>
      </c>
      <c r="AD19" s="976">
        <v>61.5</v>
      </c>
      <c r="AE19" s="976">
        <v>67.099999999999994</v>
      </c>
      <c r="AF19" s="976">
        <v>69.7</v>
      </c>
      <c r="AG19" s="976">
        <v>70.099999999999994</v>
      </c>
      <c r="AH19" s="976">
        <v>65</v>
      </c>
      <c r="AI19" s="976">
        <v>78.599999999999994</v>
      </c>
      <c r="AJ19" s="976">
        <v>79.099999999999994</v>
      </c>
      <c r="AK19" s="976">
        <v>83.3</v>
      </c>
      <c r="AL19" s="976">
        <v>80.3</v>
      </c>
      <c r="AM19" s="976">
        <v>80.3</v>
      </c>
      <c r="AN19" s="976">
        <v>78.900000000000006</v>
      </c>
      <c r="AO19" s="976">
        <v>75.3</v>
      </c>
      <c r="AP19" s="976">
        <v>83.1</v>
      </c>
      <c r="AQ19" s="976">
        <v>62.6</v>
      </c>
      <c r="AR19" s="976">
        <v>69.900000000000006</v>
      </c>
      <c r="AS19" s="976">
        <v>76.8</v>
      </c>
      <c r="AT19" s="976">
        <v>75.400000000000006</v>
      </c>
      <c r="AU19" s="976">
        <v>65.900000000000006</v>
      </c>
      <c r="AV19" s="976">
        <v>68.400000000000006</v>
      </c>
      <c r="AW19" s="976">
        <v>58.9</v>
      </c>
      <c r="AX19" s="976">
        <v>47.6</v>
      </c>
      <c r="AY19" s="976">
        <v>49</v>
      </c>
      <c r="AZ19" s="976">
        <v>49.8</v>
      </c>
      <c r="BA19" s="976">
        <v>45.1</v>
      </c>
      <c r="BB19" s="976">
        <v>47.1</v>
      </c>
      <c r="BC19" s="976">
        <v>61.9</v>
      </c>
      <c r="BD19" s="976">
        <v>70.7</v>
      </c>
      <c r="BE19" s="976">
        <v>72.400000000000006</v>
      </c>
      <c r="BF19" s="976">
        <v>84.9</v>
      </c>
      <c r="BG19" s="976">
        <v>83.7</v>
      </c>
      <c r="BH19" s="976">
        <v>71.3</v>
      </c>
      <c r="BI19" s="976">
        <v>72.099999999999994</v>
      </c>
      <c r="BJ19" s="976">
        <v>77.7</v>
      </c>
      <c r="BK19" s="976">
        <v>76</v>
      </c>
      <c r="BL19" s="976">
        <v>81.7</v>
      </c>
      <c r="BM19" s="976">
        <v>79.5</v>
      </c>
      <c r="BN19" s="976">
        <v>84.4</v>
      </c>
      <c r="BO19" s="976">
        <v>85.5</v>
      </c>
      <c r="BP19" s="976">
        <v>86.9</v>
      </c>
      <c r="BQ19" s="976">
        <v>97.9</v>
      </c>
      <c r="BR19" s="976">
        <v>98.7</v>
      </c>
      <c r="BS19" s="976">
        <v>111.8</v>
      </c>
      <c r="BT19" s="976">
        <v>116.2</v>
      </c>
      <c r="BU19" s="976">
        <v>110.7</v>
      </c>
      <c r="BV19" s="976">
        <v>108</v>
      </c>
      <c r="BW19" s="976">
        <v>115.3</v>
      </c>
      <c r="BX19" s="976">
        <v>125.1</v>
      </c>
      <c r="BY19" s="976">
        <v>130.9</v>
      </c>
      <c r="BZ19" s="976">
        <v>132.69999999999999</v>
      </c>
      <c r="CA19" s="976">
        <v>118.7</v>
      </c>
      <c r="CB19" s="976">
        <v>114.4</v>
      </c>
      <c r="CC19" s="976">
        <v>113.5</v>
      </c>
      <c r="CD19" s="976">
        <v>112.5</v>
      </c>
      <c r="CE19" s="976">
        <v>116.8</v>
      </c>
      <c r="CF19" s="976">
        <v>119.9</v>
      </c>
      <c r="CG19" s="976">
        <v>118.8</v>
      </c>
      <c r="CH19" s="976">
        <v>115.3</v>
      </c>
      <c r="CI19" s="976">
        <v>110.9</v>
      </c>
      <c r="CJ19" s="976">
        <v>111.9</v>
      </c>
      <c r="CK19" s="976">
        <v>113.1</v>
      </c>
      <c r="CL19" s="976">
        <v>125</v>
      </c>
      <c r="CM19" s="976">
        <v>126.8</v>
      </c>
      <c r="CN19" s="976">
        <v>122.1</v>
      </c>
      <c r="CO19" s="976">
        <v>131.6</v>
      </c>
      <c r="CP19" s="976">
        <v>136.4</v>
      </c>
      <c r="CQ19" s="976">
        <v>148.69999999999999</v>
      </c>
      <c r="CR19" s="976">
        <v>140.69999999999999</v>
      </c>
      <c r="CS19" s="976">
        <v>171.9</v>
      </c>
      <c r="CT19" s="976">
        <v>149.5</v>
      </c>
      <c r="CU19" s="976">
        <v>158</v>
      </c>
      <c r="CV19" s="976">
        <v>173.8</v>
      </c>
      <c r="CW19" s="976">
        <v>183.6</v>
      </c>
      <c r="CX19" s="976">
        <v>187.8</v>
      </c>
      <c r="CY19" s="976">
        <v>184.4</v>
      </c>
      <c r="CZ19" s="976">
        <v>191</v>
      </c>
      <c r="DA19" s="976">
        <v>187.1</v>
      </c>
      <c r="DB19" s="976">
        <v>194.3</v>
      </c>
      <c r="DC19" s="976">
        <v>205.5</v>
      </c>
      <c r="DD19" s="976">
        <v>205.9</v>
      </c>
      <c r="DE19" s="976">
        <v>208.6</v>
      </c>
      <c r="DF19" s="976">
        <v>210</v>
      </c>
      <c r="DG19" s="976">
        <v>214</v>
      </c>
      <c r="DH19" s="976">
        <v>226</v>
      </c>
      <c r="DI19" s="976">
        <v>215.9</v>
      </c>
      <c r="DJ19" s="976">
        <v>213.5</v>
      </c>
      <c r="DK19" s="976">
        <v>209.9</v>
      </c>
      <c r="DL19" s="976">
        <v>215.8</v>
      </c>
      <c r="DM19" s="976">
        <v>211.3</v>
      </c>
      <c r="DN19" s="976">
        <v>222.3</v>
      </c>
      <c r="DO19" s="976">
        <v>219.9</v>
      </c>
      <c r="DP19" s="976">
        <v>223.3</v>
      </c>
      <c r="DQ19" s="976">
        <v>228</v>
      </c>
      <c r="DR19" s="976">
        <v>239.4</v>
      </c>
      <c r="DS19" s="976">
        <v>237.6</v>
      </c>
      <c r="DT19" s="976">
        <v>219</v>
      </c>
      <c r="DU19" s="976">
        <v>221.3</v>
      </c>
      <c r="DV19" s="976">
        <v>185.1</v>
      </c>
      <c r="DW19" s="976">
        <v>179</v>
      </c>
      <c r="DX19" s="976">
        <v>159.30000000000001</v>
      </c>
      <c r="DY19" s="976">
        <v>142.4</v>
      </c>
      <c r="DZ19" s="976">
        <v>143.80000000000001</v>
      </c>
      <c r="EA19" s="976">
        <v>150</v>
      </c>
      <c r="EB19" s="976">
        <v>158</v>
      </c>
      <c r="EC19" s="976">
        <v>175.5</v>
      </c>
      <c r="ED19" s="976">
        <v>196.1</v>
      </c>
      <c r="EE19" s="976">
        <v>192.6</v>
      </c>
      <c r="EF19" s="976">
        <v>213.9</v>
      </c>
      <c r="EG19" s="976">
        <v>236.6</v>
      </c>
      <c r="EH19" s="976">
        <v>247</v>
      </c>
      <c r="EI19" s="976">
        <v>266.8</v>
      </c>
      <c r="EJ19" s="976">
        <v>288.3</v>
      </c>
      <c r="EK19" s="976">
        <v>293.60000000000002</v>
      </c>
      <c r="EL19" s="976">
        <v>370.6</v>
      </c>
      <c r="EM19" s="976">
        <v>359</v>
      </c>
      <c r="EN19" s="976">
        <v>365.2</v>
      </c>
      <c r="EO19" s="976">
        <v>402.9</v>
      </c>
      <c r="EP19" s="976">
        <v>416.9</v>
      </c>
      <c r="EQ19" s="976">
        <v>427.6</v>
      </c>
      <c r="ER19" s="976">
        <v>446.6</v>
      </c>
      <c r="ES19" s="976">
        <v>409.8</v>
      </c>
      <c r="ET19" s="976">
        <v>413.6</v>
      </c>
      <c r="EU19" s="976">
        <v>407.2</v>
      </c>
      <c r="EV19" s="976">
        <v>370.9</v>
      </c>
      <c r="EW19" s="976">
        <v>352.7</v>
      </c>
      <c r="EX19" s="976">
        <v>291.89999999999998</v>
      </c>
      <c r="EY19" s="976">
        <v>278.7</v>
      </c>
      <c r="EZ19" s="976">
        <v>264.39999999999998</v>
      </c>
      <c r="FA19" s="976">
        <v>162.6</v>
      </c>
      <c r="FB19" s="976">
        <v>166.5</v>
      </c>
      <c r="FC19" s="976">
        <v>188.6</v>
      </c>
      <c r="FD19" s="976">
        <v>200.7</v>
      </c>
      <c r="FE19" s="976">
        <v>234.2</v>
      </c>
      <c r="FF19" s="976">
        <v>249.8</v>
      </c>
      <c r="FG19" s="976">
        <v>255.6</v>
      </c>
      <c r="FH19" s="976">
        <v>272.60000000000002</v>
      </c>
      <c r="FI19" s="976">
        <v>284</v>
      </c>
      <c r="FJ19" s="976">
        <v>277.3</v>
      </c>
      <c r="FK19" s="976">
        <v>276.89999999999998</v>
      </c>
      <c r="FL19" s="976">
        <v>248.2</v>
      </c>
      <c r="FM19" s="976">
        <v>287</v>
      </c>
      <c r="FN19" s="976">
        <v>310.7</v>
      </c>
      <c r="FO19" s="976">
        <v>325</v>
      </c>
      <c r="FP19" s="976">
        <v>332.9</v>
      </c>
      <c r="FQ19" s="976">
        <v>332.8</v>
      </c>
      <c r="FR19" s="976">
        <v>350.8</v>
      </c>
      <c r="FS19" s="976">
        <v>347.3</v>
      </c>
      <c r="FT19" s="976">
        <v>354.3</v>
      </c>
      <c r="FU19" s="976">
        <v>356.9</v>
      </c>
      <c r="FV19" s="976">
        <v>392.8</v>
      </c>
      <c r="FW19" s="976">
        <v>415.1</v>
      </c>
      <c r="FX19" s="976">
        <v>387.1</v>
      </c>
      <c r="FY19" s="976">
        <v>389.8</v>
      </c>
      <c r="FZ19" s="976">
        <v>403.5</v>
      </c>
      <c r="GA19" s="976">
        <v>408.5</v>
      </c>
      <c r="GB19" s="976">
        <v>379.6</v>
      </c>
      <c r="GC19" s="976">
        <v>349.7</v>
      </c>
      <c r="GD19" s="976">
        <v>355.1</v>
      </c>
      <c r="GE19" s="976">
        <v>364.9</v>
      </c>
      <c r="GF19" s="976">
        <v>378</v>
      </c>
      <c r="GG19" s="976">
        <v>363</v>
      </c>
      <c r="GH19" s="976">
        <v>302.10000000000002</v>
      </c>
      <c r="GI19" s="976">
        <v>308.7</v>
      </c>
      <c r="GJ19" s="976">
        <v>308.60000000000002</v>
      </c>
      <c r="GK19" s="976">
        <v>279</v>
      </c>
      <c r="GL19" s="976">
        <v>244.1</v>
      </c>
      <c r="GM19" s="976">
        <v>265.5</v>
      </c>
      <c r="GN19" s="976">
        <v>276.3</v>
      </c>
      <c r="GO19" s="976">
        <v>298.2</v>
      </c>
      <c r="GP19" s="976">
        <v>282.3</v>
      </c>
      <c r="GQ19" s="976">
        <v>292.89999999999998</v>
      </c>
      <c r="GR19" s="976">
        <v>271.39999999999998</v>
      </c>
      <c r="GS19" s="976">
        <v>300.8</v>
      </c>
      <c r="GT19" s="976">
        <v>243.2</v>
      </c>
      <c r="GU19" s="976">
        <v>225.8</v>
      </c>
      <c r="GV19" s="976">
        <v>297.2</v>
      </c>
      <c r="GW19" s="976">
        <v>332.7</v>
      </c>
      <c r="GX19" s="976">
        <v>355.4</v>
      </c>
    </row>
    <row r="20" spans="1:206">
      <c r="A20" s="976" t="s">
        <v>233</v>
      </c>
      <c r="B20" s="976">
        <v>247.9</v>
      </c>
      <c r="C20" s="976">
        <v>249.1</v>
      </c>
      <c r="D20" s="976">
        <v>254.6</v>
      </c>
      <c r="E20" s="976">
        <v>258.7</v>
      </c>
      <c r="F20" s="976">
        <v>261.89999999999998</v>
      </c>
      <c r="G20" s="976">
        <v>266.10000000000002</v>
      </c>
      <c r="H20" s="976">
        <v>269.8</v>
      </c>
      <c r="I20" s="976">
        <v>272.10000000000002</v>
      </c>
      <c r="J20" s="976">
        <v>282.2</v>
      </c>
      <c r="K20" s="976">
        <v>286.5</v>
      </c>
      <c r="L20" s="976">
        <v>284.3</v>
      </c>
      <c r="M20" s="976">
        <v>291.7</v>
      </c>
      <c r="N20" s="976">
        <v>299.60000000000002</v>
      </c>
      <c r="O20" s="976">
        <v>302.7</v>
      </c>
      <c r="P20" s="976">
        <v>304.2</v>
      </c>
      <c r="Q20" s="976">
        <v>312.60000000000002</v>
      </c>
      <c r="R20" s="976">
        <v>324.60000000000002</v>
      </c>
      <c r="S20" s="976">
        <v>335</v>
      </c>
      <c r="T20" s="976">
        <v>346.7</v>
      </c>
      <c r="U20" s="976">
        <v>359.2</v>
      </c>
      <c r="V20" s="976">
        <v>370.1</v>
      </c>
      <c r="W20" s="976">
        <v>373.4</v>
      </c>
      <c r="X20" s="976">
        <v>385.4</v>
      </c>
      <c r="Y20" s="976">
        <v>395.6</v>
      </c>
      <c r="Z20" s="976">
        <v>401.3</v>
      </c>
      <c r="AA20" s="976">
        <v>401</v>
      </c>
      <c r="AB20" s="976">
        <v>403.5</v>
      </c>
      <c r="AC20" s="976">
        <v>410.8</v>
      </c>
      <c r="AD20" s="976">
        <v>421.2</v>
      </c>
      <c r="AE20" s="976">
        <v>431.4</v>
      </c>
      <c r="AF20" s="976">
        <v>438</v>
      </c>
      <c r="AG20" s="976">
        <v>446.7</v>
      </c>
      <c r="AH20" s="976">
        <v>452.6</v>
      </c>
      <c r="AI20" s="976">
        <v>472.3</v>
      </c>
      <c r="AJ20" s="976">
        <v>484.2</v>
      </c>
      <c r="AK20" s="976">
        <v>496.2</v>
      </c>
      <c r="AL20" s="976">
        <v>501.8</v>
      </c>
      <c r="AM20" s="976">
        <v>516.5</v>
      </c>
      <c r="AN20" s="976">
        <v>533.1</v>
      </c>
      <c r="AO20" s="976">
        <v>547.79999999999995</v>
      </c>
      <c r="AP20" s="976">
        <v>568.79999999999995</v>
      </c>
      <c r="AQ20" s="976">
        <v>588.5</v>
      </c>
      <c r="AR20" s="976">
        <v>592.20000000000005</v>
      </c>
      <c r="AS20" s="976">
        <v>608.9</v>
      </c>
      <c r="AT20" s="976">
        <v>633.4</v>
      </c>
      <c r="AU20" s="976">
        <v>648.70000000000005</v>
      </c>
      <c r="AV20" s="976">
        <v>657.8</v>
      </c>
      <c r="AW20" s="976">
        <v>677.7</v>
      </c>
      <c r="AX20" s="976">
        <v>688.1</v>
      </c>
      <c r="AY20" s="976">
        <v>703.1</v>
      </c>
      <c r="AZ20" s="976">
        <v>717.3</v>
      </c>
      <c r="BA20" s="976">
        <v>737.4</v>
      </c>
      <c r="BB20" s="976">
        <v>747.9</v>
      </c>
      <c r="BC20" s="976">
        <v>761.1</v>
      </c>
      <c r="BD20" s="976">
        <v>782.2</v>
      </c>
      <c r="BE20" s="976">
        <v>775.1</v>
      </c>
      <c r="BF20" s="976">
        <v>794</v>
      </c>
      <c r="BG20" s="976">
        <v>819.1</v>
      </c>
      <c r="BH20" s="976">
        <v>835.7</v>
      </c>
      <c r="BI20" s="976">
        <v>862.8</v>
      </c>
      <c r="BJ20" s="976">
        <v>875.6</v>
      </c>
      <c r="BK20" s="976">
        <v>900.5</v>
      </c>
      <c r="BL20" s="976">
        <v>927.4</v>
      </c>
      <c r="BM20" s="976">
        <v>938.6</v>
      </c>
      <c r="BN20" s="976">
        <v>946.8</v>
      </c>
      <c r="BO20" s="976">
        <v>967.5</v>
      </c>
      <c r="BP20" s="976">
        <v>993.6</v>
      </c>
      <c r="BQ20" s="976">
        <v>996.4</v>
      </c>
      <c r="BR20" s="976">
        <v>1008.7</v>
      </c>
      <c r="BS20" s="976">
        <v>1025.2</v>
      </c>
      <c r="BT20" s="976">
        <v>1036.2</v>
      </c>
      <c r="BU20" s="976">
        <v>1056</v>
      </c>
      <c r="BV20" s="976">
        <v>1056.9000000000001</v>
      </c>
      <c r="BW20" s="976">
        <v>1070.4000000000001</v>
      </c>
      <c r="BX20" s="976">
        <v>1078.2</v>
      </c>
      <c r="BY20" s="976">
        <v>1109.9000000000001</v>
      </c>
      <c r="BZ20" s="976">
        <v>1116.5999999999999</v>
      </c>
      <c r="CA20" s="976">
        <v>1145.8</v>
      </c>
      <c r="CB20" s="976">
        <v>1164.5999999999999</v>
      </c>
      <c r="CC20" s="976">
        <v>1180.5</v>
      </c>
      <c r="CD20" s="976">
        <v>1212.5</v>
      </c>
      <c r="CE20" s="976">
        <v>1230.7</v>
      </c>
      <c r="CF20" s="976">
        <v>1242.5999999999999</v>
      </c>
      <c r="CG20" s="976">
        <v>1268.5</v>
      </c>
      <c r="CH20" s="976">
        <v>1284.2</v>
      </c>
      <c r="CI20" s="976">
        <v>1296.5999999999999</v>
      </c>
      <c r="CJ20" s="976">
        <v>1306.3</v>
      </c>
      <c r="CK20" s="976">
        <v>1308.8</v>
      </c>
      <c r="CL20" s="976">
        <v>1326.4</v>
      </c>
      <c r="CM20" s="976">
        <v>1334.8</v>
      </c>
      <c r="CN20" s="976">
        <v>1354</v>
      </c>
      <c r="CO20" s="976">
        <v>1362.8</v>
      </c>
      <c r="CP20" s="976">
        <v>1351.8</v>
      </c>
      <c r="CQ20" s="976">
        <v>1359.1</v>
      </c>
      <c r="CR20" s="976">
        <v>1367.4</v>
      </c>
      <c r="CS20" s="976">
        <v>1381.4</v>
      </c>
      <c r="CT20" s="976">
        <v>1373.4</v>
      </c>
      <c r="CU20" s="976">
        <v>1389.4</v>
      </c>
      <c r="CV20" s="976">
        <v>1423.4</v>
      </c>
      <c r="CW20" s="976">
        <v>1422.9</v>
      </c>
      <c r="CX20" s="976">
        <v>1437.6</v>
      </c>
      <c r="CY20" s="976">
        <v>1452.9</v>
      </c>
      <c r="CZ20" s="976">
        <v>1455.7</v>
      </c>
      <c r="DA20" s="976">
        <v>1451.6</v>
      </c>
      <c r="DB20" s="976">
        <v>1471.3</v>
      </c>
      <c r="DC20" s="976">
        <v>1487.7</v>
      </c>
      <c r="DD20" s="976">
        <v>1496.7</v>
      </c>
      <c r="DE20" s="976">
        <v>1515.7</v>
      </c>
      <c r="DF20" s="976">
        <v>1516</v>
      </c>
      <c r="DG20" s="976">
        <v>1542.5</v>
      </c>
      <c r="DH20" s="976">
        <v>1555.2</v>
      </c>
      <c r="DI20" s="976">
        <v>1574.8</v>
      </c>
      <c r="DJ20" s="976">
        <v>1568</v>
      </c>
      <c r="DK20" s="976">
        <v>1603.7</v>
      </c>
      <c r="DL20" s="976">
        <v>1627.3</v>
      </c>
      <c r="DM20" s="976">
        <v>1647.5</v>
      </c>
      <c r="DN20" s="976">
        <v>1669.4</v>
      </c>
      <c r="DO20" s="976">
        <v>1695.2</v>
      </c>
      <c r="DP20" s="976">
        <v>1734.5</v>
      </c>
      <c r="DQ20" s="976">
        <v>1782.3</v>
      </c>
      <c r="DR20" s="976">
        <v>1790.7</v>
      </c>
      <c r="DS20" s="976">
        <v>1823.1</v>
      </c>
      <c r="DT20" s="976">
        <v>1832.3</v>
      </c>
      <c r="DU20" s="976">
        <v>1861.2</v>
      </c>
      <c r="DV20" s="976">
        <v>1905.4</v>
      </c>
      <c r="DW20" s="976">
        <v>1947</v>
      </c>
      <c r="DX20" s="976">
        <v>1952.7</v>
      </c>
      <c r="DY20" s="976">
        <v>1992</v>
      </c>
      <c r="DZ20" s="976">
        <v>2038.9</v>
      </c>
      <c r="EA20" s="976">
        <v>2073.5</v>
      </c>
      <c r="EB20" s="976">
        <v>2100.4</v>
      </c>
      <c r="EC20" s="976">
        <v>2142</v>
      </c>
      <c r="ED20" s="976">
        <v>2172.4</v>
      </c>
      <c r="EE20" s="976">
        <v>2199.4</v>
      </c>
      <c r="EF20" s="976">
        <v>2221.1999999999998</v>
      </c>
      <c r="EG20" s="976">
        <v>2251.8000000000002</v>
      </c>
      <c r="EH20" s="976">
        <v>2287.3000000000002</v>
      </c>
      <c r="EI20" s="976">
        <v>2321.4</v>
      </c>
      <c r="EJ20" s="976">
        <v>2357.1999999999998</v>
      </c>
      <c r="EK20" s="976">
        <v>2389.6999999999998</v>
      </c>
      <c r="EL20" s="976">
        <v>2426.9</v>
      </c>
      <c r="EM20" s="976">
        <v>2452.9</v>
      </c>
      <c r="EN20" s="976">
        <v>2495.1</v>
      </c>
      <c r="EO20" s="976">
        <v>2529.1</v>
      </c>
      <c r="EP20" s="976">
        <v>2580.6999999999998</v>
      </c>
      <c r="EQ20" s="976">
        <v>2610.9</v>
      </c>
      <c r="ER20" s="976">
        <v>2630.7</v>
      </c>
      <c r="ES20" s="976">
        <v>2674.7</v>
      </c>
      <c r="ET20" s="976">
        <v>2719.2</v>
      </c>
      <c r="EU20" s="976">
        <v>2770.3</v>
      </c>
      <c r="EV20" s="976">
        <v>2809</v>
      </c>
      <c r="EW20" s="976">
        <v>2864.9</v>
      </c>
      <c r="EX20" s="976">
        <v>2909.3</v>
      </c>
      <c r="EY20" s="976">
        <v>2971.1</v>
      </c>
      <c r="EZ20" s="976">
        <v>3027.5</v>
      </c>
      <c r="FA20" s="976">
        <v>3020</v>
      </c>
      <c r="FB20" s="976">
        <v>3019.7</v>
      </c>
      <c r="FC20" s="976">
        <v>3067.6</v>
      </c>
      <c r="FD20" s="976">
        <v>3089</v>
      </c>
      <c r="FE20" s="976">
        <v>3117.8</v>
      </c>
      <c r="FF20" s="976">
        <v>3131.9</v>
      </c>
      <c r="FG20" s="976">
        <v>3164.7</v>
      </c>
      <c r="FH20" s="976">
        <v>3157.9</v>
      </c>
      <c r="FI20" s="976">
        <v>3164.1</v>
      </c>
      <c r="FJ20" s="976">
        <v>3156</v>
      </c>
      <c r="FK20" s="976">
        <v>3168.6</v>
      </c>
      <c r="FL20" s="976">
        <v>3137.5</v>
      </c>
      <c r="FM20" s="976">
        <v>3131.4</v>
      </c>
      <c r="FN20" s="976">
        <v>3144.7</v>
      </c>
      <c r="FO20" s="976">
        <v>3131</v>
      </c>
      <c r="FP20" s="976">
        <v>3139.6</v>
      </c>
      <c r="FQ20" s="976">
        <v>3132.7</v>
      </c>
      <c r="FR20" s="976">
        <v>3125</v>
      </c>
      <c r="FS20" s="976">
        <v>3132</v>
      </c>
      <c r="FT20" s="976">
        <v>3134.1</v>
      </c>
      <c r="FU20" s="976">
        <v>3138.5</v>
      </c>
      <c r="FV20" s="976">
        <v>3137.4</v>
      </c>
      <c r="FW20" s="976">
        <v>3153.3</v>
      </c>
      <c r="FX20" s="976">
        <v>3190.9</v>
      </c>
      <c r="FY20" s="976">
        <v>3190.3</v>
      </c>
      <c r="FZ20" s="976">
        <v>3188.1</v>
      </c>
      <c r="GA20" s="976">
        <v>3230.6</v>
      </c>
      <c r="GB20" s="976">
        <v>3249.1</v>
      </c>
      <c r="GC20" s="976">
        <v>3253.2</v>
      </c>
      <c r="GD20" s="976">
        <v>3266.4</v>
      </c>
      <c r="GE20" s="976">
        <v>3283.1</v>
      </c>
      <c r="GF20" s="976">
        <v>3310.9</v>
      </c>
      <c r="GG20" s="976">
        <v>3336.7</v>
      </c>
      <c r="GH20" s="976">
        <v>3361.6</v>
      </c>
      <c r="GI20" s="976">
        <v>3384.2</v>
      </c>
      <c r="GJ20" s="976">
        <v>3411.1</v>
      </c>
      <c r="GK20" s="976">
        <v>3471.1</v>
      </c>
      <c r="GL20" s="976">
        <v>3521.5</v>
      </c>
      <c r="GM20" s="976">
        <v>3580</v>
      </c>
      <c r="GN20" s="976">
        <v>3631.2</v>
      </c>
      <c r="GO20" s="976">
        <v>3648</v>
      </c>
      <c r="GP20" s="976">
        <v>3681.5</v>
      </c>
      <c r="GQ20" s="976">
        <v>3737.6</v>
      </c>
      <c r="GR20" s="976">
        <v>3767.1</v>
      </c>
      <c r="GS20" s="976">
        <v>3805.3</v>
      </c>
      <c r="GT20" s="976">
        <v>3834.1</v>
      </c>
      <c r="GU20" s="976">
        <v>3839.3</v>
      </c>
      <c r="GV20" s="976">
        <v>3816.6</v>
      </c>
      <c r="GW20" s="976">
        <v>3835.2</v>
      </c>
      <c r="GX20" s="976">
        <v>3946.7</v>
      </c>
    </row>
    <row r="21" spans="1:206">
      <c r="A21" s="976" t="s">
        <v>234</v>
      </c>
      <c r="B21" s="976">
        <v>46.2</v>
      </c>
      <c r="C21" s="976">
        <v>46.5</v>
      </c>
      <c r="D21" s="976">
        <v>46.9</v>
      </c>
      <c r="E21" s="976">
        <v>46.7</v>
      </c>
      <c r="F21" s="976">
        <v>50.8</v>
      </c>
      <c r="G21" s="976">
        <v>51.4</v>
      </c>
      <c r="H21" s="976">
        <v>51.6</v>
      </c>
      <c r="I21" s="976">
        <v>52.2</v>
      </c>
      <c r="J21" s="976">
        <v>58.5</v>
      </c>
      <c r="K21" s="976">
        <v>59.2</v>
      </c>
      <c r="L21" s="976">
        <v>59.9</v>
      </c>
      <c r="M21" s="976">
        <v>60.8</v>
      </c>
      <c r="N21" s="976">
        <v>74.099999999999994</v>
      </c>
      <c r="O21" s="976">
        <v>75.3</v>
      </c>
      <c r="P21" s="976">
        <v>76.599999999999994</v>
      </c>
      <c r="Q21" s="976">
        <v>78.099999999999994</v>
      </c>
      <c r="R21" s="976">
        <v>83.7</v>
      </c>
      <c r="S21" s="976">
        <v>85.3</v>
      </c>
      <c r="T21" s="976">
        <v>86.9</v>
      </c>
      <c r="U21" s="976">
        <v>87.1</v>
      </c>
      <c r="V21" s="976">
        <v>88.2</v>
      </c>
      <c r="W21" s="976">
        <v>88.6</v>
      </c>
      <c r="X21" s="976">
        <v>90.3</v>
      </c>
      <c r="Y21" s="976">
        <v>92.4</v>
      </c>
      <c r="Z21" s="976">
        <v>99.6</v>
      </c>
      <c r="AA21" s="976">
        <v>101.1</v>
      </c>
      <c r="AB21" s="976">
        <v>102.8</v>
      </c>
      <c r="AC21" s="976">
        <v>104.4</v>
      </c>
      <c r="AD21" s="976">
        <v>110</v>
      </c>
      <c r="AE21" s="976">
        <v>112.8</v>
      </c>
      <c r="AF21" s="976">
        <v>115.1</v>
      </c>
      <c r="AG21" s="976">
        <v>117.5</v>
      </c>
      <c r="AH21" s="976">
        <v>124.7</v>
      </c>
      <c r="AI21" s="976">
        <v>129.9</v>
      </c>
      <c r="AJ21" s="976">
        <v>134.19999999999999</v>
      </c>
      <c r="AK21" s="976">
        <v>139.6</v>
      </c>
      <c r="AL21" s="976">
        <v>146.9</v>
      </c>
      <c r="AM21" s="976">
        <v>151.19999999999999</v>
      </c>
      <c r="AN21" s="976">
        <v>156.30000000000001</v>
      </c>
      <c r="AO21" s="976">
        <v>160.30000000000001</v>
      </c>
      <c r="AP21" s="976">
        <v>162.9</v>
      </c>
      <c r="AQ21" s="976">
        <v>163.9</v>
      </c>
      <c r="AR21" s="976">
        <v>168</v>
      </c>
      <c r="AS21" s="976">
        <v>174</v>
      </c>
      <c r="AT21" s="976">
        <v>191</v>
      </c>
      <c r="AU21" s="976">
        <v>194.8</v>
      </c>
      <c r="AV21" s="976">
        <v>199.5</v>
      </c>
      <c r="AW21" s="976">
        <v>202.2</v>
      </c>
      <c r="AX21" s="976">
        <v>207.2</v>
      </c>
      <c r="AY21" s="976">
        <v>209.2</v>
      </c>
      <c r="AZ21" s="976">
        <v>211.5</v>
      </c>
      <c r="BA21" s="976">
        <v>212.4</v>
      </c>
      <c r="BB21" s="976">
        <v>220.2</v>
      </c>
      <c r="BC21" s="976">
        <v>224.2</v>
      </c>
      <c r="BD21" s="976">
        <v>228.9</v>
      </c>
      <c r="BE21" s="976">
        <v>235.5</v>
      </c>
      <c r="BF21" s="976">
        <v>250.8</v>
      </c>
      <c r="BG21" s="976">
        <v>256.8</v>
      </c>
      <c r="BH21" s="976">
        <v>261.8</v>
      </c>
      <c r="BI21" s="976">
        <v>265.8</v>
      </c>
      <c r="BJ21" s="976">
        <v>275.7</v>
      </c>
      <c r="BK21" s="976">
        <v>279.8</v>
      </c>
      <c r="BL21" s="976">
        <v>284.60000000000002</v>
      </c>
      <c r="BM21" s="976">
        <v>291.10000000000002</v>
      </c>
      <c r="BN21" s="976">
        <v>298.2</v>
      </c>
      <c r="BO21" s="976">
        <v>301.89999999999998</v>
      </c>
      <c r="BP21" s="976">
        <v>306.89999999999998</v>
      </c>
      <c r="BQ21" s="976">
        <v>312.60000000000002</v>
      </c>
      <c r="BR21" s="976">
        <v>317.39999999999998</v>
      </c>
      <c r="BS21" s="976">
        <v>321.5</v>
      </c>
      <c r="BT21" s="976">
        <v>326.3</v>
      </c>
      <c r="BU21" s="976">
        <v>333.3</v>
      </c>
      <c r="BV21" s="976">
        <v>352.7</v>
      </c>
      <c r="BW21" s="976">
        <v>360</v>
      </c>
      <c r="BX21" s="976">
        <v>366.2</v>
      </c>
      <c r="BY21" s="976">
        <v>373.7</v>
      </c>
      <c r="BZ21" s="976">
        <v>379.7</v>
      </c>
      <c r="CA21" s="976">
        <v>384.3</v>
      </c>
      <c r="CB21" s="976">
        <v>388.9</v>
      </c>
      <c r="CC21" s="976">
        <v>394.9</v>
      </c>
      <c r="CD21" s="976">
        <v>403.5</v>
      </c>
      <c r="CE21" s="976">
        <v>408.8</v>
      </c>
      <c r="CF21" s="976">
        <v>416.6</v>
      </c>
      <c r="CG21" s="976">
        <v>419.4</v>
      </c>
      <c r="CH21" s="976">
        <v>423</v>
      </c>
      <c r="CI21" s="976">
        <v>429.7</v>
      </c>
      <c r="CJ21" s="976">
        <v>435.6</v>
      </c>
      <c r="CK21" s="976">
        <v>440.6</v>
      </c>
      <c r="CL21" s="976">
        <v>452.5</v>
      </c>
      <c r="CM21" s="976">
        <v>458.1</v>
      </c>
      <c r="CN21" s="976">
        <v>461.2</v>
      </c>
      <c r="CO21" s="976">
        <v>456.5</v>
      </c>
      <c r="CP21" s="976">
        <v>475.9</v>
      </c>
      <c r="CQ21" s="976">
        <v>476.4</v>
      </c>
      <c r="CR21" s="976">
        <v>481</v>
      </c>
      <c r="CS21" s="976">
        <v>485.2</v>
      </c>
      <c r="CT21" s="976">
        <v>500.4</v>
      </c>
      <c r="CU21" s="976">
        <v>507.6</v>
      </c>
      <c r="CV21" s="976">
        <v>513.6</v>
      </c>
      <c r="CW21" s="976">
        <v>521.1</v>
      </c>
      <c r="CX21" s="976">
        <v>528.20000000000005</v>
      </c>
      <c r="CY21" s="976">
        <v>532.70000000000005</v>
      </c>
      <c r="CZ21" s="976">
        <v>538.1</v>
      </c>
      <c r="DA21" s="976">
        <v>543.1</v>
      </c>
      <c r="DB21" s="976">
        <v>545.9</v>
      </c>
      <c r="DC21" s="976">
        <v>554.4</v>
      </c>
      <c r="DD21" s="976">
        <v>561.79999999999995</v>
      </c>
      <c r="DE21" s="976">
        <v>569.4</v>
      </c>
      <c r="DF21" s="976">
        <v>577.29999999999995</v>
      </c>
      <c r="DG21" s="976">
        <v>584.9</v>
      </c>
      <c r="DH21" s="976">
        <v>593.6</v>
      </c>
      <c r="DI21" s="976">
        <v>605.29999999999995</v>
      </c>
      <c r="DJ21" s="976">
        <v>613.29999999999995</v>
      </c>
      <c r="DK21" s="976">
        <v>622.79999999999995</v>
      </c>
      <c r="DL21" s="976">
        <v>632.6</v>
      </c>
      <c r="DM21" s="976">
        <v>642.4</v>
      </c>
      <c r="DN21" s="976">
        <v>653.29999999999995</v>
      </c>
      <c r="DO21" s="976">
        <v>659</v>
      </c>
      <c r="DP21" s="976">
        <v>666.4</v>
      </c>
      <c r="DQ21" s="976">
        <v>679.6</v>
      </c>
      <c r="DR21" s="976">
        <v>699.5</v>
      </c>
      <c r="DS21" s="976">
        <v>701.9</v>
      </c>
      <c r="DT21" s="976">
        <v>715.2</v>
      </c>
      <c r="DU21" s="976">
        <v>721</v>
      </c>
      <c r="DV21" s="976">
        <v>736.1</v>
      </c>
      <c r="DW21" s="976">
        <v>736.9</v>
      </c>
      <c r="DX21" s="976">
        <v>736.1</v>
      </c>
      <c r="DY21" s="976">
        <v>738.7</v>
      </c>
      <c r="DZ21" s="976">
        <v>746.9</v>
      </c>
      <c r="EA21" s="976">
        <v>755.3</v>
      </c>
      <c r="EB21" s="976">
        <v>758.1</v>
      </c>
      <c r="EC21" s="976">
        <v>760.8</v>
      </c>
      <c r="ED21" s="976">
        <v>767.1</v>
      </c>
      <c r="EE21" s="976">
        <v>777.8</v>
      </c>
      <c r="EF21" s="976">
        <v>787.7</v>
      </c>
      <c r="EG21" s="976">
        <v>800.1</v>
      </c>
      <c r="EH21" s="976">
        <v>813.4</v>
      </c>
      <c r="EI21" s="976">
        <v>828</v>
      </c>
      <c r="EJ21" s="976">
        <v>843.7</v>
      </c>
      <c r="EK21" s="976">
        <v>849.5</v>
      </c>
      <c r="EL21" s="976">
        <v>862.7</v>
      </c>
      <c r="EM21" s="976">
        <v>871</v>
      </c>
      <c r="EN21" s="976">
        <v>884.2</v>
      </c>
      <c r="EO21" s="976">
        <v>894.1</v>
      </c>
      <c r="EP21" s="976">
        <v>917.9</v>
      </c>
      <c r="EQ21" s="976">
        <v>922.7</v>
      </c>
      <c r="ER21" s="976">
        <v>927.2</v>
      </c>
      <c r="ES21" s="976">
        <v>940.8</v>
      </c>
      <c r="ET21" s="976">
        <v>960.4</v>
      </c>
      <c r="EU21" s="976">
        <v>962</v>
      </c>
      <c r="EV21" s="976">
        <v>965.3</v>
      </c>
      <c r="EW21" s="976">
        <v>976.9</v>
      </c>
      <c r="EX21" s="976">
        <v>988.8</v>
      </c>
      <c r="EY21" s="976">
        <v>991</v>
      </c>
      <c r="EZ21" s="976">
        <v>996.4</v>
      </c>
      <c r="FA21" s="976">
        <v>996.6</v>
      </c>
      <c r="FB21" s="976">
        <v>964.7</v>
      </c>
      <c r="FC21" s="976">
        <v>971.2</v>
      </c>
      <c r="FD21" s="976">
        <v>968.8</v>
      </c>
      <c r="FE21" s="976">
        <v>972.2</v>
      </c>
      <c r="FF21" s="976">
        <v>978.6</v>
      </c>
      <c r="FG21" s="976">
        <v>989.5</v>
      </c>
      <c r="FH21" s="976">
        <v>992.3</v>
      </c>
      <c r="FI21" s="976">
        <v>994.3</v>
      </c>
      <c r="FJ21" s="976">
        <v>916.2</v>
      </c>
      <c r="FK21" s="976">
        <v>918.9</v>
      </c>
      <c r="FL21" s="976">
        <v>927.3</v>
      </c>
      <c r="FM21" s="976">
        <v>921.9</v>
      </c>
      <c r="FN21" s="976">
        <v>944.9</v>
      </c>
      <c r="FO21" s="976">
        <v>949.4</v>
      </c>
      <c r="FP21" s="976">
        <v>952.3</v>
      </c>
      <c r="FQ21" s="976">
        <v>974.1</v>
      </c>
      <c r="FR21" s="976">
        <v>1095.9000000000001</v>
      </c>
      <c r="FS21" s="976">
        <v>1108.2</v>
      </c>
      <c r="FT21" s="976">
        <v>1111.4000000000001</v>
      </c>
      <c r="FU21" s="976">
        <v>1122.3</v>
      </c>
      <c r="FV21" s="976">
        <v>1145</v>
      </c>
      <c r="FW21" s="976">
        <v>1149.7</v>
      </c>
      <c r="FX21" s="976">
        <v>1161.4000000000001</v>
      </c>
      <c r="FY21" s="976">
        <v>1179.0999999999999</v>
      </c>
      <c r="FZ21" s="976">
        <v>1194.2</v>
      </c>
      <c r="GA21" s="976">
        <v>1206.0999999999999</v>
      </c>
      <c r="GB21" s="976">
        <v>1216.0999999999999</v>
      </c>
      <c r="GC21" s="976">
        <v>1223.5999999999999</v>
      </c>
      <c r="GD21" s="976">
        <v>1231</v>
      </c>
      <c r="GE21" s="976">
        <v>1237.3</v>
      </c>
      <c r="GF21" s="976">
        <v>1248.4000000000001</v>
      </c>
      <c r="GG21" s="976">
        <v>1261.8</v>
      </c>
      <c r="GH21" s="976">
        <v>1282.2</v>
      </c>
      <c r="GI21" s="976">
        <v>1294.5</v>
      </c>
      <c r="GJ21" s="976">
        <v>1309.5999999999999</v>
      </c>
      <c r="GK21" s="976">
        <v>1328.4</v>
      </c>
      <c r="GL21" s="976">
        <v>1348.3</v>
      </c>
      <c r="GM21" s="976">
        <v>1358</v>
      </c>
      <c r="GN21" s="976">
        <v>1374.2</v>
      </c>
      <c r="GO21" s="976">
        <v>1381.9</v>
      </c>
      <c r="GP21" s="976">
        <v>1413.9</v>
      </c>
      <c r="GQ21" s="976">
        <v>1419.9</v>
      </c>
      <c r="GR21" s="976">
        <v>1424.1</v>
      </c>
      <c r="GS21" s="976">
        <v>1438.1</v>
      </c>
      <c r="GT21" s="976">
        <v>1456.8</v>
      </c>
      <c r="GU21" s="976">
        <v>1393.3</v>
      </c>
      <c r="GV21" s="976">
        <v>1446.9</v>
      </c>
      <c r="GW21" s="976">
        <v>1488.4</v>
      </c>
      <c r="GX21" s="976">
        <v>1528.4</v>
      </c>
    </row>
    <row r="22" spans="1:206">
      <c r="A22" s="976" t="s">
        <v>235</v>
      </c>
      <c r="B22" s="976">
        <v>20.609000000000002</v>
      </c>
      <c r="C22" s="976">
        <v>20.837</v>
      </c>
      <c r="D22" s="976">
        <v>21.04</v>
      </c>
      <c r="E22" s="976">
        <v>21.312999999999999</v>
      </c>
      <c r="F22" s="976">
        <v>21.513999999999999</v>
      </c>
      <c r="G22" s="976">
        <v>21.759</v>
      </c>
      <c r="H22" s="976">
        <v>21.972000000000001</v>
      </c>
      <c r="I22" s="976">
        <v>22.108000000000001</v>
      </c>
      <c r="J22" s="976">
        <v>22.34</v>
      </c>
      <c r="K22" s="976">
        <v>22.469000000000001</v>
      </c>
      <c r="L22" s="976">
        <v>22.666</v>
      </c>
      <c r="M22" s="976">
        <v>22.852</v>
      </c>
      <c r="N22" s="976">
        <v>23.129000000000001</v>
      </c>
      <c r="O22" s="976">
        <v>23.574999999999999</v>
      </c>
      <c r="P22" s="976">
        <v>24.004999999999999</v>
      </c>
      <c r="Q22" s="976">
        <v>24.498000000000001</v>
      </c>
      <c r="R22" s="976">
        <v>25.227</v>
      </c>
      <c r="S22" s="976">
        <v>25.942</v>
      </c>
      <c r="T22" s="976">
        <v>26.64</v>
      </c>
      <c r="U22" s="976">
        <v>27.315000000000001</v>
      </c>
      <c r="V22" s="976">
        <v>27.824999999999999</v>
      </c>
      <c r="W22" s="976">
        <v>28.164000000000001</v>
      </c>
      <c r="X22" s="976">
        <v>28.69</v>
      </c>
      <c r="Y22" s="976">
        <v>29.172000000000001</v>
      </c>
      <c r="Z22" s="976">
        <v>29.495000000000001</v>
      </c>
      <c r="AA22" s="976">
        <v>29.742999999999999</v>
      </c>
      <c r="AB22" s="976">
        <v>30.196000000000002</v>
      </c>
      <c r="AC22" s="976">
        <v>30.672999999999998</v>
      </c>
      <c r="AD22" s="976">
        <v>31.225999999999999</v>
      </c>
      <c r="AE22" s="976">
        <v>31.76</v>
      </c>
      <c r="AF22" s="976">
        <v>32.237000000000002</v>
      </c>
      <c r="AG22" s="976">
        <v>32.695</v>
      </c>
      <c r="AH22" s="976">
        <v>33.229999999999997</v>
      </c>
      <c r="AI22" s="976">
        <v>33.911999999999999</v>
      </c>
      <c r="AJ22" s="976">
        <v>34.508000000000003</v>
      </c>
      <c r="AK22" s="976">
        <v>35.161000000000001</v>
      </c>
      <c r="AL22" s="976">
        <v>35.825000000000003</v>
      </c>
      <c r="AM22" s="976">
        <v>36.805</v>
      </c>
      <c r="AN22" s="976">
        <v>37.719000000000001</v>
      </c>
      <c r="AO22" s="976">
        <v>38.633000000000003</v>
      </c>
      <c r="AP22" s="976">
        <v>39.792999999999999</v>
      </c>
      <c r="AQ22" s="976">
        <v>40.768000000000001</v>
      </c>
      <c r="AR22" s="976">
        <v>41.722999999999999</v>
      </c>
      <c r="AS22" s="976">
        <v>42.756</v>
      </c>
      <c r="AT22" s="976">
        <v>43.866</v>
      </c>
      <c r="AU22" s="976">
        <v>44.601999999999997</v>
      </c>
      <c r="AV22" s="976">
        <v>45.335999999999999</v>
      </c>
      <c r="AW22" s="976">
        <v>46.03</v>
      </c>
      <c r="AX22" s="976">
        <v>46.612000000000002</v>
      </c>
      <c r="AY22" s="976">
        <v>47.058999999999997</v>
      </c>
      <c r="AZ22" s="976">
        <v>47.8</v>
      </c>
      <c r="BA22" s="976">
        <v>48.326000000000001</v>
      </c>
      <c r="BB22" s="976">
        <v>48.723999999999997</v>
      </c>
      <c r="BC22" s="976">
        <v>49.168999999999997</v>
      </c>
      <c r="BD22" s="976">
        <v>49.814999999999998</v>
      </c>
      <c r="BE22" s="976">
        <v>50.146000000000001</v>
      </c>
      <c r="BF22" s="976">
        <v>50.69</v>
      </c>
      <c r="BG22" s="976">
        <v>51.183</v>
      </c>
      <c r="BH22" s="976">
        <v>51.579000000000001</v>
      </c>
      <c r="BI22" s="976">
        <v>51.896999999999998</v>
      </c>
      <c r="BJ22" s="976">
        <v>52.508000000000003</v>
      </c>
      <c r="BK22" s="976">
        <v>52.933999999999997</v>
      </c>
      <c r="BL22" s="976">
        <v>53.348999999999997</v>
      </c>
      <c r="BM22" s="976">
        <v>53.722000000000001</v>
      </c>
      <c r="BN22" s="976">
        <v>54.104999999999997</v>
      </c>
      <c r="BO22" s="976">
        <v>54.048999999999999</v>
      </c>
      <c r="BP22" s="976">
        <v>54.334000000000003</v>
      </c>
      <c r="BQ22" s="976">
        <v>54.661999999999999</v>
      </c>
      <c r="BR22" s="976">
        <v>55.174999999999997</v>
      </c>
      <c r="BS22" s="976">
        <v>55.706000000000003</v>
      </c>
      <c r="BT22" s="976">
        <v>56.231999999999999</v>
      </c>
      <c r="BU22" s="976">
        <v>56.718000000000004</v>
      </c>
      <c r="BV22" s="976">
        <v>57.164999999999999</v>
      </c>
      <c r="BW22" s="976">
        <v>57.796999999999997</v>
      </c>
      <c r="BX22" s="976">
        <v>58.509</v>
      </c>
      <c r="BY22" s="976">
        <v>59.100999999999999</v>
      </c>
      <c r="BZ22" s="976">
        <v>59.780999999999999</v>
      </c>
      <c r="CA22" s="976">
        <v>60.588000000000001</v>
      </c>
      <c r="CB22" s="976">
        <v>60.945999999999998</v>
      </c>
      <c r="CC22" s="976">
        <v>61.427</v>
      </c>
      <c r="CD22" s="976">
        <v>62.319000000000003</v>
      </c>
      <c r="CE22" s="976">
        <v>62.886000000000003</v>
      </c>
      <c r="CF22" s="976">
        <v>63.685000000000002</v>
      </c>
      <c r="CG22" s="976">
        <v>64.527000000000001</v>
      </c>
      <c r="CH22" s="976">
        <v>64.866</v>
      </c>
      <c r="CI22" s="976">
        <v>65.218999999999994</v>
      </c>
      <c r="CJ22" s="976">
        <v>65.661000000000001</v>
      </c>
      <c r="CK22" s="976">
        <v>66.135999999999996</v>
      </c>
      <c r="CL22" s="976">
        <v>66.55</v>
      </c>
      <c r="CM22" s="976">
        <v>66.992000000000004</v>
      </c>
      <c r="CN22" s="976">
        <v>67.418999999999997</v>
      </c>
      <c r="CO22" s="976">
        <v>67.888999999999996</v>
      </c>
      <c r="CP22" s="976">
        <v>68.293999999999997</v>
      </c>
      <c r="CQ22" s="976">
        <v>68.753</v>
      </c>
      <c r="CR22" s="976">
        <v>69.052000000000007</v>
      </c>
      <c r="CS22" s="976">
        <v>69.45</v>
      </c>
      <c r="CT22" s="976">
        <v>69.698999999999998</v>
      </c>
      <c r="CU22" s="976">
        <v>70.087999999999994</v>
      </c>
      <c r="CV22" s="976">
        <v>70.590999999999994</v>
      </c>
      <c r="CW22" s="976">
        <v>70.923000000000002</v>
      </c>
      <c r="CX22" s="976">
        <v>71.27</v>
      </c>
      <c r="CY22" s="976">
        <v>71.685000000000002</v>
      </c>
      <c r="CZ22" s="976">
        <v>71.977999999999994</v>
      </c>
      <c r="DA22" s="976">
        <v>72.293999999999997</v>
      </c>
      <c r="DB22" s="976">
        <v>72.695999999999998</v>
      </c>
      <c r="DC22" s="976">
        <v>73.182000000000002</v>
      </c>
      <c r="DD22" s="976">
        <v>73.494</v>
      </c>
      <c r="DE22" s="976">
        <v>73.995000000000005</v>
      </c>
      <c r="DF22" s="976">
        <v>74.322999999999993</v>
      </c>
      <c r="DG22" s="976">
        <v>74.509</v>
      </c>
      <c r="DH22" s="976">
        <v>74.706000000000003</v>
      </c>
      <c r="DI22" s="976">
        <v>74.941000000000003</v>
      </c>
      <c r="DJ22" s="976">
        <v>74.947000000000003</v>
      </c>
      <c r="DK22" s="976">
        <v>75.081000000000003</v>
      </c>
      <c r="DL22" s="976">
        <v>75.313000000000002</v>
      </c>
      <c r="DM22" s="976">
        <v>75.510000000000005</v>
      </c>
      <c r="DN22" s="976">
        <v>75.706999999999994</v>
      </c>
      <c r="DO22" s="976">
        <v>76.12</v>
      </c>
      <c r="DP22" s="976">
        <v>76.522999999999996</v>
      </c>
      <c r="DQ22" s="976">
        <v>76.974999999999994</v>
      </c>
      <c r="DR22" s="976">
        <v>77.617999999999995</v>
      </c>
      <c r="DS22" s="976">
        <v>77.966999999999999</v>
      </c>
      <c r="DT22" s="976">
        <v>78.45</v>
      </c>
      <c r="DU22" s="976">
        <v>78.885000000000005</v>
      </c>
      <c r="DV22" s="976">
        <v>79.421000000000006</v>
      </c>
      <c r="DW22" s="976">
        <v>79.793999999999997</v>
      </c>
      <c r="DX22" s="976">
        <v>79.841999999999999</v>
      </c>
      <c r="DY22" s="976">
        <v>79.891000000000005</v>
      </c>
      <c r="DZ22" s="976">
        <v>80.037999999999997</v>
      </c>
      <c r="EA22" s="976">
        <v>80.647999999999996</v>
      </c>
      <c r="EB22" s="976">
        <v>81.040999999999997</v>
      </c>
      <c r="EC22" s="976">
        <v>81.415999999999997</v>
      </c>
      <c r="ED22" s="976">
        <v>81.99</v>
      </c>
      <c r="EE22" s="976">
        <v>82.010999999999996</v>
      </c>
      <c r="EF22" s="976">
        <v>82.516999999999996</v>
      </c>
      <c r="EG22" s="976">
        <v>82.894999999999996</v>
      </c>
      <c r="EH22" s="976">
        <v>83.582999999999998</v>
      </c>
      <c r="EI22" s="976">
        <v>84.155000000000001</v>
      </c>
      <c r="EJ22" s="976">
        <v>84.578999999999994</v>
      </c>
      <c r="EK22" s="976">
        <v>85.301000000000002</v>
      </c>
      <c r="EL22" s="976">
        <v>85.787000000000006</v>
      </c>
      <c r="EM22" s="976">
        <v>86.302000000000007</v>
      </c>
      <c r="EN22" s="976">
        <v>87.224999999999994</v>
      </c>
      <c r="EO22" s="976">
        <v>87.906999999999996</v>
      </c>
      <c r="EP22" s="976">
        <v>88.353999999999999</v>
      </c>
      <c r="EQ22" s="976">
        <v>89.064999999999998</v>
      </c>
      <c r="ER22" s="976">
        <v>89.707999999999998</v>
      </c>
      <c r="ES22" s="976">
        <v>89.557000000000002</v>
      </c>
      <c r="ET22" s="976">
        <v>90.402000000000001</v>
      </c>
      <c r="EU22" s="976">
        <v>91.135999999999996</v>
      </c>
      <c r="EV22" s="976">
        <v>91.65</v>
      </c>
      <c r="EW22" s="976">
        <v>92.551000000000002</v>
      </c>
      <c r="EX22" s="976">
        <v>93.328000000000003</v>
      </c>
      <c r="EY22" s="976">
        <v>94.289000000000001</v>
      </c>
      <c r="EZ22" s="976">
        <v>95.266000000000005</v>
      </c>
      <c r="FA22" s="976">
        <v>93.837000000000003</v>
      </c>
      <c r="FB22" s="976">
        <v>93.272999999999996</v>
      </c>
      <c r="FC22" s="976">
        <v>93.691999999999993</v>
      </c>
      <c r="FD22" s="976">
        <v>94.338999999999999</v>
      </c>
      <c r="FE22" s="976">
        <v>95.067999999999998</v>
      </c>
      <c r="FF22" s="976">
        <v>95.393000000000001</v>
      </c>
      <c r="FG22" s="976">
        <v>95.5</v>
      </c>
      <c r="FH22" s="976">
        <v>95.668999999999997</v>
      </c>
      <c r="FI22" s="976">
        <v>96.248000000000005</v>
      </c>
      <c r="FJ22" s="976">
        <v>97.088999999999999</v>
      </c>
      <c r="FK22" s="976">
        <v>98.046000000000006</v>
      </c>
      <c r="FL22" s="976">
        <v>98.521000000000001</v>
      </c>
      <c r="FM22" s="976">
        <v>98.858000000000004</v>
      </c>
      <c r="FN22" s="976">
        <v>99.537000000000006</v>
      </c>
      <c r="FO22" s="976">
        <v>99.775000000000006</v>
      </c>
      <c r="FP22" s="976">
        <v>100.06100000000001</v>
      </c>
      <c r="FQ22" s="976">
        <v>100.623</v>
      </c>
      <c r="FR22" s="976">
        <v>100.98099999999999</v>
      </c>
      <c r="FS22" s="976">
        <v>101.056</v>
      </c>
      <c r="FT22" s="976">
        <v>101.464</v>
      </c>
      <c r="FU22" s="976">
        <v>101.877</v>
      </c>
      <c r="FV22" s="976">
        <v>102.354</v>
      </c>
      <c r="FW22" s="976">
        <v>102.843</v>
      </c>
      <c r="FX22" s="976">
        <v>103.12</v>
      </c>
      <c r="FY22" s="976">
        <v>102.989</v>
      </c>
      <c r="FZ22" s="976">
        <v>102.55</v>
      </c>
      <c r="GA22" s="976">
        <v>103.05500000000001</v>
      </c>
      <c r="GB22" s="976">
        <v>103.32</v>
      </c>
      <c r="GC22" s="976">
        <v>103.24</v>
      </c>
      <c r="GD22" s="976">
        <v>103.322</v>
      </c>
      <c r="GE22" s="976">
        <v>103.94</v>
      </c>
      <c r="GF22" s="976">
        <v>104.36199999999999</v>
      </c>
      <c r="GG22" s="976">
        <v>104.843</v>
      </c>
      <c r="GH22" s="976">
        <v>105.417</v>
      </c>
      <c r="GI22" s="976">
        <v>105.65</v>
      </c>
      <c r="GJ22" s="976">
        <v>106.08</v>
      </c>
      <c r="GK22" s="976">
        <v>106.77200000000001</v>
      </c>
      <c r="GL22" s="976">
        <v>107.48099999999999</v>
      </c>
      <c r="GM22" s="976">
        <v>108.077</v>
      </c>
      <c r="GN22" s="976">
        <v>108.498</v>
      </c>
      <c r="GO22" s="976">
        <v>108.88500000000001</v>
      </c>
      <c r="GP22" s="976">
        <v>109.039</v>
      </c>
      <c r="GQ22" s="976">
        <v>109.72199999999999</v>
      </c>
      <c r="GR22" s="976">
        <v>110.104</v>
      </c>
      <c r="GS22" s="976">
        <v>110.52500000000001</v>
      </c>
      <c r="GT22" s="976">
        <v>110.878</v>
      </c>
      <c r="GU22" s="976">
        <v>110.431</v>
      </c>
      <c r="GV22" s="976">
        <v>111.426</v>
      </c>
      <c r="GW22" s="976">
        <v>111.831</v>
      </c>
      <c r="GX22" s="976">
        <v>112.857</v>
      </c>
    </row>
    <row r="23" spans="1:206">
      <c r="A23" s="976" t="s">
        <v>215</v>
      </c>
      <c r="B23" s="976">
        <v>133.6</v>
      </c>
      <c r="C23" s="976">
        <v>131.80000000000001</v>
      </c>
      <c r="D23" s="976">
        <v>132.4</v>
      </c>
      <c r="E23" s="976">
        <v>133.5</v>
      </c>
      <c r="F23" s="976">
        <v>133.30000000000001</v>
      </c>
      <c r="G23" s="976">
        <v>134.30000000000001</v>
      </c>
      <c r="H23" s="976">
        <v>135.6</v>
      </c>
      <c r="I23" s="976">
        <v>134.69999999999999</v>
      </c>
      <c r="J23" s="976">
        <v>141.4</v>
      </c>
      <c r="K23" s="976">
        <v>144.19999999999999</v>
      </c>
      <c r="L23" s="976">
        <v>138.80000000000001</v>
      </c>
      <c r="M23" s="976">
        <v>142.19999999999999</v>
      </c>
      <c r="N23" s="976">
        <v>146.4</v>
      </c>
      <c r="O23" s="976">
        <v>146.5</v>
      </c>
      <c r="P23" s="976">
        <v>144.19999999999999</v>
      </c>
      <c r="Q23" s="976">
        <v>147.6</v>
      </c>
      <c r="R23" s="976">
        <v>152.69999999999999</v>
      </c>
      <c r="S23" s="976">
        <v>154.9</v>
      </c>
      <c r="T23" s="976">
        <v>160.4</v>
      </c>
      <c r="U23" s="976">
        <v>167.4</v>
      </c>
      <c r="V23" s="976">
        <v>168.6</v>
      </c>
      <c r="W23" s="976">
        <v>169.4</v>
      </c>
      <c r="X23" s="976">
        <v>176.1</v>
      </c>
      <c r="Y23" s="976">
        <v>180.8</v>
      </c>
      <c r="Z23" s="976">
        <v>181.6</v>
      </c>
      <c r="AA23" s="976">
        <v>182.5</v>
      </c>
      <c r="AB23" s="976">
        <v>184.9</v>
      </c>
      <c r="AC23" s="976">
        <v>190.2</v>
      </c>
      <c r="AD23" s="976">
        <v>194.2</v>
      </c>
      <c r="AE23" s="976">
        <v>198.9</v>
      </c>
      <c r="AF23" s="976">
        <v>201.9</v>
      </c>
      <c r="AG23" s="976">
        <v>206.3</v>
      </c>
      <c r="AH23" s="976">
        <v>208.8</v>
      </c>
      <c r="AI23" s="976">
        <v>217</v>
      </c>
      <c r="AJ23" s="976">
        <v>222.1</v>
      </c>
      <c r="AK23" s="976">
        <v>227.8</v>
      </c>
      <c r="AL23" s="976">
        <v>231.7</v>
      </c>
      <c r="AM23" s="976">
        <v>237.6</v>
      </c>
      <c r="AN23" s="976">
        <v>243.7</v>
      </c>
      <c r="AO23" s="976">
        <v>249.3</v>
      </c>
      <c r="AP23" s="976">
        <v>261.10000000000002</v>
      </c>
      <c r="AQ23" s="976">
        <v>276.5</v>
      </c>
      <c r="AR23" s="976">
        <v>276.10000000000002</v>
      </c>
      <c r="AS23" s="976">
        <v>285.8</v>
      </c>
      <c r="AT23" s="976">
        <v>297.2</v>
      </c>
      <c r="AU23" s="976">
        <v>311.89999999999998</v>
      </c>
      <c r="AV23" s="976">
        <v>317.39999999999998</v>
      </c>
      <c r="AW23" s="976">
        <v>329.3</v>
      </c>
      <c r="AX23" s="976">
        <v>334.9</v>
      </c>
      <c r="AY23" s="976">
        <v>342.9</v>
      </c>
      <c r="AZ23" s="976">
        <v>351.5</v>
      </c>
      <c r="BA23" s="976">
        <v>364.1</v>
      </c>
      <c r="BB23" s="976">
        <v>370.5</v>
      </c>
      <c r="BC23" s="976">
        <v>380.3</v>
      </c>
      <c r="BD23" s="976">
        <v>394.4</v>
      </c>
      <c r="BE23" s="976">
        <v>384.2</v>
      </c>
      <c r="BF23" s="976">
        <v>392.4</v>
      </c>
      <c r="BG23" s="976">
        <v>408.3</v>
      </c>
      <c r="BH23" s="976">
        <v>414</v>
      </c>
      <c r="BI23" s="976">
        <v>432.5</v>
      </c>
      <c r="BJ23" s="976">
        <v>434.8</v>
      </c>
      <c r="BK23" s="976">
        <v>447.3</v>
      </c>
      <c r="BL23" s="976">
        <v>463.1</v>
      </c>
      <c r="BM23" s="976">
        <v>466.4</v>
      </c>
      <c r="BN23" s="976">
        <v>464</v>
      </c>
      <c r="BO23" s="976">
        <v>477.8</v>
      </c>
      <c r="BP23" s="976">
        <v>495.1</v>
      </c>
      <c r="BQ23" s="976">
        <v>489.8</v>
      </c>
      <c r="BR23" s="976">
        <v>492.1</v>
      </c>
      <c r="BS23" s="976">
        <v>501.2</v>
      </c>
      <c r="BT23" s="976">
        <v>504.1</v>
      </c>
      <c r="BU23" s="976">
        <v>513.70000000000005</v>
      </c>
      <c r="BV23" s="976">
        <v>505.8</v>
      </c>
      <c r="BW23" s="976">
        <v>506.9</v>
      </c>
      <c r="BX23" s="976">
        <v>507.4</v>
      </c>
      <c r="BY23" s="976">
        <v>525.6</v>
      </c>
      <c r="BZ23" s="976">
        <v>519.9</v>
      </c>
      <c r="CA23" s="976">
        <v>534.29999999999995</v>
      </c>
      <c r="CB23" s="976">
        <v>541.4</v>
      </c>
      <c r="CC23" s="976">
        <v>540.79999999999995</v>
      </c>
      <c r="CD23" s="976">
        <v>553.70000000000005</v>
      </c>
      <c r="CE23" s="976">
        <v>563.9</v>
      </c>
      <c r="CF23" s="976">
        <v>562.20000000000005</v>
      </c>
      <c r="CG23" s="976">
        <v>569.70000000000005</v>
      </c>
      <c r="CH23" s="976">
        <v>581.4</v>
      </c>
      <c r="CI23" s="976">
        <v>586.6</v>
      </c>
      <c r="CJ23" s="976">
        <v>586.29999999999995</v>
      </c>
      <c r="CK23" s="976">
        <v>577.4</v>
      </c>
      <c r="CL23" s="976">
        <v>580.29999999999995</v>
      </c>
      <c r="CM23" s="976">
        <v>580.9</v>
      </c>
      <c r="CN23" s="976">
        <v>594.20000000000005</v>
      </c>
      <c r="CO23" s="976">
        <v>598.4</v>
      </c>
      <c r="CP23" s="976">
        <v>580.29999999999995</v>
      </c>
      <c r="CQ23" s="976">
        <v>576.70000000000005</v>
      </c>
      <c r="CR23" s="976">
        <v>578.70000000000005</v>
      </c>
      <c r="CS23" s="976">
        <v>584.9</v>
      </c>
      <c r="CT23" s="976">
        <v>567</v>
      </c>
      <c r="CU23" s="976">
        <v>569.4</v>
      </c>
      <c r="CV23" s="976">
        <v>586.5</v>
      </c>
      <c r="CW23" s="976">
        <v>575.79999999999995</v>
      </c>
      <c r="CX23" s="976">
        <v>579.1</v>
      </c>
      <c r="CY23" s="976">
        <v>581</v>
      </c>
      <c r="CZ23" s="976">
        <v>579.29999999999995</v>
      </c>
      <c r="DA23" s="976">
        <v>567.29999999999995</v>
      </c>
      <c r="DB23" s="976">
        <v>579.79999999999995</v>
      </c>
      <c r="DC23" s="976">
        <v>582.1</v>
      </c>
      <c r="DD23" s="976">
        <v>577.79999999999995</v>
      </c>
      <c r="DE23" s="976">
        <v>576.9</v>
      </c>
      <c r="DF23" s="976">
        <v>570.70000000000005</v>
      </c>
      <c r="DG23" s="976">
        <v>587.20000000000005</v>
      </c>
      <c r="DH23" s="976">
        <v>586</v>
      </c>
      <c r="DI23" s="976">
        <v>589.20000000000005</v>
      </c>
      <c r="DJ23" s="976">
        <v>572.20000000000005</v>
      </c>
      <c r="DK23" s="976">
        <v>587.1</v>
      </c>
      <c r="DL23" s="976">
        <v>588.6</v>
      </c>
      <c r="DM23" s="976">
        <v>594.20000000000005</v>
      </c>
      <c r="DN23" s="976">
        <v>595.5</v>
      </c>
      <c r="DO23" s="976">
        <v>599.79999999999995</v>
      </c>
      <c r="DP23" s="976">
        <v>614.9</v>
      </c>
      <c r="DQ23" s="976">
        <v>635.20000000000005</v>
      </c>
      <c r="DR23" s="976">
        <v>620.4</v>
      </c>
      <c r="DS23" s="976">
        <v>642</v>
      </c>
      <c r="DT23" s="976">
        <v>634.1</v>
      </c>
      <c r="DU23" s="976">
        <v>638.4</v>
      </c>
      <c r="DV23" s="976">
        <v>653.1</v>
      </c>
      <c r="DW23" s="976">
        <v>666.1</v>
      </c>
      <c r="DX23" s="976">
        <v>674.3</v>
      </c>
      <c r="DY23" s="976">
        <v>686.8</v>
      </c>
      <c r="DZ23" s="976">
        <v>713.9</v>
      </c>
      <c r="EA23" s="976">
        <v>734.7</v>
      </c>
      <c r="EB23" s="976">
        <v>748.2</v>
      </c>
      <c r="EC23" s="976">
        <v>775.1</v>
      </c>
      <c r="ED23" s="976">
        <v>792.3</v>
      </c>
      <c r="EE23" s="976">
        <v>825.5</v>
      </c>
      <c r="EF23" s="976">
        <v>832.7</v>
      </c>
      <c r="EG23" s="976">
        <v>854.6</v>
      </c>
      <c r="EH23" s="976">
        <v>871.3</v>
      </c>
      <c r="EI23" s="976">
        <v>884.2</v>
      </c>
      <c r="EJ23" s="976">
        <v>902.2</v>
      </c>
      <c r="EK23" s="976">
        <v>909.3</v>
      </c>
      <c r="EL23" s="976">
        <v>931.5</v>
      </c>
      <c r="EM23" s="976">
        <v>939</v>
      </c>
      <c r="EN23" s="976">
        <v>956.1</v>
      </c>
      <c r="EO23" s="976">
        <v>963.3</v>
      </c>
      <c r="EP23" s="976">
        <v>996.6</v>
      </c>
      <c r="EQ23" s="976">
        <v>996.6</v>
      </c>
      <c r="ER23" s="976">
        <v>994.9</v>
      </c>
      <c r="ES23" s="976">
        <v>1014.6</v>
      </c>
      <c r="ET23" s="976">
        <v>1017.2</v>
      </c>
      <c r="EU23" s="976">
        <v>1042</v>
      </c>
      <c r="EV23" s="976">
        <v>1058.3</v>
      </c>
      <c r="EW23" s="976">
        <v>1084.5999999999999</v>
      </c>
      <c r="EX23" s="976">
        <v>1110.3</v>
      </c>
      <c r="EY23" s="976">
        <v>1145.5</v>
      </c>
      <c r="EZ23" s="976">
        <v>1168.7</v>
      </c>
      <c r="FA23" s="976">
        <v>1177.9000000000001</v>
      </c>
      <c r="FB23" s="976">
        <v>1183</v>
      </c>
      <c r="FC23" s="976">
        <v>1210.8</v>
      </c>
      <c r="FD23" s="976">
        <v>1225.5</v>
      </c>
      <c r="FE23" s="976">
        <v>1253.4000000000001</v>
      </c>
      <c r="FF23" s="976">
        <v>1275.7</v>
      </c>
      <c r="FG23" s="976">
        <v>1302.5999999999999</v>
      </c>
      <c r="FH23" s="976">
        <v>1302.3</v>
      </c>
      <c r="FI23" s="976">
        <v>1311.1</v>
      </c>
      <c r="FJ23" s="976">
        <v>1304.7</v>
      </c>
      <c r="FK23" s="976">
        <v>1311.8</v>
      </c>
      <c r="FL23" s="976">
        <v>1288</v>
      </c>
      <c r="FM23" s="976">
        <v>1291.2</v>
      </c>
      <c r="FN23" s="976">
        <v>1295.5999999999999</v>
      </c>
      <c r="FO23" s="976">
        <v>1288.2</v>
      </c>
      <c r="FP23" s="976">
        <v>1293.3</v>
      </c>
      <c r="FQ23" s="976">
        <v>1269.0999999999999</v>
      </c>
      <c r="FR23" s="976">
        <v>1240</v>
      </c>
      <c r="FS23" s="976">
        <v>1232.3</v>
      </c>
      <c r="FT23" s="976">
        <v>1218.4000000000001</v>
      </c>
      <c r="FU23" s="976">
        <v>1215.5999999999999</v>
      </c>
      <c r="FV23" s="976">
        <v>1211</v>
      </c>
      <c r="FW23" s="976">
        <v>1209</v>
      </c>
      <c r="FX23" s="976">
        <v>1228.2</v>
      </c>
      <c r="FY23" s="976">
        <v>1211.7</v>
      </c>
      <c r="FZ23" s="976">
        <v>1214.9000000000001</v>
      </c>
      <c r="GA23" s="976">
        <v>1219.5999999999999</v>
      </c>
      <c r="GB23" s="976">
        <v>1220.2</v>
      </c>
      <c r="GC23" s="976">
        <v>1228.5</v>
      </c>
      <c r="GD23" s="976">
        <v>1229.4000000000001</v>
      </c>
      <c r="GE23" s="976">
        <v>1227.0999999999999</v>
      </c>
      <c r="GF23" s="976">
        <v>1237.8</v>
      </c>
      <c r="GG23" s="976">
        <v>1244.5</v>
      </c>
      <c r="GH23" s="976">
        <v>1246.5</v>
      </c>
      <c r="GI23" s="976">
        <v>1257.9000000000001</v>
      </c>
      <c r="GJ23" s="976">
        <v>1262.7</v>
      </c>
      <c r="GK23" s="976">
        <v>1288.3</v>
      </c>
      <c r="GL23" s="976">
        <v>1308.0999999999999</v>
      </c>
      <c r="GM23" s="976">
        <v>1329.3</v>
      </c>
      <c r="GN23" s="976">
        <v>1352</v>
      </c>
      <c r="GO23" s="976">
        <v>1368.4</v>
      </c>
      <c r="GP23" s="976">
        <v>1388.8</v>
      </c>
      <c r="GQ23" s="976">
        <v>1410.6</v>
      </c>
      <c r="GR23" s="976">
        <v>1429.3</v>
      </c>
      <c r="GS23" s="976">
        <v>1447.9</v>
      </c>
      <c r="GT23" s="976">
        <v>1452.6</v>
      </c>
      <c r="GU23" s="976">
        <v>1504.8</v>
      </c>
      <c r="GV23" s="976">
        <v>1487</v>
      </c>
      <c r="GW23" s="976">
        <v>1493.4</v>
      </c>
      <c r="GX23" s="976">
        <v>1557.1</v>
      </c>
    </row>
    <row r="24" spans="1:206">
      <c r="A24" s="976" t="s">
        <v>236</v>
      </c>
      <c r="B24" s="976">
        <v>114.3</v>
      </c>
      <c r="C24" s="976">
        <v>117.4</v>
      </c>
      <c r="D24" s="976">
        <v>122.2</v>
      </c>
      <c r="E24" s="976">
        <v>125.2</v>
      </c>
      <c r="F24" s="976">
        <v>128.6</v>
      </c>
      <c r="G24" s="976">
        <v>131.9</v>
      </c>
      <c r="H24" s="976">
        <v>134.19999999999999</v>
      </c>
      <c r="I24" s="976">
        <v>137.4</v>
      </c>
      <c r="J24" s="976">
        <v>140.80000000000001</v>
      </c>
      <c r="K24" s="976">
        <v>142.19999999999999</v>
      </c>
      <c r="L24" s="976">
        <v>145.6</v>
      </c>
      <c r="M24" s="976">
        <v>149.6</v>
      </c>
      <c r="N24" s="976">
        <v>153.19999999999999</v>
      </c>
      <c r="O24" s="976">
        <v>156.19999999999999</v>
      </c>
      <c r="P24" s="976">
        <v>159.9</v>
      </c>
      <c r="Q24" s="976">
        <v>165</v>
      </c>
      <c r="R24" s="976">
        <v>171.9</v>
      </c>
      <c r="S24" s="976">
        <v>180.1</v>
      </c>
      <c r="T24" s="976">
        <v>186.3</v>
      </c>
      <c r="U24" s="976">
        <v>191.9</v>
      </c>
      <c r="V24" s="976">
        <v>201.5</v>
      </c>
      <c r="W24" s="976">
        <v>204</v>
      </c>
      <c r="X24" s="976">
        <v>209.3</v>
      </c>
      <c r="Y24" s="976">
        <v>214.8</v>
      </c>
      <c r="Z24" s="976">
        <v>219.7</v>
      </c>
      <c r="AA24" s="976">
        <v>218.5</v>
      </c>
      <c r="AB24" s="976">
        <v>218.6</v>
      </c>
      <c r="AC24" s="976">
        <v>220.6</v>
      </c>
      <c r="AD24" s="976">
        <v>227</v>
      </c>
      <c r="AE24" s="976">
        <v>232.4</v>
      </c>
      <c r="AF24" s="976">
        <v>236.1</v>
      </c>
      <c r="AG24" s="976">
        <v>240.5</v>
      </c>
      <c r="AH24" s="976">
        <v>243.8</v>
      </c>
      <c r="AI24" s="976">
        <v>255.3</v>
      </c>
      <c r="AJ24" s="976">
        <v>262.2</v>
      </c>
      <c r="AK24" s="976">
        <v>268.39999999999998</v>
      </c>
      <c r="AL24" s="976">
        <v>270.10000000000002</v>
      </c>
      <c r="AM24" s="976">
        <v>278.89999999999998</v>
      </c>
      <c r="AN24" s="976">
        <v>289.39999999999998</v>
      </c>
      <c r="AO24" s="976">
        <v>298.39999999999998</v>
      </c>
      <c r="AP24" s="976">
        <v>307.7</v>
      </c>
      <c r="AQ24" s="976">
        <v>312</v>
      </c>
      <c r="AR24" s="976">
        <v>316.10000000000002</v>
      </c>
      <c r="AS24" s="976">
        <v>323.10000000000002</v>
      </c>
      <c r="AT24" s="976">
        <v>336.1</v>
      </c>
      <c r="AU24" s="976">
        <v>336.8</v>
      </c>
      <c r="AV24" s="976">
        <v>340.3</v>
      </c>
      <c r="AW24" s="976">
        <v>348.4</v>
      </c>
      <c r="AX24" s="976">
        <v>353.2</v>
      </c>
      <c r="AY24" s="976">
        <v>360.2</v>
      </c>
      <c r="AZ24" s="976">
        <v>365.8</v>
      </c>
      <c r="BA24" s="976">
        <v>373.3</v>
      </c>
      <c r="BB24" s="976">
        <v>377.4</v>
      </c>
      <c r="BC24" s="976">
        <v>380.7</v>
      </c>
      <c r="BD24" s="976">
        <v>387.8</v>
      </c>
      <c r="BE24" s="976">
        <v>390.9</v>
      </c>
      <c r="BF24" s="976">
        <v>401.6</v>
      </c>
      <c r="BG24" s="976">
        <v>410.8</v>
      </c>
      <c r="BH24" s="976">
        <v>421.7</v>
      </c>
      <c r="BI24" s="976">
        <v>430.2</v>
      </c>
      <c r="BJ24" s="976">
        <v>440.8</v>
      </c>
      <c r="BK24" s="976">
        <v>453.2</v>
      </c>
      <c r="BL24" s="976">
        <v>464.3</v>
      </c>
      <c r="BM24" s="976">
        <v>472.1</v>
      </c>
      <c r="BN24" s="976">
        <v>482.8</v>
      </c>
      <c r="BO24" s="976">
        <v>489.7</v>
      </c>
      <c r="BP24" s="976">
        <v>498.5</v>
      </c>
      <c r="BQ24" s="976">
        <v>506.6</v>
      </c>
      <c r="BR24" s="976">
        <v>516.5</v>
      </c>
      <c r="BS24" s="976">
        <v>524</v>
      </c>
      <c r="BT24" s="976">
        <v>532.1</v>
      </c>
      <c r="BU24" s="976">
        <v>542.29999999999995</v>
      </c>
      <c r="BV24" s="976">
        <v>551.1</v>
      </c>
      <c r="BW24" s="976">
        <v>563.5</v>
      </c>
      <c r="BX24" s="976">
        <v>570.79999999999995</v>
      </c>
      <c r="BY24" s="976">
        <v>584.29999999999995</v>
      </c>
      <c r="BZ24" s="976">
        <v>596.70000000000005</v>
      </c>
      <c r="CA24" s="976">
        <v>611.5</v>
      </c>
      <c r="CB24" s="976">
        <v>623.20000000000005</v>
      </c>
      <c r="CC24" s="976">
        <v>639.70000000000005</v>
      </c>
      <c r="CD24" s="976">
        <v>658.8</v>
      </c>
      <c r="CE24" s="976">
        <v>666.8</v>
      </c>
      <c r="CF24" s="976">
        <v>680.3</v>
      </c>
      <c r="CG24" s="976">
        <v>698.8</v>
      </c>
      <c r="CH24" s="976">
        <v>702.8</v>
      </c>
      <c r="CI24" s="976">
        <v>709.9</v>
      </c>
      <c r="CJ24" s="976">
        <v>719.9</v>
      </c>
      <c r="CK24" s="976">
        <v>731.4</v>
      </c>
      <c r="CL24" s="976">
        <v>746.1</v>
      </c>
      <c r="CM24" s="976">
        <v>753.9</v>
      </c>
      <c r="CN24" s="976">
        <v>759.8</v>
      </c>
      <c r="CO24" s="976">
        <v>764.4</v>
      </c>
      <c r="CP24" s="976">
        <v>771.5</v>
      </c>
      <c r="CQ24" s="976">
        <v>782.3</v>
      </c>
      <c r="CR24" s="976">
        <v>788.7</v>
      </c>
      <c r="CS24" s="976">
        <v>796.5</v>
      </c>
      <c r="CT24" s="976">
        <v>806.3</v>
      </c>
      <c r="CU24" s="976">
        <v>820</v>
      </c>
      <c r="CV24" s="976">
        <v>836.9</v>
      </c>
      <c r="CW24" s="976">
        <v>847.1</v>
      </c>
      <c r="CX24" s="976">
        <v>858.5</v>
      </c>
      <c r="CY24" s="976">
        <v>871.9</v>
      </c>
      <c r="CZ24" s="976">
        <v>876.3</v>
      </c>
      <c r="DA24" s="976">
        <v>884.3</v>
      </c>
      <c r="DB24" s="976">
        <v>891.5</v>
      </c>
      <c r="DC24" s="976">
        <v>905.5</v>
      </c>
      <c r="DD24" s="976">
        <v>919</v>
      </c>
      <c r="DE24" s="976">
        <v>938.8</v>
      </c>
      <c r="DF24" s="976">
        <v>945.3</v>
      </c>
      <c r="DG24" s="976">
        <v>955.4</v>
      </c>
      <c r="DH24" s="976">
        <v>969.2</v>
      </c>
      <c r="DI24" s="976">
        <v>985.6</v>
      </c>
      <c r="DJ24" s="976">
        <v>995.9</v>
      </c>
      <c r="DK24" s="976">
        <v>1016.6</v>
      </c>
      <c r="DL24" s="976">
        <v>1038.5999999999999</v>
      </c>
      <c r="DM24" s="976">
        <v>1053.2</v>
      </c>
      <c r="DN24" s="976">
        <v>1073.9000000000001</v>
      </c>
      <c r="DO24" s="976">
        <v>1095.4000000000001</v>
      </c>
      <c r="DP24" s="976">
        <v>1119.5999999999999</v>
      </c>
      <c r="DQ24" s="976">
        <v>1147.0999999999999</v>
      </c>
      <c r="DR24" s="976">
        <v>1170.4000000000001</v>
      </c>
      <c r="DS24" s="976">
        <v>1181.0999999999999</v>
      </c>
      <c r="DT24" s="976">
        <v>1198.3</v>
      </c>
      <c r="DU24" s="976">
        <v>1222.9000000000001</v>
      </c>
      <c r="DV24" s="976">
        <v>1252.3</v>
      </c>
      <c r="DW24" s="976">
        <v>1280.9000000000001</v>
      </c>
      <c r="DX24" s="976">
        <v>1278.4000000000001</v>
      </c>
      <c r="DY24" s="976">
        <v>1305.2</v>
      </c>
      <c r="DZ24" s="976">
        <v>1325</v>
      </c>
      <c r="EA24" s="976">
        <v>1338.8</v>
      </c>
      <c r="EB24" s="976">
        <v>1352.2</v>
      </c>
      <c r="EC24" s="976">
        <v>1366.9</v>
      </c>
      <c r="ED24" s="976">
        <v>1380</v>
      </c>
      <c r="EE24" s="976">
        <v>1374</v>
      </c>
      <c r="EF24" s="976">
        <v>1388.5</v>
      </c>
      <c r="EG24" s="976">
        <v>1397.3</v>
      </c>
      <c r="EH24" s="976">
        <v>1416</v>
      </c>
      <c r="EI24" s="976">
        <v>1437.2</v>
      </c>
      <c r="EJ24" s="976">
        <v>1455</v>
      </c>
      <c r="EK24" s="976">
        <v>1480.3</v>
      </c>
      <c r="EL24" s="976">
        <v>1495.4</v>
      </c>
      <c r="EM24" s="976">
        <v>1513.9</v>
      </c>
      <c r="EN24" s="976">
        <v>1539</v>
      </c>
      <c r="EO24" s="976">
        <v>1565.8</v>
      </c>
      <c r="EP24" s="976">
        <v>1584.1</v>
      </c>
      <c r="EQ24" s="976">
        <v>1614.3</v>
      </c>
      <c r="ER24" s="976">
        <v>1635.7</v>
      </c>
      <c r="ES24" s="976">
        <v>1660.1</v>
      </c>
      <c r="ET24" s="976">
        <v>1702</v>
      </c>
      <c r="EU24" s="976">
        <v>1728.3</v>
      </c>
      <c r="EV24" s="976">
        <v>1750.7</v>
      </c>
      <c r="EW24" s="976">
        <v>1780.3</v>
      </c>
      <c r="EX24" s="976">
        <v>1799</v>
      </c>
      <c r="EY24" s="976">
        <v>1825.6</v>
      </c>
      <c r="EZ24" s="976">
        <v>1858.9</v>
      </c>
      <c r="FA24" s="976">
        <v>1842.2</v>
      </c>
      <c r="FB24" s="976">
        <v>1836.7</v>
      </c>
      <c r="FC24" s="976">
        <v>1856.7</v>
      </c>
      <c r="FD24" s="976">
        <v>1863.5</v>
      </c>
      <c r="FE24" s="976">
        <v>1864.4</v>
      </c>
      <c r="FF24" s="976">
        <v>1856.2</v>
      </c>
      <c r="FG24" s="976">
        <v>1862.1</v>
      </c>
      <c r="FH24" s="976">
        <v>1855.6</v>
      </c>
      <c r="FI24" s="976">
        <v>1853</v>
      </c>
      <c r="FJ24" s="976">
        <v>1851.2</v>
      </c>
      <c r="FK24" s="976">
        <v>1856.7</v>
      </c>
      <c r="FL24" s="976">
        <v>1849.5</v>
      </c>
      <c r="FM24" s="976">
        <v>1840.3</v>
      </c>
      <c r="FN24" s="976">
        <v>1849</v>
      </c>
      <c r="FO24" s="976">
        <v>1842.9</v>
      </c>
      <c r="FP24" s="976">
        <v>1846.3</v>
      </c>
      <c r="FQ24" s="976">
        <v>1863.7</v>
      </c>
      <c r="FR24" s="976">
        <v>1885</v>
      </c>
      <c r="FS24" s="976">
        <v>1899.6</v>
      </c>
      <c r="FT24" s="976">
        <v>1915.7</v>
      </c>
      <c r="FU24" s="976">
        <v>1923</v>
      </c>
      <c r="FV24" s="976">
        <v>1926.4</v>
      </c>
      <c r="FW24" s="976">
        <v>1944.2</v>
      </c>
      <c r="FX24" s="976">
        <v>1962.7</v>
      </c>
      <c r="FY24" s="976">
        <v>1978.6</v>
      </c>
      <c r="FZ24" s="976">
        <v>1973.2</v>
      </c>
      <c r="GA24" s="976">
        <v>2011</v>
      </c>
      <c r="GB24" s="976">
        <v>2028.9</v>
      </c>
      <c r="GC24" s="976">
        <v>2024.7</v>
      </c>
      <c r="GD24" s="976">
        <v>2036.9</v>
      </c>
      <c r="GE24" s="976">
        <v>2056</v>
      </c>
      <c r="GF24" s="976">
        <v>2073.1</v>
      </c>
      <c r="GG24" s="976">
        <v>2092.3000000000002</v>
      </c>
      <c r="GH24" s="976">
        <v>2115.1</v>
      </c>
      <c r="GI24" s="976">
        <v>2126.3000000000002</v>
      </c>
      <c r="GJ24" s="976">
        <v>2148.4</v>
      </c>
      <c r="GK24" s="976">
        <v>2182.9</v>
      </c>
      <c r="GL24" s="976">
        <v>2213.4</v>
      </c>
      <c r="GM24" s="976">
        <v>2250.6999999999998</v>
      </c>
      <c r="GN24" s="976">
        <v>2279.1</v>
      </c>
      <c r="GO24" s="976">
        <v>2279.6</v>
      </c>
      <c r="GP24" s="976">
        <v>2292.6999999999998</v>
      </c>
      <c r="GQ24" s="976">
        <v>2327</v>
      </c>
      <c r="GR24" s="976">
        <v>2337.8000000000002</v>
      </c>
      <c r="GS24" s="976">
        <v>2357.4</v>
      </c>
      <c r="GT24" s="976">
        <v>2381.6</v>
      </c>
      <c r="GU24" s="976">
        <v>2334.5</v>
      </c>
      <c r="GV24" s="976">
        <v>2329.6</v>
      </c>
      <c r="GW24" s="976">
        <v>2341.6999999999998</v>
      </c>
      <c r="GX24" s="976">
        <v>2389.6</v>
      </c>
    </row>
    <row r="25" spans="1:206">
      <c r="A25" s="976" t="s">
        <v>237</v>
      </c>
      <c r="B25" s="976">
        <v>714</v>
      </c>
      <c r="C25" s="976">
        <v>695.2</v>
      </c>
      <c r="D25" s="976">
        <v>686.7</v>
      </c>
      <c r="E25" s="976">
        <v>684.1</v>
      </c>
      <c r="F25" s="976">
        <v>662.1</v>
      </c>
      <c r="G25" s="976">
        <v>654.4</v>
      </c>
      <c r="H25" s="976">
        <v>651.5</v>
      </c>
      <c r="I25" s="976">
        <v>634.4</v>
      </c>
      <c r="J25" s="976">
        <v>639.70000000000005</v>
      </c>
      <c r="K25" s="976">
        <v>645.9</v>
      </c>
      <c r="L25" s="976">
        <v>616.29999999999995</v>
      </c>
      <c r="M25" s="976">
        <v>617.9</v>
      </c>
      <c r="N25" s="976">
        <v>625.9</v>
      </c>
      <c r="O25" s="976">
        <v>615.79999999999995</v>
      </c>
      <c r="P25" s="976">
        <v>594</v>
      </c>
      <c r="Q25" s="976">
        <v>595.4</v>
      </c>
      <c r="R25" s="976">
        <v>609.70000000000005</v>
      </c>
      <c r="S25" s="976">
        <v>607.6</v>
      </c>
      <c r="T25" s="976">
        <v>611.5</v>
      </c>
      <c r="U25" s="976">
        <v>617.6</v>
      </c>
      <c r="V25" s="976">
        <v>611.1</v>
      </c>
      <c r="W25" s="976">
        <v>605</v>
      </c>
      <c r="X25" s="976">
        <v>620.6</v>
      </c>
      <c r="Y25" s="976">
        <v>622.70000000000005</v>
      </c>
      <c r="Z25" s="976">
        <v>616.5</v>
      </c>
      <c r="AA25" s="976">
        <v>614.4</v>
      </c>
      <c r="AB25" s="976">
        <v>615.29999999999995</v>
      </c>
      <c r="AC25" s="976">
        <v>616.70000000000005</v>
      </c>
      <c r="AD25" s="976">
        <v>620.9</v>
      </c>
      <c r="AE25" s="976">
        <v>628.79999999999995</v>
      </c>
      <c r="AF25" s="976">
        <v>635.1</v>
      </c>
      <c r="AG25" s="976">
        <v>630.70000000000005</v>
      </c>
      <c r="AH25" s="976">
        <v>631.1</v>
      </c>
      <c r="AI25" s="976">
        <v>643.29999999999995</v>
      </c>
      <c r="AJ25" s="976">
        <v>647.5</v>
      </c>
      <c r="AK25" s="976">
        <v>653</v>
      </c>
      <c r="AL25" s="976">
        <v>652</v>
      </c>
      <c r="AM25" s="976">
        <v>658.6</v>
      </c>
      <c r="AN25" s="976">
        <v>660.2</v>
      </c>
      <c r="AO25" s="976">
        <v>660.9</v>
      </c>
      <c r="AP25" s="976">
        <v>678.5</v>
      </c>
      <c r="AQ25" s="976">
        <v>691.9</v>
      </c>
      <c r="AR25" s="976">
        <v>684</v>
      </c>
      <c r="AS25" s="976">
        <v>687.4</v>
      </c>
      <c r="AT25" s="976">
        <v>700.9</v>
      </c>
      <c r="AU25" s="976">
        <v>718.9</v>
      </c>
      <c r="AV25" s="976">
        <v>715.9</v>
      </c>
      <c r="AW25" s="976">
        <v>728.8</v>
      </c>
      <c r="AX25" s="976">
        <v>729.3</v>
      </c>
      <c r="AY25" s="976">
        <v>732.3</v>
      </c>
      <c r="AZ25" s="976">
        <v>744.3</v>
      </c>
      <c r="BA25" s="976">
        <v>761.9</v>
      </c>
      <c r="BB25" s="976">
        <v>773.9</v>
      </c>
      <c r="BC25" s="976">
        <v>788.3</v>
      </c>
      <c r="BD25" s="976">
        <v>808.7</v>
      </c>
      <c r="BE25" s="976">
        <v>782.5</v>
      </c>
      <c r="BF25" s="976">
        <v>789.2</v>
      </c>
      <c r="BG25" s="976">
        <v>813.1</v>
      </c>
      <c r="BH25" s="976">
        <v>812.3</v>
      </c>
      <c r="BI25" s="976">
        <v>838.4</v>
      </c>
      <c r="BJ25" s="976">
        <v>846</v>
      </c>
      <c r="BK25" s="976">
        <v>868.3</v>
      </c>
      <c r="BL25" s="976">
        <v>894.2</v>
      </c>
      <c r="BM25" s="976">
        <v>894.7</v>
      </c>
      <c r="BN25" s="976">
        <v>892.2</v>
      </c>
      <c r="BO25" s="976">
        <v>921.1</v>
      </c>
      <c r="BP25" s="976">
        <v>953</v>
      </c>
      <c r="BQ25" s="976">
        <v>941.8</v>
      </c>
      <c r="BR25" s="976">
        <v>947.9</v>
      </c>
      <c r="BS25" s="976">
        <v>960.8</v>
      </c>
      <c r="BT25" s="976">
        <v>959.5</v>
      </c>
      <c r="BU25" s="976">
        <v>975.7</v>
      </c>
      <c r="BV25" s="976">
        <v>947.7</v>
      </c>
      <c r="BW25" s="976">
        <v>940.6</v>
      </c>
      <c r="BX25" s="976">
        <v>936.1</v>
      </c>
      <c r="BY25" s="976">
        <v>962.1</v>
      </c>
      <c r="BZ25" s="976">
        <v>944.5</v>
      </c>
      <c r="CA25" s="976">
        <v>963.7</v>
      </c>
      <c r="CB25" s="976">
        <v>971.6</v>
      </c>
      <c r="CC25" s="976">
        <v>967.1</v>
      </c>
      <c r="CD25" s="976">
        <v>983.2</v>
      </c>
      <c r="CE25" s="976">
        <v>984.5</v>
      </c>
      <c r="CF25" s="976">
        <v>980.1</v>
      </c>
      <c r="CG25" s="976">
        <v>981.3</v>
      </c>
      <c r="CH25" s="976">
        <v>992.5</v>
      </c>
      <c r="CI25" s="976">
        <v>996.6</v>
      </c>
      <c r="CJ25" s="976">
        <v>983.4</v>
      </c>
      <c r="CK25" s="976">
        <v>958.8</v>
      </c>
      <c r="CL25" s="976">
        <v>962.4</v>
      </c>
      <c r="CM25" s="976">
        <v>959.9</v>
      </c>
      <c r="CN25" s="976">
        <v>973.4</v>
      </c>
      <c r="CO25" s="976">
        <v>974.1</v>
      </c>
      <c r="CP25" s="976">
        <v>942.2</v>
      </c>
      <c r="CQ25" s="976">
        <v>932.3</v>
      </c>
      <c r="CR25" s="976">
        <v>928.8</v>
      </c>
      <c r="CS25" s="976">
        <v>930.4</v>
      </c>
      <c r="CT25" s="976">
        <v>897.9</v>
      </c>
      <c r="CU25" s="976">
        <v>894.1</v>
      </c>
      <c r="CV25" s="976">
        <v>915.8</v>
      </c>
      <c r="CW25" s="976">
        <v>891.7</v>
      </c>
      <c r="CX25" s="976">
        <v>889.2</v>
      </c>
      <c r="CY25" s="976">
        <v>886.2</v>
      </c>
      <c r="CZ25" s="976">
        <v>879.1</v>
      </c>
      <c r="DA25" s="976">
        <v>849.1</v>
      </c>
      <c r="DB25" s="976">
        <v>865.9</v>
      </c>
      <c r="DC25" s="976">
        <v>874.1</v>
      </c>
      <c r="DD25" s="976">
        <v>862.5</v>
      </c>
      <c r="DE25" s="976">
        <v>858.3</v>
      </c>
      <c r="DF25" s="976">
        <v>846.2</v>
      </c>
      <c r="DG25" s="976">
        <v>865</v>
      </c>
      <c r="DH25" s="976">
        <v>861.3</v>
      </c>
      <c r="DI25" s="976">
        <v>859.9</v>
      </c>
      <c r="DJ25" s="976">
        <v>838.5</v>
      </c>
      <c r="DK25" s="976">
        <v>854.9</v>
      </c>
      <c r="DL25" s="976">
        <v>851.6</v>
      </c>
      <c r="DM25" s="976">
        <v>857</v>
      </c>
      <c r="DN25" s="976">
        <v>856.3</v>
      </c>
      <c r="DO25" s="976">
        <v>855.4</v>
      </c>
      <c r="DP25" s="976">
        <v>869</v>
      </c>
      <c r="DQ25" s="976">
        <v>886.8</v>
      </c>
      <c r="DR25" s="976">
        <v>857.6</v>
      </c>
      <c r="DS25" s="976">
        <v>884.1</v>
      </c>
      <c r="DT25" s="976">
        <v>867</v>
      </c>
      <c r="DU25" s="976">
        <v>868.9</v>
      </c>
      <c r="DV25" s="976">
        <v>887.5</v>
      </c>
      <c r="DW25" s="976">
        <v>900.4</v>
      </c>
      <c r="DX25" s="976">
        <v>905.8</v>
      </c>
      <c r="DY25" s="976">
        <v>916.6</v>
      </c>
      <c r="DZ25" s="976">
        <v>946.9</v>
      </c>
      <c r="EA25" s="976">
        <v>965.3</v>
      </c>
      <c r="EB25" s="976">
        <v>974.8</v>
      </c>
      <c r="EC25" s="976">
        <v>991.3</v>
      </c>
      <c r="ED25" s="976">
        <v>1002.2</v>
      </c>
      <c r="EE25" s="976">
        <v>1036.7</v>
      </c>
      <c r="EF25" s="976">
        <v>1036.4000000000001</v>
      </c>
      <c r="EG25" s="976">
        <v>1055.7</v>
      </c>
      <c r="EH25" s="976">
        <v>1067.2</v>
      </c>
      <c r="EI25" s="976">
        <v>1073.5999999999999</v>
      </c>
      <c r="EJ25" s="976">
        <v>1085.5</v>
      </c>
      <c r="EK25" s="976">
        <v>1083.5999999999999</v>
      </c>
      <c r="EL25" s="976">
        <v>1095.7</v>
      </c>
      <c r="EM25" s="976">
        <v>1094.5</v>
      </c>
      <c r="EN25" s="976">
        <v>1102.9000000000001</v>
      </c>
      <c r="EO25" s="976">
        <v>1103.3</v>
      </c>
      <c r="EP25" s="976">
        <v>1131.9000000000001</v>
      </c>
      <c r="EQ25" s="976">
        <v>1124.0999999999999</v>
      </c>
      <c r="ER25" s="976">
        <v>1113.9000000000001</v>
      </c>
      <c r="ES25" s="976">
        <v>1130.2</v>
      </c>
      <c r="ET25" s="976">
        <v>1123.5</v>
      </c>
      <c r="EU25" s="976">
        <v>1141.9000000000001</v>
      </c>
      <c r="EV25" s="976">
        <v>1151.7</v>
      </c>
      <c r="EW25" s="976">
        <v>1170.8</v>
      </c>
      <c r="EX25" s="976">
        <v>1188.4000000000001</v>
      </c>
      <c r="EY25" s="976">
        <v>1213.5999999999999</v>
      </c>
      <c r="EZ25" s="976">
        <v>1228.8</v>
      </c>
      <c r="FA25" s="976">
        <v>1244.3</v>
      </c>
      <c r="FB25" s="976">
        <v>1260.0999999999999</v>
      </c>
      <c r="FC25" s="976">
        <v>1289.7</v>
      </c>
      <c r="FD25" s="976">
        <v>1301.3</v>
      </c>
      <c r="FE25" s="976">
        <v>1321</v>
      </c>
      <c r="FF25" s="976">
        <v>1336.1</v>
      </c>
      <c r="FG25" s="976">
        <v>1353.9</v>
      </c>
      <c r="FH25" s="976">
        <v>1348.1</v>
      </c>
      <c r="FI25" s="976">
        <v>1346.2</v>
      </c>
      <c r="FJ25" s="976">
        <v>1327.7</v>
      </c>
      <c r="FK25" s="976">
        <v>1322.9</v>
      </c>
      <c r="FL25" s="976">
        <v>1294.4000000000001</v>
      </c>
      <c r="FM25" s="976">
        <v>1299.4000000000001</v>
      </c>
      <c r="FN25" s="976">
        <v>1299.4000000000001</v>
      </c>
      <c r="FO25" s="976">
        <v>1289.0999999999999</v>
      </c>
      <c r="FP25" s="976">
        <v>1291.7</v>
      </c>
      <c r="FQ25" s="976">
        <v>1265.9000000000001</v>
      </c>
      <c r="FR25" s="976">
        <v>1236.9000000000001</v>
      </c>
      <c r="FS25" s="976">
        <v>1226.8</v>
      </c>
      <c r="FT25" s="976">
        <v>1209.0999999999999</v>
      </c>
      <c r="FU25" s="976">
        <v>1188.2</v>
      </c>
      <c r="FV25" s="976">
        <v>1187</v>
      </c>
      <c r="FW25" s="976">
        <v>1179.9000000000001</v>
      </c>
      <c r="FX25" s="976">
        <v>1193</v>
      </c>
      <c r="FY25" s="976">
        <v>1175.5</v>
      </c>
      <c r="FZ25" s="976">
        <v>1180.4000000000001</v>
      </c>
      <c r="GA25" s="976">
        <v>1182.7</v>
      </c>
      <c r="GB25" s="976">
        <v>1181.5</v>
      </c>
      <c r="GC25" s="976">
        <v>1190.5</v>
      </c>
      <c r="GD25" s="976">
        <v>1194.5999999999999</v>
      </c>
      <c r="GE25" s="976">
        <v>1185.5999999999999</v>
      </c>
      <c r="GF25" s="976">
        <v>1190.8</v>
      </c>
      <c r="GG25" s="976">
        <v>1191.2</v>
      </c>
      <c r="GH25" s="976">
        <v>1186.4000000000001</v>
      </c>
      <c r="GI25" s="976">
        <v>1192.7</v>
      </c>
      <c r="GJ25" s="976">
        <v>1191.3</v>
      </c>
      <c r="GK25" s="976">
        <v>1206</v>
      </c>
      <c r="GL25" s="976">
        <v>1211.7</v>
      </c>
      <c r="GM25" s="976">
        <v>1222.3</v>
      </c>
      <c r="GN25" s="976">
        <v>1235.8</v>
      </c>
      <c r="GO25" s="976">
        <v>1241.5999999999999</v>
      </c>
      <c r="GP25" s="976">
        <v>1245.8</v>
      </c>
      <c r="GQ25" s="976">
        <v>1273.5999999999999</v>
      </c>
      <c r="GR25" s="976">
        <v>1288.5</v>
      </c>
      <c r="GS25" s="976">
        <v>1301.0999999999999</v>
      </c>
      <c r="GT25" s="976">
        <v>1306.0999999999999</v>
      </c>
      <c r="GU25" s="976">
        <v>1356.8</v>
      </c>
      <c r="GV25" s="976">
        <v>1335.1</v>
      </c>
      <c r="GW25" s="976">
        <v>1332.2</v>
      </c>
      <c r="GX25" s="976">
        <v>1375.9</v>
      </c>
    </row>
    <row r="26" spans="1:206">
      <c r="A26" s="976" t="s">
        <v>238</v>
      </c>
      <c r="B26" s="976">
        <v>834.4</v>
      </c>
      <c r="C26" s="976">
        <v>838.9</v>
      </c>
      <c r="D26" s="976">
        <v>858.1</v>
      </c>
      <c r="E26" s="976">
        <v>862.4</v>
      </c>
      <c r="F26" s="976">
        <v>866</v>
      </c>
      <c r="G26" s="976">
        <v>872.4</v>
      </c>
      <c r="H26" s="976">
        <v>875.4</v>
      </c>
      <c r="I26" s="976">
        <v>886.4</v>
      </c>
      <c r="J26" s="976">
        <v>888.8</v>
      </c>
      <c r="K26" s="976">
        <v>887.3</v>
      </c>
      <c r="L26" s="976">
        <v>894.4</v>
      </c>
      <c r="M26" s="976">
        <v>906.7</v>
      </c>
      <c r="N26" s="976">
        <v>910.9</v>
      </c>
      <c r="O26" s="976">
        <v>912.4</v>
      </c>
      <c r="P26" s="976">
        <v>921.9</v>
      </c>
      <c r="Q26" s="976">
        <v>933.1</v>
      </c>
      <c r="R26" s="976">
        <v>944.9</v>
      </c>
      <c r="S26" s="976">
        <v>956.6</v>
      </c>
      <c r="T26" s="976">
        <v>954.8</v>
      </c>
      <c r="U26" s="976">
        <v>955.2</v>
      </c>
      <c r="V26" s="976">
        <v>983.4</v>
      </c>
      <c r="W26" s="976">
        <v>976.4</v>
      </c>
      <c r="X26" s="976">
        <v>988.9</v>
      </c>
      <c r="Y26" s="976">
        <v>1002.1</v>
      </c>
      <c r="Z26" s="976">
        <v>1013.3</v>
      </c>
      <c r="AA26" s="976">
        <v>995.6</v>
      </c>
      <c r="AB26" s="976">
        <v>989</v>
      </c>
      <c r="AC26" s="976">
        <v>986</v>
      </c>
      <c r="AD26" s="976">
        <v>995.8</v>
      </c>
      <c r="AE26" s="976">
        <v>1001.9</v>
      </c>
      <c r="AF26" s="976">
        <v>1000.8</v>
      </c>
      <c r="AG26" s="976">
        <v>1002.4</v>
      </c>
      <c r="AH26" s="976">
        <v>1002.2</v>
      </c>
      <c r="AI26" s="976">
        <v>1032.3</v>
      </c>
      <c r="AJ26" s="976">
        <v>1044.2</v>
      </c>
      <c r="AK26" s="976">
        <v>1054.0999999999999</v>
      </c>
      <c r="AL26" s="976">
        <v>1036.2</v>
      </c>
      <c r="AM26" s="976">
        <v>1046</v>
      </c>
      <c r="AN26" s="976">
        <v>1049.5999999999999</v>
      </c>
      <c r="AO26" s="976">
        <v>1061.4000000000001</v>
      </c>
      <c r="AP26" s="976">
        <v>1066.3</v>
      </c>
      <c r="AQ26" s="976">
        <v>1052.2</v>
      </c>
      <c r="AR26" s="976">
        <v>1035.9000000000001</v>
      </c>
      <c r="AS26" s="976">
        <v>1030.8</v>
      </c>
      <c r="AT26" s="976">
        <v>1038.9000000000001</v>
      </c>
      <c r="AU26" s="976">
        <v>1019</v>
      </c>
      <c r="AV26" s="976">
        <v>1016.1</v>
      </c>
      <c r="AW26" s="976">
        <v>1024</v>
      </c>
      <c r="AX26" s="976">
        <v>1021.2</v>
      </c>
      <c r="AY26" s="976">
        <v>1024.8</v>
      </c>
      <c r="AZ26" s="976">
        <v>1024.8</v>
      </c>
      <c r="BA26" s="976">
        <v>1032.5</v>
      </c>
      <c r="BB26" s="976">
        <v>1036.3</v>
      </c>
      <c r="BC26" s="976">
        <v>1034.2</v>
      </c>
      <c r="BD26" s="976">
        <v>1043.2</v>
      </c>
      <c r="BE26" s="976">
        <v>1043.9000000000001</v>
      </c>
      <c r="BF26" s="976">
        <v>1057.0999999999999</v>
      </c>
      <c r="BG26" s="976">
        <v>1071.2</v>
      </c>
      <c r="BH26" s="976">
        <v>1089.5</v>
      </c>
      <c r="BI26" s="976">
        <v>1100.5</v>
      </c>
      <c r="BJ26" s="976">
        <v>1114.4000000000001</v>
      </c>
      <c r="BK26" s="976">
        <v>1134.5999999999999</v>
      </c>
      <c r="BL26" s="976">
        <v>1152.7</v>
      </c>
      <c r="BM26" s="976">
        <v>1161.5</v>
      </c>
      <c r="BN26" s="976">
        <v>1182.9000000000001</v>
      </c>
      <c r="BO26" s="976">
        <v>1194.4000000000001</v>
      </c>
      <c r="BP26" s="976">
        <v>1205.5</v>
      </c>
      <c r="BQ26" s="976">
        <v>1209.5</v>
      </c>
      <c r="BR26" s="976">
        <v>1215.9000000000001</v>
      </c>
      <c r="BS26" s="976">
        <v>1218.5999999999999</v>
      </c>
      <c r="BT26" s="976">
        <v>1222.8</v>
      </c>
      <c r="BU26" s="976">
        <v>1238.9000000000001</v>
      </c>
      <c r="BV26" s="976">
        <v>1252.5999999999999</v>
      </c>
      <c r="BW26" s="976">
        <v>1268.4000000000001</v>
      </c>
      <c r="BX26" s="976">
        <v>1274.0999999999999</v>
      </c>
      <c r="BY26" s="976">
        <v>1289.4000000000001</v>
      </c>
      <c r="BZ26" s="976">
        <v>1299.8</v>
      </c>
      <c r="CA26" s="976">
        <v>1314.2</v>
      </c>
      <c r="CB26" s="976">
        <v>1326.9</v>
      </c>
      <c r="CC26" s="976">
        <v>1344.6</v>
      </c>
      <c r="CD26" s="976">
        <v>1365.4</v>
      </c>
      <c r="CE26" s="976">
        <v>1367.9</v>
      </c>
      <c r="CF26" s="976">
        <v>1377</v>
      </c>
      <c r="CG26" s="976">
        <v>1392.4</v>
      </c>
      <c r="CH26" s="976">
        <v>1394.5</v>
      </c>
      <c r="CI26" s="976">
        <v>1400.1</v>
      </c>
      <c r="CJ26" s="976">
        <v>1408.3</v>
      </c>
      <c r="CK26" s="976">
        <v>1418.2</v>
      </c>
      <c r="CL26" s="976">
        <v>1436.5</v>
      </c>
      <c r="CM26" s="976">
        <v>1434.4</v>
      </c>
      <c r="CN26" s="976">
        <v>1435</v>
      </c>
      <c r="CO26" s="976">
        <v>1433.9</v>
      </c>
      <c r="CP26" s="976">
        <v>1438.9</v>
      </c>
      <c r="CQ26" s="976">
        <v>1450.6</v>
      </c>
      <c r="CR26" s="976">
        <v>1458.2</v>
      </c>
      <c r="CS26" s="976">
        <v>1465.3</v>
      </c>
      <c r="CT26" s="976">
        <v>1471.3</v>
      </c>
      <c r="CU26" s="976">
        <v>1488.1</v>
      </c>
      <c r="CV26" s="976">
        <v>1505.6</v>
      </c>
      <c r="CW26" s="976">
        <v>1511.1</v>
      </c>
      <c r="CX26" s="976">
        <v>1522.9</v>
      </c>
      <c r="CY26" s="976">
        <v>1534.9</v>
      </c>
      <c r="CZ26" s="976">
        <v>1536.4</v>
      </c>
      <c r="DA26" s="976">
        <v>1544.4</v>
      </c>
      <c r="DB26" s="976">
        <v>1541.6</v>
      </c>
      <c r="DC26" s="976">
        <v>1563.8</v>
      </c>
      <c r="DD26" s="976">
        <v>1577.1</v>
      </c>
      <c r="DE26" s="976">
        <v>1599.6</v>
      </c>
      <c r="DF26" s="976">
        <v>1600.1</v>
      </c>
      <c r="DG26" s="976">
        <v>1611.9</v>
      </c>
      <c r="DH26" s="976">
        <v>1628.1</v>
      </c>
      <c r="DI26" s="976">
        <v>1642.8</v>
      </c>
      <c r="DJ26" s="976">
        <v>1657.8</v>
      </c>
      <c r="DK26" s="976">
        <v>1684.9</v>
      </c>
      <c r="DL26" s="976">
        <v>1708.6</v>
      </c>
      <c r="DM26" s="976">
        <v>1718.3</v>
      </c>
      <c r="DN26" s="976">
        <v>1737.3</v>
      </c>
      <c r="DO26" s="976">
        <v>1748.4</v>
      </c>
      <c r="DP26" s="976">
        <v>1766</v>
      </c>
      <c r="DQ26" s="976">
        <v>1788.9</v>
      </c>
      <c r="DR26" s="976">
        <v>1801.7</v>
      </c>
      <c r="DS26" s="976">
        <v>1799.2</v>
      </c>
      <c r="DT26" s="976">
        <v>1806.2</v>
      </c>
      <c r="DU26" s="976">
        <v>1820.6</v>
      </c>
      <c r="DV26" s="976">
        <v>1842.9</v>
      </c>
      <c r="DW26" s="976">
        <v>1877.7</v>
      </c>
      <c r="DX26" s="976">
        <v>1869</v>
      </c>
      <c r="DY26" s="976">
        <v>1904.3</v>
      </c>
      <c r="DZ26" s="976">
        <v>1921.6</v>
      </c>
      <c r="EA26" s="976">
        <v>1924.2</v>
      </c>
      <c r="EB26" s="976">
        <v>1929.8</v>
      </c>
      <c r="EC26" s="976">
        <v>1934.7</v>
      </c>
      <c r="ED26" s="976">
        <v>1926.2</v>
      </c>
      <c r="EE26" s="976">
        <v>1916.7</v>
      </c>
      <c r="EF26" s="976">
        <v>1924.3</v>
      </c>
      <c r="EG26" s="976">
        <v>1921.6</v>
      </c>
      <c r="EH26" s="976">
        <v>1922.7</v>
      </c>
      <c r="EI26" s="976">
        <v>1924</v>
      </c>
      <c r="EJ26" s="976">
        <v>1916.6</v>
      </c>
      <c r="EK26" s="976">
        <v>1917</v>
      </c>
      <c r="EL26" s="976">
        <v>1919.3</v>
      </c>
      <c r="EM26" s="976">
        <v>1918.8</v>
      </c>
      <c r="EN26" s="976">
        <v>1920</v>
      </c>
      <c r="EO26" s="976">
        <v>1922.1</v>
      </c>
      <c r="EP26" s="976">
        <v>1930.8</v>
      </c>
      <c r="EQ26" s="976">
        <v>1938.2</v>
      </c>
      <c r="ER26" s="976">
        <v>1944.5</v>
      </c>
      <c r="ES26" s="976">
        <v>1952.9</v>
      </c>
      <c r="ET26" s="976">
        <v>1964.6</v>
      </c>
      <c r="EU26" s="976">
        <v>1973.8</v>
      </c>
      <c r="EV26" s="976">
        <v>1977.8</v>
      </c>
      <c r="EW26" s="976">
        <v>1982.5</v>
      </c>
      <c r="EX26" s="976">
        <v>1971.4</v>
      </c>
      <c r="EY26" s="976">
        <v>1972.8</v>
      </c>
      <c r="EZ26" s="976">
        <v>1982.5</v>
      </c>
      <c r="FA26" s="976">
        <v>1987.8</v>
      </c>
      <c r="FB26" s="976">
        <v>2007.7</v>
      </c>
      <c r="FC26" s="976">
        <v>2024.9</v>
      </c>
      <c r="FD26" s="976">
        <v>2021.8</v>
      </c>
      <c r="FE26" s="976">
        <v>2007.9</v>
      </c>
      <c r="FF26" s="976">
        <v>1979.5</v>
      </c>
      <c r="FG26" s="976">
        <v>1972.8</v>
      </c>
      <c r="FH26" s="976">
        <v>1955.8</v>
      </c>
      <c r="FI26" s="976">
        <v>1937</v>
      </c>
      <c r="FJ26" s="976">
        <v>1915.5</v>
      </c>
      <c r="FK26" s="976">
        <v>1898.4</v>
      </c>
      <c r="FL26" s="976">
        <v>1881.1</v>
      </c>
      <c r="FM26" s="976">
        <v>1873.8</v>
      </c>
      <c r="FN26" s="976">
        <v>1860.1</v>
      </c>
      <c r="FO26" s="976">
        <v>1854</v>
      </c>
      <c r="FP26" s="976">
        <v>1846.5</v>
      </c>
      <c r="FQ26" s="976">
        <v>1841.4</v>
      </c>
      <c r="FR26" s="976">
        <v>1842.3</v>
      </c>
      <c r="FS26" s="976">
        <v>1846.8</v>
      </c>
      <c r="FT26" s="976">
        <v>1847.8</v>
      </c>
      <c r="FU26" s="976">
        <v>1844.4</v>
      </c>
      <c r="FV26" s="976">
        <v>1833.1</v>
      </c>
      <c r="FW26" s="976">
        <v>1843.8</v>
      </c>
      <c r="FX26" s="976">
        <v>1851</v>
      </c>
      <c r="FY26" s="976">
        <v>1866.6</v>
      </c>
      <c r="FZ26" s="976">
        <v>1877.2</v>
      </c>
      <c r="GA26" s="976">
        <v>1900.8</v>
      </c>
      <c r="GB26" s="976">
        <v>1915.6</v>
      </c>
      <c r="GC26" s="976">
        <v>1918</v>
      </c>
      <c r="GD26" s="976">
        <v>1942.4</v>
      </c>
      <c r="GE26" s="976">
        <v>1946.3</v>
      </c>
      <c r="GF26" s="976">
        <v>1955.7</v>
      </c>
      <c r="GG26" s="976">
        <v>1963.4</v>
      </c>
      <c r="GH26" s="976">
        <v>1968.4</v>
      </c>
      <c r="GI26" s="976">
        <v>1974.2</v>
      </c>
      <c r="GJ26" s="976">
        <v>1977.2</v>
      </c>
      <c r="GK26" s="976">
        <v>1984.9</v>
      </c>
      <c r="GL26" s="976">
        <v>1990.7</v>
      </c>
      <c r="GM26" s="976">
        <v>2003</v>
      </c>
      <c r="GN26" s="976">
        <v>2009.9</v>
      </c>
      <c r="GO26" s="976">
        <v>1997.1</v>
      </c>
      <c r="GP26" s="976">
        <v>2012.7</v>
      </c>
      <c r="GQ26" s="976">
        <v>2025.5</v>
      </c>
      <c r="GR26" s="976">
        <v>2028.3</v>
      </c>
      <c r="GS26" s="976">
        <v>2035.6</v>
      </c>
      <c r="GT26" s="976">
        <v>2041</v>
      </c>
      <c r="GU26" s="976">
        <v>2013.1</v>
      </c>
      <c r="GV26" s="976">
        <v>1993.1</v>
      </c>
      <c r="GW26" s="976">
        <v>1989.2</v>
      </c>
      <c r="GX26" s="976">
        <v>1993.3</v>
      </c>
    </row>
    <row r="27" spans="1:206">
      <c r="A27" s="976" t="s">
        <v>239</v>
      </c>
      <c r="B27" s="976">
        <v>90.6</v>
      </c>
      <c r="C27" s="976">
        <v>91.4</v>
      </c>
      <c r="D27" s="976">
        <v>86.3</v>
      </c>
      <c r="E27" s="976">
        <v>87.2</v>
      </c>
      <c r="F27" s="976">
        <v>83.6</v>
      </c>
      <c r="G27" s="976">
        <v>85.1</v>
      </c>
      <c r="H27" s="976">
        <v>86.3</v>
      </c>
      <c r="I27" s="976">
        <v>88.2</v>
      </c>
      <c r="J27" s="976">
        <v>100.3</v>
      </c>
      <c r="K27" s="976">
        <v>102.4</v>
      </c>
      <c r="L27" s="976">
        <v>103.1</v>
      </c>
      <c r="M27" s="976">
        <v>105.3</v>
      </c>
      <c r="N27" s="976">
        <v>104.5</v>
      </c>
      <c r="O27" s="976">
        <v>106.9</v>
      </c>
      <c r="P27" s="976">
        <v>111</v>
      </c>
      <c r="Q27" s="976">
        <v>116</v>
      </c>
      <c r="R27" s="976">
        <v>119.5</v>
      </c>
      <c r="S27" s="976">
        <v>124.8</v>
      </c>
      <c r="T27" s="976">
        <v>129.69999999999999</v>
      </c>
      <c r="U27" s="976">
        <v>132</v>
      </c>
      <c r="V27" s="976">
        <v>132.30000000000001</v>
      </c>
      <c r="W27" s="976">
        <v>94.6</v>
      </c>
      <c r="X27" s="976">
        <v>125.7</v>
      </c>
      <c r="Y27" s="976">
        <v>130.4</v>
      </c>
      <c r="Z27" s="976">
        <v>133</v>
      </c>
      <c r="AA27" s="976">
        <v>138.69999999999999</v>
      </c>
      <c r="AB27" s="976">
        <v>144.5</v>
      </c>
      <c r="AC27" s="976">
        <v>150.1</v>
      </c>
      <c r="AD27" s="976">
        <v>155.30000000000001</v>
      </c>
      <c r="AE27" s="976">
        <v>161</v>
      </c>
      <c r="AF27" s="976">
        <v>162.6</v>
      </c>
      <c r="AG27" s="976">
        <v>171.2</v>
      </c>
      <c r="AH27" s="976">
        <v>173.4</v>
      </c>
      <c r="AI27" s="976">
        <v>182.9</v>
      </c>
      <c r="AJ27" s="976">
        <v>195.4</v>
      </c>
      <c r="AK27" s="976">
        <v>205.1</v>
      </c>
      <c r="AL27" s="976">
        <v>211.6</v>
      </c>
      <c r="AM27" s="976">
        <v>219.9</v>
      </c>
      <c r="AN27" s="976">
        <v>229.4</v>
      </c>
      <c r="AO27" s="976">
        <v>238.6</v>
      </c>
      <c r="AP27" s="976">
        <v>238.3</v>
      </c>
      <c r="AQ27" s="976">
        <v>244.2</v>
      </c>
      <c r="AR27" s="976">
        <v>252.8</v>
      </c>
      <c r="AS27" s="976">
        <v>267.2</v>
      </c>
      <c r="AT27" s="976">
        <v>278.39999999999998</v>
      </c>
      <c r="AU27" s="976">
        <v>289</v>
      </c>
      <c r="AV27" s="976">
        <v>301.39999999999998</v>
      </c>
      <c r="AW27" s="976">
        <v>295.89999999999998</v>
      </c>
      <c r="AX27" s="976">
        <v>295.2</v>
      </c>
      <c r="AY27" s="976">
        <v>301.7</v>
      </c>
      <c r="AZ27" s="976">
        <v>289.7</v>
      </c>
      <c r="BA27" s="976">
        <v>295.8</v>
      </c>
      <c r="BB27" s="976">
        <v>289.5</v>
      </c>
      <c r="BC27" s="976">
        <v>295.3</v>
      </c>
      <c r="BD27" s="976">
        <v>277.3</v>
      </c>
      <c r="BE27" s="976">
        <v>284.89999999999998</v>
      </c>
      <c r="BF27" s="976">
        <v>287.89999999999998</v>
      </c>
      <c r="BG27" s="976">
        <v>294.60000000000002</v>
      </c>
      <c r="BH27" s="976">
        <v>307.3</v>
      </c>
      <c r="BI27" s="976">
        <v>317.7</v>
      </c>
      <c r="BJ27" s="976">
        <v>353</v>
      </c>
      <c r="BK27" s="976">
        <v>307.60000000000002</v>
      </c>
      <c r="BL27" s="976">
        <v>340</v>
      </c>
      <c r="BM27" s="976">
        <v>345.2</v>
      </c>
      <c r="BN27" s="976">
        <v>341.8</v>
      </c>
      <c r="BO27" s="976">
        <v>344.4</v>
      </c>
      <c r="BP27" s="976">
        <v>352</v>
      </c>
      <c r="BQ27" s="976">
        <v>364.2</v>
      </c>
      <c r="BR27" s="976">
        <v>358.3</v>
      </c>
      <c r="BS27" s="976">
        <v>410.2</v>
      </c>
      <c r="BT27" s="976">
        <v>394.9</v>
      </c>
      <c r="BU27" s="976">
        <v>408.5</v>
      </c>
      <c r="BV27" s="976">
        <v>402.6</v>
      </c>
      <c r="BW27" s="976">
        <v>400.6</v>
      </c>
      <c r="BX27" s="976">
        <v>402.5</v>
      </c>
      <c r="BY27" s="976">
        <v>409.6</v>
      </c>
      <c r="BZ27" s="976">
        <v>439.5</v>
      </c>
      <c r="CA27" s="976">
        <v>448.4</v>
      </c>
      <c r="CB27" s="976">
        <v>457.1</v>
      </c>
      <c r="CC27" s="976">
        <v>467.4</v>
      </c>
      <c r="CD27" s="976">
        <v>463.2</v>
      </c>
      <c r="CE27" s="976">
        <v>472</v>
      </c>
      <c r="CF27" s="976">
        <v>477</v>
      </c>
      <c r="CG27" s="976">
        <v>476.2</v>
      </c>
      <c r="CH27" s="976">
        <v>459.6</v>
      </c>
      <c r="CI27" s="976">
        <v>461.4</v>
      </c>
      <c r="CJ27" s="976">
        <v>464.1</v>
      </c>
      <c r="CK27" s="976">
        <v>469.2</v>
      </c>
      <c r="CL27" s="976">
        <v>461.3</v>
      </c>
      <c r="CM27" s="976">
        <v>470.2</v>
      </c>
      <c r="CN27" s="976">
        <v>479.4</v>
      </c>
      <c r="CO27" s="976">
        <v>499</v>
      </c>
      <c r="CP27" s="976">
        <v>480.3</v>
      </c>
      <c r="CQ27" s="976">
        <v>505.3</v>
      </c>
      <c r="CR27" s="976">
        <v>515.6</v>
      </c>
      <c r="CS27" s="976">
        <v>529.5</v>
      </c>
      <c r="CT27" s="976">
        <v>526.70000000000005</v>
      </c>
      <c r="CU27" s="976">
        <v>555.9</v>
      </c>
      <c r="CV27" s="976">
        <v>544.20000000000005</v>
      </c>
      <c r="CW27" s="976">
        <v>553.4</v>
      </c>
      <c r="CX27" s="976">
        <v>567.70000000000005</v>
      </c>
      <c r="CY27" s="976">
        <v>594.4</v>
      </c>
      <c r="CZ27" s="976">
        <v>591.5</v>
      </c>
      <c r="DA27" s="976">
        <v>607.6</v>
      </c>
      <c r="DB27" s="976">
        <v>636.4</v>
      </c>
      <c r="DC27" s="976">
        <v>673.6</v>
      </c>
      <c r="DD27" s="976">
        <v>674.2</v>
      </c>
      <c r="DE27" s="976">
        <v>689.4</v>
      </c>
      <c r="DF27" s="976">
        <v>724.3</v>
      </c>
      <c r="DG27" s="976">
        <v>739.3</v>
      </c>
      <c r="DH27" s="976">
        <v>757</v>
      </c>
      <c r="DI27" s="976">
        <v>778.6</v>
      </c>
      <c r="DJ27" s="976">
        <v>800.6</v>
      </c>
      <c r="DK27" s="976">
        <v>820.9</v>
      </c>
      <c r="DL27" s="976">
        <v>841.6</v>
      </c>
      <c r="DM27" s="976">
        <v>861.7</v>
      </c>
      <c r="DN27" s="976">
        <v>869.8</v>
      </c>
      <c r="DO27" s="976">
        <v>885.8</v>
      </c>
      <c r="DP27" s="976">
        <v>904.2</v>
      </c>
      <c r="DQ27" s="976">
        <v>930</v>
      </c>
      <c r="DR27" s="976">
        <v>976.6</v>
      </c>
      <c r="DS27" s="976">
        <v>986.9</v>
      </c>
      <c r="DT27" s="976">
        <v>1011.1</v>
      </c>
      <c r="DU27" s="976">
        <v>1023.9</v>
      </c>
      <c r="DV27" s="976">
        <v>1051</v>
      </c>
      <c r="DW27" s="976">
        <v>1049</v>
      </c>
      <c r="DX27" s="976">
        <v>881.7</v>
      </c>
      <c r="DY27" s="976">
        <v>1002.4</v>
      </c>
      <c r="DZ27" s="976">
        <v>847.8</v>
      </c>
      <c r="EA27" s="976">
        <v>836.7</v>
      </c>
      <c r="EB27" s="976">
        <v>825.3</v>
      </c>
      <c r="EC27" s="976">
        <v>819.6</v>
      </c>
      <c r="ED27" s="976">
        <v>803.5</v>
      </c>
      <c r="EE27" s="976">
        <v>812.9</v>
      </c>
      <c r="EF27" s="976">
        <v>716.5</v>
      </c>
      <c r="EG27" s="976">
        <v>781.6</v>
      </c>
      <c r="EH27" s="976">
        <v>773.2</v>
      </c>
      <c r="EI27" s="976">
        <v>792.4</v>
      </c>
      <c r="EJ27" s="976">
        <v>816.7</v>
      </c>
      <c r="EK27" s="976">
        <v>829.8</v>
      </c>
      <c r="EL27" s="976">
        <v>902.9</v>
      </c>
      <c r="EM27" s="976">
        <v>925.8</v>
      </c>
      <c r="EN27" s="976">
        <v>949.5</v>
      </c>
      <c r="EO27" s="976">
        <v>970.6</v>
      </c>
      <c r="EP27" s="976">
        <v>1025.5</v>
      </c>
      <c r="EQ27" s="976">
        <v>1041.2</v>
      </c>
      <c r="ER27" s="976">
        <v>1060.9000000000001</v>
      </c>
      <c r="ES27" s="976">
        <v>1095.8</v>
      </c>
      <c r="ET27" s="976">
        <v>1146</v>
      </c>
      <c r="EU27" s="976">
        <v>1163.9000000000001</v>
      </c>
      <c r="EV27" s="976">
        <v>1179.3</v>
      </c>
      <c r="EW27" s="976">
        <v>1194.4000000000001</v>
      </c>
      <c r="EX27" s="976">
        <v>1201.7</v>
      </c>
      <c r="EY27" s="976">
        <v>1191.3</v>
      </c>
      <c r="EZ27" s="976">
        <v>1173.7</v>
      </c>
      <c r="FA27" s="976">
        <v>1139.8</v>
      </c>
      <c r="FB27" s="976">
        <v>921.2</v>
      </c>
      <c r="FC27" s="976">
        <v>855.5</v>
      </c>
      <c r="FD27" s="976">
        <v>842</v>
      </c>
      <c r="FE27" s="976">
        <v>847.5</v>
      </c>
      <c r="FF27" s="976">
        <v>903.4</v>
      </c>
      <c r="FG27" s="976">
        <v>935.2</v>
      </c>
      <c r="FH27" s="976">
        <v>958.5</v>
      </c>
      <c r="FI27" s="976">
        <v>977.2</v>
      </c>
      <c r="FJ27" s="976">
        <v>1111.4000000000001</v>
      </c>
      <c r="FK27" s="976">
        <v>1126.5</v>
      </c>
      <c r="FL27" s="976">
        <v>1144.2</v>
      </c>
      <c r="FM27" s="976">
        <v>1141</v>
      </c>
      <c r="FN27" s="976">
        <v>1138.3</v>
      </c>
      <c r="FO27" s="976">
        <v>1150.5999999999999</v>
      </c>
      <c r="FP27" s="976">
        <v>1163.8</v>
      </c>
      <c r="FQ27" s="976">
        <v>1212.9000000000001</v>
      </c>
      <c r="FR27" s="976">
        <v>1273.5</v>
      </c>
      <c r="FS27" s="976">
        <v>1296.4000000000001</v>
      </c>
      <c r="FT27" s="976">
        <v>1308.3</v>
      </c>
      <c r="FU27" s="976">
        <v>1333.2</v>
      </c>
      <c r="FV27" s="976">
        <v>1369.1</v>
      </c>
      <c r="FW27" s="976">
        <v>1389</v>
      </c>
      <c r="FX27" s="976">
        <v>1413.3</v>
      </c>
      <c r="FY27" s="976">
        <v>1443.5</v>
      </c>
      <c r="FZ27" s="976">
        <v>1509.1</v>
      </c>
      <c r="GA27" s="976">
        <v>1527.7</v>
      </c>
      <c r="GB27" s="976">
        <v>1540.9</v>
      </c>
      <c r="GC27" s="976">
        <v>1552.6</v>
      </c>
      <c r="GD27" s="976">
        <v>1526.7</v>
      </c>
      <c r="GE27" s="976">
        <v>1536.7</v>
      </c>
      <c r="GF27" s="976">
        <v>1553.8</v>
      </c>
      <c r="GG27" s="976">
        <v>1574.6</v>
      </c>
      <c r="GH27" s="976">
        <v>1581.1</v>
      </c>
      <c r="GI27" s="976">
        <v>1601.7</v>
      </c>
      <c r="GJ27" s="976">
        <v>1625</v>
      </c>
      <c r="GK27" s="976">
        <v>1650.8</v>
      </c>
      <c r="GL27" s="976">
        <v>1598.6</v>
      </c>
      <c r="GM27" s="976">
        <v>1608.9</v>
      </c>
      <c r="GN27" s="976">
        <v>1628.3</v>
      </c>
      <c r="GO27" s="976">
        <v>1634.2</v>
      </c>
      <c r="GP27" s="976">
        <v>1695.5</v>
      </c>
      <c r="GQ27" s="976">
        <v>1703.1</v>
      </c>
      <c r="GR27" s="976">
        <v>1713.2</v>
      </c>
      <c r="GS27" s="976">
        <v>1740.2</v>
      </c>
      <c r="GT27" s="976">
        <v>1756.6</v>
      </c>
      <c r="GU27" s="976">
        <v>1600.1</v>
      </c>
      <c r="GV27" s="976">
        <v>1685</v>
      </c>
      <c r="GW27" s="976">
        <v>1745.6</v>
      </c>
      <c r="GX27" s="976">
        <v>1758.2</v>
      </c>
    </row>
    <row r="28" spans="1:206">
      <c r="A28" s="976" t="s">
        <v>240</v>
      </c>
      <c r="B28" s="976">
        <v>17.899999999999999</v>
      </c>
      <c r="C28" s="976">
        <v>18.100000000000001</v>
      </c>
      <c r="D28" s="976">
        <v>18.2</v>
      </c>
      <c r="E28" s="976">
        <v>18.2</v>
      </c>
      <c r="F28" s="976">
        <v>19.399999999999999</v>
      </c>
      <c r="G28" s="976">
        <v>18.7</v>
      </c>
      <c r="H28" s="976">
        <v>18.899999999999999</v>
      </c>
      <c r="I28" s="976">
        <v>19</v>
      </c>
      <c r="J28" s="976">
        <v>18.2</v>
      </c>
      <c r="K28" s="976">
        <v>18.3</v>
      </c>
      <c r="L28" s="976">
        <v>18.5</v>
      </c>
      <c r="M28" s="976">
        <v>19</v>
      </c>
      <c r="N28" s="976">
        <v>19.5</v>
      </c>
      <c r="O28" s="976">
        <v>19.899999999999999</v>
      </c>
      <c r="P28" s="976">
        <v>19.7</v>
      </c>
      <c r="Q28" s="976">
        <v>20.100000000000001</v>
      </c>
      <c r="R28" s="976">
        <v>19.8</v>
      </c>
      <c r="S28" s="976">
        <v>20.100000000000001</v>
      </c>
      <c r="T28" s="976">
        <v>20.2</v>
      </c>
      <c r="U28" s="976">
        <v>20.2</v>
      </c>
      <c r="V28" s="976">
        <v>19.8</v>
      </c>
      <c r="W28" s="976">
        <v>21.3</v>
      </c>
      <c r="X28" s="976">
        <v>23.3</v>
      </c>
      <c r="Y28" s="976">
        <v>23.9</v>
      </c>
      <c r="Z28" s="976">
        <v>20.8</v>
      </c>
      <c r="AA28" s="976">
        <v>21.3</v>
      </c>
      <c r="AB28" s="976">
        <v>21.7</v>
      </c>
      <c r="AC28" s="976">
        <v>21.7</v>
      </c>
      <c r="AD28" s="976">
        <v>22</v>
      </c>
      <c r="AE28" s="976">
        <v>22.5</v>
      </c>
      <c r="AF28" s="976">
        <v>23.2</v>
      </c>
      <c r="AG28" s="976">
        <v>23.2</v>
      </c>
      <c r="AH28" s="976">
        <v>24</v>
      </c>
      <c r="AI28" s="976">
        <v>25.4</v>
      </c>
      <c r="AJ28" s="976">
        <v>25.5</v>
      </c>
      <c r="AK28" s="976">
        <v>26.3</v>
      </c>
      <c r="AL28" s="976">
        <v>25.9</v>
      </c>
      <c r="AM28" s="976">
        <v>25.9</v>
      </c>
      <c r="AN28" s="976">
        <v>25.3</v>
      </c>
      <c r="AO28" s="976">
        <v>25.6</v>
      </c>
      <c r="AP28" s="976">
        <v>27.6</v>
      </c>
      <c r="AQ28" s="976">
        <v>33.6</v>
      </c>
      <c r="AR28" s="976">
        <v>36.1</v>
      </c>
      <c r="AS28" s="976">
        <v>37.299999999999997</v>
      </c>
      <c r="AT28" s="976">
        <v>50.7</v>
      </c>
      <c r="AU28" s="976">
        <v>51.8</v>
      </c>
      <c r="AV28" s="976">
        <v>49.1</v>
      </c>
      <c r="AW28" s="976">
        <v>48.1</v>
      </c>
      <c r="AX28" s="976">
        <v>43.5</v>
      </c>
      <c r="AY28" s="976">
        <v>40</v>
      </c>
      <c r="AZ28" s="976">
        <v>40.1</v>
      </c>
      <c r="BA28" s="976">
        <v>40.299999999999997</v>
      </c>
      <c r="BB28" s="976">
        <v>41.1</v>
      </c>
      <c r="BC28" s="976">
        <v>45.3</v>
      </c>
      <c r="BD28" s="976">
        <v>45.5</v>
      </c>
      <c r="BE28" s="976">
        <v>45.8</v>
      </c>
      <c r="BF28" s="976">
        <v>47</v>
      </c>
      <c r="BG28" s="976">
        <v>47.5</v>
      </c>
      <c r="BH28" s="976">
        <v>47.4</v>
      </c>
      <c r="BI28" s="976">
        <v>47.3</v>
      </c>
      <c r="BJ28" s="976">
        <v>46.4</v>
      </c>
      <c r="BK28" s="976">
        <v>45.7</v>
      </c>
      <c r="BL28" s="976">
        <v>46.8</v>
      </c>
      <c r="BM28" s="976">
        <v>45.4</v>
      </c>
      <c r="BN28" s="976">
        <v>44.5</v>
      </c>
      <c r="BO28" s="976">
        <v>42.9</v>
      </c>
      <c r="BP28" s="976">
        <v>43.8</v>
      </c>
      <c r="BQ28" s="976">
        <v>43.6</v>
      </c>
      <c r="BR28" s="976">
        <v>44.1</v>
      </c>
      <c r="BS28" s="976">
        <v>45.8</v>
      </c>
      <c r="BT28" s="976">
        <v>46.4</v>
      </c>
      <c r="BU28" s="976">
        <v>47.4</v>
      </c>
      <c r="BV28" s="976">
        <v>49.6</v>
      </c>
      <c r="BW28" s="976">
        <v>49.3</v>
      </c>
      <c r="BX28" s="976">
        <v>50.2</v>
      </c>
      <c r="BY28" s="976">
        <v>50.2</v>
      </c>
      <c r="BZ28" s="976">
        <v>50.8</v>
      </c>
      <c r="CA28" s="976">
        <v>49.2</v>
      </c>
      <c r="CB28" s="976">
        <v>50</v>
      </c>
      <c r="CC28" s="976">
        <v>48.9</v>
      </c>
      <c r="CD28" s="976">
        <v>50.3</v>
      </c>
      <c r="CE28" s="976">
        <v>50.8</v>
      </c>
      <c r="CF28" s="976">
        <v>51.1</v>
      </c>
      <c r="CG28" s="976">
        <v>51.5</v>
      </c>
      <c r="CH28" s="976">
        <v>59.7</v>
      </c>
      <c r="CI28" s="976">
        <v>61.3</v>
      </c>
      <c r="CJ28" s="976">
        <v>61.8</v>
      </c>
      <c r="CK28" s="976">
        <v>64.2</v>
      </c>
      <c r="CL28" s="976">
        <v>63.6</v>
      </c>
      <c r="CM28" s="976">
        <v>63.1</v>
      </c>
      <c r="CN28" s="976">
        <v>61.9</v>
      </c>
      <c r="CO28" s="976">
        <v>64.599999999999994</v>
      </c>
      <c r="CP28" s="976">
        <v>62.2</v>
      </c>
      <c r="CQ28" s="976">
        <v>64.8</v>
      </c>
      <c r="CR28" s="976">
        <v>65.400000000000006</v>
      </c>
      <c r="CS28" s="976">
        <v>73.099999999999994</v>
      </c>
      <c r="CT28" s="976">
        <v>75.5</v>
      </c>
      <c r="CU28" s="976">
        <v>78.599999999999994</v>
      </c>
      <c r="CV28" s="976">
        <v>80.5</v>
      </c>
      <c r="CW28" s="976">
        <v>81.400000000000006</v>
      </c>
      <c r="CX28" s="976">
        <v>76.599999999999994</v>
      </c>
      <c r="CY28" s="976">
        <v>75.7</v>
      </c>
      <c r="CZ28" s="976">
        <v>75.400000000000006</v>
      </c>
      <c r="DA28" s="976">
        <v>74.5</v>
      </c>
      <c r="DB28" s="976">
        <v>72.599999999999994</v>
      </c>
      <c r="DC28" s="976">
        <v>71.2</v>
      </c>
      <c r="DD28" s="976">
        <v>71.7</v>
      </c>
      <c r="DE28" s="976">
        <v>75.900000000000006</v>
      </c>
      <c r="DF28" s="976">
        <v>72</v>
      </c>
      <c r="DG28" s="976">
        <v>79.7</v>
      </c>
      <c r="DH28" s="976">
        <v>79.900000000000006</v>
      </c>
      <c r="DI28" s="976">
        <v>79.7</v>
      </c>
      <c r="DJ28" s="976">
        <v>79.5</v>
      </c>
      <c r="DK28" s="976">
        <v>80.099999999999994</v>
      </c>
      <c r="DL28" s="976">
        <v>81.5</v>
      </c>
      <c r="DM28" s="976">
        <v>81.7</v>
      </c>
      <c r="DN28" s="976">
        <v>81.3</v>
      </c>
      <c r="DO28" s="976">
        <v>81.599999999999994</v>
      </c>
      <c r="DP28" s="976">
        <v>83.8</v>
      </c>
      <c r="DQ28" s="976">
        <v>87</v>
      </c>
      <c r="DR28" s="976">
        <v>86.1</v>
      </c>
      <c r="DS28" s="976">
        <v>88.4</v>
      </c>
      <c r="DT28" s="976">
        <v>87.5</v>
      </c>
      <c r="DU28" s="976">
        <v>87</v>
      </c>
      <c r="DV28" s="976">
        <v>87.1</v>
      </c>
      <c r="DW28" s="976">
        <v>86.3</v>
      </c>
      <c r="DX28" s="976">
        <v>83.6</v>
      </c>
      <c r="DY28" s="976">
        <v>84.1</v>
      </c>
      <c r="DZ28" s="976">
        <v>84.7</v>
      </c>
      <c r="EA28" s="976">
        <v>87.3</v>
      </c>
      <c r="EB28" s="976">
        <v>88</v>
      </c>
      <c r="EC28" s="976">
        <v>87.3</v>
      </c>
      <c r="ED28" s="976">
        <v>90.1</v>
      </c>
      <c r="EE28" s="976">
        <v>90</v>
      </c>
      <c r="EF28" s="976">
        <v>89.6</v>
      </c>
      <c r="EG28" s="976">
        <v>91.1</v>
      </c>
      <c r="EH28" s="976">
        <v>94.1</v>
      </c>
      <c r="EI28" s="976">
        <v>94.8</v>
      </c>
      <c r="EJ28" s="976">
        <v>95.9</v>
      </c>
      <c r="EK28" s="976">
        <v>96.2</v>
      </c>
      <c r="EL28" s="976">
        <v>97.2</v>
      </c>
      <c r="EM28" s="976">
        <v>101.4</v>
      </c>
      <c r="EN28" s="976">
        <v>100.3</v>
      </c>
      <c r="EO28" s="976">
        <v>98.7</v>
      </c>
      <c r="EP28" s="976">
        <v>99.1</v>
      </c>
      <c r="EQ28" s="976">
        <v>99.5</v>
      </c>
      <c r="ER28" s="976">
        <v>100.2</v>
      </c>
      <c r="ES28" s="976">
        <v>98.1</v>
      </c>
      <c r="ET28" s="976">
        <v>93.9</v>
      </c>
      <c r="EU28" s="976">
        <v>93.7</v>
      </c>
      <c r="EV28" s="976">
        <v>95.4</v>
      </c>
      <c r="EW28" s="976">
        <v>95.5</v>
      </c>
      <c r="EX28" s="976">
        <v>93.2</v>
      </c>
      <c r="EY28" s="976">
        <v>95.3</v>
      </c>
      <c r="EZ28" s="976">
        <v>93.7</v>
      </c>
      <c r="FA28" s="976">
        <v>93.7</v>
      </c>
      <c r="FB28" s="976">
        <v>86.7</v>
      </c>
      <c r="FC28" s="976">
        <v>94.3</v>
      </c>
      <c r="FD28" s="976">
        <v>91.4</v>
      </c>
      <c r="FE28" s="976">
        <v>93.2</v>
      </c>
      <c r="FF28" s="976">
        <v>93.1</v>
      </c>
      <c r="FG28" s="976">
        <v>96.4</v>
      </c>
      <c r="FH28" s="976">
        <v>98.9</v>
      </c>
      <c r="FI28" s="976">
        <v>98.7</v>
      </c>
      <c r="FJ28" s="976">
        <v>104.7</v>
      </c>
      <c r="FK28" s="976">
        <v>109.1</v>
      </c>
      <c r="FL28" s="976">
        <v>109.4</v>
      </c>
      <c r="FM28" s="976">
        <v>111.4</v>
      </c>
      <c r="FN28" s="976">
        <v>113.9</v>
      </c>
      <c r="FO28" s="976">
        <v>114.4</v>
      </c>
      <c r="FP28" s="976">
        <v>114.7</v>
      </c>
      <c r="FQ28" s="976">
        <v>117.6</v>
      </c>
      <c r="FR28" s="976">
        <v>122.3</v>
      </c>
      <c r="FS28" s="976">
        <v>124.4</v>
      </c>
      <c r="FT28" s="976">
        <v>126.4</v>
      </c>
      <c r="FU28" s="976">
        <v>128.80000000000001</v>
      </c>
      <c r="FV28" s="976">
        <v>136.6</v>
      </c>
      <c r="FW28" s="976">
        <v>135.30000000000001</v>
      </c>
      <c r="FX28" s="976">
        <v>136.9</v>
      </c>
      <c r="FY28" s="976">
        <v>136.4</v>
      </c>
      <c r="FZ28" s="976">
        <v>139.9</v>
      </c>
      <c r="GA28" s="976">
        <v>143.5</v>
      </c>
      <c r="GB28" s="976">
        <v>136.1</v>
      </c>
      <c r="GC28" s="976">
        <v>141.69999999999999</v>
      </c>
      <c r="GD28" s="976">
        <v>138.19999999999999</v>
      </c>
      <c r="GE28" s="976">
        <v>135.80000000000001</v>
      </c>
      <c r="GF28" s="976">
        <v>135.80000000000001</v>
      </c>
      <c r="GG28" s="976">
        <v>135.9</v>
      </c>
      <c r="GH28" s="976">
        <v>127.1</v>
      </c>
      <c r="GI28" s="976">
        <v>131.19999999999999</v>
      </c>
      <c r="GJ28" s="976">
        <v>131.19999999999999</v>
      </c>
      <c r="GK28" s="976">
        <v>134.30000000000001</v>
      </c>
      <c r="GL28" s="976">
        <v>150.1</v>
      </c>
      <c r="GM28" s="976">
        <v>155.19999999999999</v>
      </c>
      <c r="GN28" s="976">
        <v>162.1</v>
      </c>
      <c r="GO28" s="976">
        <v>183.5</v>
      </c>
      <c r="GP28" s="976">
        <v>172.1</v>
      </c>
      <c r="GQ28" s="976">
        <v>168.3</v>
      </c>
      <c r="GR28" s="976">
        <v>175.1</v>
      </c>
      <c r="GS28" s="976">
        <v>179.2</v>
      </c>
      <c r="GT28" s="976">
        <v>183.8</v>
      </c>
      <c r="GU28" s="976">
        <v>131.4</v>
      </c>
      <c r="GV28" s="976">
        <v>144.69999999999999</v>
      </c>
      <c r="GW28" s="976">
        <v>150.80000000000001</v>
      </c>
      <c r="GX28" s="976">
        <v>159.9</v>
      </c>
    </row>
    <row r="29" spans="1:206">
      <c r="A29" s="976" t="s">
        <v>241</v>
      </c>
      <c r="B29" s="976">
        <v>27</v>
      </c>
      <c r="C29" s="976">
        <v>27</v>
      </c>
      <c r="D29" s="976">
        <v>27.9</v>
      </c>
      <c r="E29" s="976">
        <v>26.6</v>
      </c>
      <c r="F29" s="976">
        <v>29.9</v>
      </c>
      <c r="G29" s="976">
        <v>30.7</v>
      </c>
      <c r="H29" s="976">
        <v>29.8</v>
      </c>
      <c r="I29" s="976">
        <v>30.1</v>
      </c>
      <c r="J29" s="976">
        <v>31.8</v>
      </c>
      <c r="K29" s="976">
        <v>32</v>
      </c>
      <c r="L29" s="976">
        <v>33.1</v>
      </c>
      <c r="M29" s="976">
        <v>36.6</v>
      </c>
      <c r="N29" s="976">
        <v>39.299999999999997</v>
      </c>
      <c r="O29" s="976">
        <v>39.4</v>
      </c>
      <c r="P29" s="976">
        <v>37.6</v>
      </c>
      <c r="Q29" s="976">
        <v>39.4</v>
      </c>
      <c r="R29" s="976">
        <v>37.4</v>
      </c>
      <c r="S29" s="976">
        <v>39.299999999999997</v>
      </c>
      <c r="T29" s="976">
        <v>43.5</v>
      </c>
      <c r="U29" s="976">
        <v>38.1</v>
      </c>
      <c r="V29" s="976">
        <v>31.5</v>
      </c>
      <c r="W29" s="976">
        <v>34.200000000000003</v>
      </c>
      <c r="X29" s="976">
        <v>43.2</v>
      </c>
      <c r="Y29" s="976">
        <v>43.9</v>
      </c>
      <c r="Z29" s="976">
        <v>49.9</v>
      </c>
      <c r="AA29" s="976">
        <v>49</v>
      </c>
      <c r="AB29" s="976">
        <v>48.5</v>
      </c>
      <c r="AC29" s="976">
        <v>47.5</v>
      </c>
      <c r="AD29" s="976">
        <v>51</v>
      </c>
      <c r="AE29" s="976">
        <v>55.7</v>
      </c>
      <c r="AF29" s="976">
        <v>57.9</v>
      </c>
      <c r="AG29" s="976">
        <v>58.1</v>
      </c>
      <c r="AH29" s="976">
        <v>54.4</v>
      </c>
      <c r="AI29" s="976">
        <v>66.2</v>
      </c>
      <c r="AJ29" s="976">
        <v>66.7</v>
      </c>
      <c r="AK29" s="976">
        <v>70.3</v>
      </c>
      <c r="AL29" s="976">
        <v>66.599999999999994</v>
      </c>
      <c r="AM29" s="976">
        <v>66.5</v>
      </c>
      <c r="AN29" s="976">
        <v>65.3</v>
      </c>
      <c r="AO29" s="976">
        <v>62.1</v>
      </c>
      <c r="AP29" s="976">
        <v>67</v>
      </c>
      <c r="AQ29" s="976">
        <v>49.8</v>
      </c>
      <c r="AR29" s="976">
        <v>56</v>
      </c>
      <c r="AS29" s="976">
        <v>61.7</v>
      </c>
      <c r="AT29" s="976">
        <v>58.5</v>
      </c>
      <c r="AU29" s="976">
        <v>50.7</v>
      </c>
      <c r="AV29" s="976">
        <v>52.7</v>
      </c>
      <c r="AW29" s="976">
        <v>44.8</v>
      </c>
      <c r="AX29" s="976">
        <v>33.5</v>
      </c>
      <c r="AY29" s="976">
        <v>34.700000000000003</v>
      </c>
      <c r="AZ29" s="976">
        <v>35.4</v>
      </c>
      <c r="BA29" s="976">
        <v>31.7</v>
      </c>
      <c r="BB29" s="976">
        <v>34.299999999999997</v>
      </c>
      <c r="BC29" s="976">
        <v>46.3</v>
      </c>
      <c r="BD29" s="976">
        <v>53.3</v>
      </c>
      <c r="BE29" s="976">
        <v>54.6</v>
      </c>
      <c r="BF29" s="976">
        <v>64.8</v>
      </c>
      <c r="BG29" s="976">
        <v>63.8</v>
      </c>
      <c r="BH29" s="976">
        <v>53.8</v>
      </c>
      <c r="BI29" s="976">
        <v>54.3</v>
      </c>
      <c r="BJ29" s="976">
        <v>57.7</v>
      </c>
      <c r="BK29" s="976">
        <v>56.3</v>
      </c>
      <c r="BL29" s="976">
        <v>60.8</v>
      </c>
      <c r="BM29" s="976">
        <v>59</v>
      </c>
      <c r="BN29" s="976">
        <v>63</v>
      </c>
      <c r="BO29" s="976">
        <v>63.4</v>
      </c>
      <c r="BP29" s="976">
        <v>64.599999999999994</v>
      </c>
      <c r="BQ29" s="976">
        <v>73.099999999999994</v>
      </c>
      <c r="BR29" s="976">
        <v>76</v>
      </c>
      <c r="BS29" s="976">
        <v>87.3</v>
      </c>
      <c r="BT29" s="976">
        <v>91.3</v>
      </c>
      <c r="BU29" s="976">
        <v>87.1</v>
      </c>
      <c r="BV29" s="976">
        <v>84.5</v>
      </c>
      <c r="BW29" s="976">
        <v>90</v>
      </c>
      <c r="BX29" s="976">
        <v>97.8</v>
      </c>
      <c r="BY29" s="976">
        <v>102.7</v>
      </c>
      <c r="BZ29" s="976">
        <v>104.9</v>
      </c>
      <c r="CA29" s="976">
        <v>94.4</v>
      </c>
      <c r="CB29" s="976">
        <v>91.6</v>
      </c>
      <c r="CC29" s="976">
        <v>91.4</v>
      </c>
      <c r="CD29" s="976">
        <v>91.1</v>
      </c>
      <c r="CE29" s="976">
        <v>94.7</v>
      </c>
      <c r="CF29" s="976">
        <v>97</v>
      </c>
      <c r="CG29" s="976">
        <v>95.4</v>
      </c>
      <c r="CH29" s="976">
        <v>91.5</v>
      </c>
      <c r="CI29" s="976">
        <v>87.5</v>
      </c>
      <c r="CJ29" s="976">
        <v>88.2</v>
      </c>
      <c r="CK29" s="976">
        <v>89.5</v>
      </c>
      <c r="CL29" s="976">
        <v>99.8</v>
      </c>
      <c r="CM29" s="976">
        <v>102</v>
      </c>
      <c r="CN29" s="976">
        <v>98.9</v>
      </c>
      <c r="CO29" s="976">
        <v>107.2</v>
      </c>
      <c r="CP29" s="976">
        <v>111.5</v>
      </c>
      <c r="CQ29" s="976">
        <v>121.9</v>
      </c>
      <c r="CR29" s="976">
        <v>115.5</v>
      </c>
      <c r="CS29" s="976">
        <v>141</v>
      </c>
      <c r="CT29" s="976">
        <v>122.4</v>
      </c>
      <c r="CU29" s="976">
        <v>129.30000000000001</v>
      </c>
      <c r="CV29" s="976">
        <v>142.4</v>
      </c>
      <c r="CW29" s="976">
        <v>150.9</v>
      </c>
      <c r="CX29" s="976">
        <v>155.30000000000001</v>
      </c>
      <c r="CY29" s="976">
        <v>153.1</v>
      </c>
      <c r="CZ29" s="976">
        <v>159.1</v>
      </c>
      <c r="DA29" s="976">
        <v>156.19999999999999</v>
      </c>
      <c r="DB29" s="976">
        <v>162.4</v>
      </c>
      <c r="DC29" s="976">
        <v>171.9</v>
      </c>
      <c r="DD29" s="976">
        <v>172.6</v>
      </c>
      <c r="DE29" s="976">
        <v>175.3</v>
      </c>
      <c r="DF29" s="976">
        <v>176.9</v>
      </c>
      <c r="DG29" s="976">
        <v>180.5</v>
      </c>
      <c r="DH29" s="976">
        <v>190.5</v>
      </c>
      <c r="DI29" s="976">
        <v>181.5</v>
      </c>
      <c r="DJ29" s="976">
        <v>178.8</v>
      </c>
      <c r="DK29" s="976">
        <v>175.4</v>
      </c>
      <c r="DL29" s="976">
        <v>180.1</v>
      </c>
      <c r="DM29" s="976">
        <v>176.4</v>
      </c>
      <c r="DN29" s="976">
        <v>186</v>
      </c>
      <c r="DO29" s="976">
        <v>184.4</v>
      </c>
      <c r="DP29" s="976">
        <v>187.7</v>
      </c>
      <c r="DQ29" s="976">
        <v>192.1</v>
      </c>
      <c r="DR29" s="976">
        <v>202.2</v>
      </c>
      <c r="DS29" s="976">
        <v>201.1</v>
      </c>
      <c r="DT29" s="976">
        <v>185.6</v>
      </c>
      <c r="DU29" s="976">
        <v>187.6</v>
      </c>
      <c r="DV29" s="976">
        <v>154.9</v>
      </c>
      <c r="DW29" s="976">
        <v>148.69999999999999</v>
      </c>
      <c r="DX29" s="976">
        <v>130.9</v>
      </c>
      <c r="DY29" s="976">
        <v>115.8</v>
      </c>
      <c r="DZ29" s="976">
        <v>115.5</v>
      </c>
      <c r="EA29" s="976">
        <v>119.9</v>
      </c>
      <c r="EB29" s="976">
        <v>126.5</v>
      </c>
      <c r="EC29" s="976">
        <v>142</v>
      </c>
      <c r="ED29" s="976">
        <v>161.5</v>
      </c>
      <c r="EE29" s="976">
        <v>160.9</v>
      </c>
      <c r="EF29" s="976">
        <v>180.3</v>
      </c>
      <c r="EG29" s="976">
        <v>200.4</v>
      </c>
      <c r="EH29" s="976">
        <v>209.2</v>
      </c>
      <c r="EI29" s="976">
        <v>226</v>
      </c>
      <c r="EJ29" s="976">
        <v>244.5</v>
      </c>
      <c r="EK29" s="976">
        <v>249.2</v>
      </c>
      <c r="EL29" s="976">
        <v>315.3</v>
      </c>
      <c r="EM29" s="976">
        <v>306.10000000000002</v>
      </c>
      <c r="EN29" s="976">
        <v>311.89999999999998</v>
      </c>
      <c r="EO29" s="976">
        <v>344.7</v>
      </c>
      <c r="EP29" s="976">
        <v>357.2</v>
      </c>
      <c r="EQ29" s="976">
        <v>367.3</v>
      </c>
      <c r="ER29" s="976">
        <v>384.8</v>
      </c>
      <c r="ES29" s="976">
        <v>354.6</v>
      </c>
      <c r="ET29" s="976">
        <v>354.5</v>
      </c>
      <c r="EU29" s="976">
        <v>347.7</v>
      </c>
      <c r="EV29" s="976">
        <v>314.60000000000002</v>
      </c>
      <c r="EW29" s="976">
        <v>296.2</v>
      </c>
      <c r="EX29" s="976">
        <v>241.7</v>
      </c>
      <c r="EY29" s="976">
        <v>227.1</v>
      </c>
      <c r="EZ29" s="976">
        <v>211.5</v>
      </c>
      <c r="FA29" s="976">
        <v>127.5</v>
      </c>
      <c r="FB29" s="976">
        <v>122.7</v>
      </c>
      <c r="FC29" s="976">
        <v>138.9</v>
      </c>
      <c r="FD29" s="976">
        <v>159.4</v>
      </c>
      <c r="FE29" s="976">
        <v>190.8</v>
      </c>
      <c r="FF29" s="976">
        <v>204.7</v>
      </c>
      <c r="FG29" s="976">
        <v>212.2</v>
      </c>
      <c r="FH29" s="976">
        <v>227.1</v>
      </c>
      <c r="FI29" s="976">
        <v>233.6</v>
      </c>
      <c r="FJ29" s="976">
        <v>228.9</v>
      </c>
      <c r="FK29" s="976">
        <v>227.2</v>
      </c>
      <c r="FL29" s="976">
        <v>201.7</v>
      </c>
      <c r="FM29" s="976">
        <v>238</v>
      </c>
      <c r="FN29" s="976">
        <v>261.5</v>
      </c>
      <c r="FO29" s="976">
        <v>275.5</v>
      </c>
      <c r="FP29" s="976">
        <v>280.8</v>
      </c>
      <c r="FQ29" s="976">
        <v>280.89999999999998</v>
      </c>
      <c r="FR29" s="976">
        <v>297</v>
      </c>
      <c r="FS29" s="976">
        <v>293.2</v>
      </c>
      <c r="FT29" s="976">
        <v>301.2</v>
      </c>
      <c r="FU29" s="976">
        <v>302.3</v>
      </c>
      <c r="FV29" s="976">
        <v>336.4</v>
      </c>
      <c r="FW29" s="976">
        <v>360</v>
      </c>
      <c r="FX29" s="976">
        <v>330.1</v>
      </c>
      <c r="FY29" s="976">
        <v>332.1</v>
      </c>
      <c r="FZ29" s="976">
        <v>345.9</v>
      </c>
      <c r="GA29" s="976">
        <v>351</v>
      </c>
      <c r="GB29" s="976">
        <v>323.8</v>
      </c>
      <c r="GC29" s="976">
        <v>295.60000000000002</v>
      </c>
      <c r="GD29" s="976">
        <v>301.39999999999998</v>
      </c>
      <c r="GE29" s="976">
        <v>312.3</v>
      </c>
      <c r="GF29" s="976">
        <v>324.8</v>
      </c>
      <c r="GG29" s="976">
        <v>309</v>
      </c>
      <c r="GH29" s="976">
        <v>247.8</v>
      </c>
      <c r="GI29" s="976">
        <v>255.8</v>
      </c>
      <c r="GJ29" s="976">
        <v>254.5</v>
      </c>
      <c r="GK29" s="976">
        <v>223.5</v>
      </c>
      <c r="GL29" s="976">
        <v>188.7</v>
      </c>
      <c r="GM29" s="976">
        <v>204.7</v>
      </c>
      <c r="GN29" s="976">
        <v>214.2</v>
      </c>
      <c r="GO29" s="976">
        <v>234.7</v>
      </c>
      <c r="GP29" s="976">
        <v>213.8</v>
      </c>
      <c r="GQ29" s="976">
        <v>224.2</v>
      </c>
      <c r="GR29" s="976">
        <v>201.6</v>
      </c>
      <c r="GS29" s="976">
        <v>229.7</v>
      </c>
      <c r="GT29" s="976">
        <v>180.5</v>
      </c>
      <c r="GU29" s="976">
        <v>171.5</v>
      </c>
      <c r="GV29" s="976">
        <v>207</v>
      </c>
      <c r="GW29" s="976">
        <v>236.9</v>
      </c>
      <c r="GX29" s="976">
        <v>254.1</v>
      </c>
    </row>
    <row r="30" spans="1:206">
      <c r="A30" s="976" t="s">
        <v>242</v>
      </c>
      <c r="B30" s="976">
        <v>45.1</v>
      </c>
      <c r="C30" s="976">
        <v>45.4</v>
      </c>
      <c r="D30" s="976">
        <v>45.9</v>
      </c>
      <c r="E30" s="976">
        <v>45.6</v>
      </c>
      <c r="F30" s="976">
        <v>49.6</v>
      </c>
      <c r="G30" s="976">
        <v>50.2</v>
      </c>
      <c r="H30" s="976">
        <v>50.5</v>
      </c>
      <c r="I30" s="976">
        <v>51</v>
      </c>
      <c r="J30" s="976">
        <v>57.3</v>
      </c>
      <c r="K30" s="976">
        <v>57.9</v>
      </c>
      <c r="L30" s="976">
        <v>58.5</v>
      </c>
      <c r="M30" s="976">
        <v>59.4</v>
      </c>
      <c r="N30" s="976">
        <v>72.7</v>
      </c>
      <c r="O30" s="976">
        <v>73.8</v>
      </c>
      <c r="P30" s="976">
        <v>75.099999999999994</v>
      </c>
      <c r="Q30" s="976">
        <v>76.599999999999994</v>
      </c>
      <c r="R30" s="976">
        <v>82.1</v>
      </c>
      <c r="S30" s="976">
        <v>83.6</v>
      </c>
      <c r="T30" s="976">
        <v>85.2</v>
      </c>
      <c r="U30" s="976">
        <v>85.4</v>
      </c>
      <c r="V30" s="976">
        <v>86.5</v>
      </c>
      <c r="W30" s="976">
        <v>86.8</v>
      </c>
      <c r="X30" s="976">
        <v>88.5</v>
      </c>
      <c r="Y30" s="976">
        <v>90.5</v>
      </c>
      <c r="Z30" s="976">
        <v>97.5</v>
      </c>
      <c r="AA30" s="976">
        <v>98.9</v>
      </c>
      <c r="AB30" s="976">
        <v>100.6</v>
      </c>
      <c r="AC30" s="976">
        <v>102.1</v>
      </c>
      <c r="AD30" s="976">
        <v>107.5</v>
      </c>
      <c r="AE30" s="976">
        <v>110.1</v>
      </c>
      <c r="AF30" s="976">
        <v>112.2</v>
      </c>
      <c r="AG30" s="976">
        <v>114.4</v>
      </c>
      <c r="AH30" s="976">
        <v>121.6</v>
      </c>
      <c r="AI30" s="976">
        <v>126.5</v>
      </c>
      <c r="AJ30" s="976">
        <v>130.80000000000001</v>
      </c>
      <c r="AK30" s="976">
        <v>136</v>
      </c>
      <c r="AL30" s="976">
        <v>143.1</v>
      </c>
      <c r="AM30" s="976">
        <v>147.4</v>
      </c>
      <c r="AN30" s="976">
        <v>152.4</v>
      </c>
      <c r="AO30" s="976">
        <v>156.30000000000001</v>
      </c>
      <c r="AP30" s="976">
        <v>159.30000000000001</v>
      </c>
      <c r="AQ30" s="976">
        <v>161</v>
      </c>
      <c r="AR30" s="976">
        <v>164.2</v>
      </c>
      <c r="AS30" s="976">
        <v>170.1</v>
      </c>
      <c r="AT30" s="976">
        <v>187.3</v>
      </c>
      <c r="AU30" s="976">
        <v>190.9</v>
      </c>
      <c r="AV30" s="976">
        <v>195.6</v>
      </c>
      <c r="AW30" s="976">
        <v>198.2</v>
      </c>
      <c r="AX30" s="976">
        <v>203.2</v>
      </c>
      <c r="AY30" s="976">
        <v>205.2</v>
      </c>
      <c r="AZ30" s="976">
        <v>207.5</v>
      </c>
      <c r="BA30" s="976">
        <v>208.3</v>
      </c>
      <c r="BB30" s="976">
        <v>216.1</v>
      </c>
      <c r="BC30" s="976">
        <v>220.2</v>
      </c>
      <c r="BD30" s="976">
        <v>224.8</v>
      </c>
      <c r="BE30" s="976">
        <v>231.2</v>
      </c>
      <c r="BF30" s="976">
        <v>246.3</v>
      </c>
      <c r="BG30" s="976">
        <v>252.1</v>
      </c>
      <c r="BH30" s="976">
        <v>257.10000000000002</v>
      </c>
      <c r="BI30" s="976">
        <v>261.10000000000002</v>
      </c>
      <c r="BJ30" s="976">
        <v>271</v>
      </c>
      <c r="BK30" s="976">
        <v>275</v>
      </c>
      <c r="BL30" s="976">
        <v>279.7</v>
      </c>
      <c r="BM30" s="976">
        <v>285.89999999999998</v>
      </c>
      <c r="BN30" s="976">
        <v>292.7</v>
      </c>
      <c r="BO30" s="976">
        <v>296.10000000000002</v>
      </c>
      <c r="BP30" s="976">
        <v>300.8</v>
      </c>
      <c r="BQ30" s="976">
        <v>306.2</v>
      </c>
      <c r="BR30" s="976">
        <v>310.7</v>
      </c>
      <c r="BS30" s="976">
        <v>314.5</v>
      </c>
      <c r="BT30" s="976">
        <v>319</v>
      </c>
      <c r="BU30" s="976">
        <v>325.60000000000002</v>
      </c>
      <c r="BV30" s="976">
        <v>344.7</v>
      </c>
      <c r="BW30" s="976">
        <v>351.7</v>
      </c>
      <c r="BX30" s="976">
        <v>357.7</v>
      </c>
      <c r="BY30" s="976">
        <v>365</v>
      </c>
      <c r="BZ30" s="976">
        <v>370.9</v>
      </c>
      <c r="CA30" s="976">
        <v>375.4</v>
      </c>
      <c r="CB30" s="976">
        <v>379.8</v>
      </c>
      <c r="CC30" s="976">
        <v>385.6</v>
      </c>
      <c r="CD30" s="976">
        <v>394</v>
      </c>
      <c r="CE30" s="976">
        <v>399</v>
      </c>
      <c r="CF30" s="976">
        <v>406.4</v>
      </c>
      <c r="CG30" s="976">
        <v>408.9</v>
      </c>
      <c r="CH30" s="976">
        <v>412</v>
      </c>
      <c r="CI30" s="976">
        <v>418.3</v>
      </c>
      <c r="CJ30" s="976">
        <v>423.7</v>
      </c>
      <c r="CK30" s="976">
        <v>428.4</v>
      </c>
      <c r="CL30" s="976">
        <v>439.9</v>
      </c>
      <c r="CM30" s="976">
        <v>445.1</v>
      </c>
      <c r="CN30" s="976">
        <v>447.9</v>
      </c>
      <c r="CO30" s="976">
        <v>442.9</v>
      </c>
      <c r="CP30" s="976">
        <v>462.1</v>
      </c>
      <c r="CQ30" s="976">
        <v>462.4</v>
      </c>
      <c r="CR30" s="976">
        <v>466.8</v>
      </c>
      <c r="CS30" s="976">
        <v>470.8</v>
      </c>
      <c r="CT30" s="976">
        <v>485.8</v>
      </c>
      <c r="CU30" s="976">
        <v>493</v>
      </c>
      <c r="CV30" s="976">
        <v>499</v>
      </c>
      <c r="CW30" s="976">
        <v>506.8</v>
      </c>
      <c r="CX30" s="976">
        <v>514.20000000000005</v>
      </c>
      <c r="CY30" s="976">
        <v>519</v>
      </c>
      <c r="CZ30" s="976">
        <v>524.6</v>
      </c>
      <c r="DA30" s="976">
        <v>529.9</v>
      </c>
      <c r="DB30" s="976">
        <v>532.9</v>
      </c>
      <c r="DC30" s="976">
        <v>541.70000000000005</v>
      </c>
      <c r="DD30" s="976">
        <v>549.5</v>
      </c>
      <c r="DE30" s="976">
        <v>557.5</v>
      </c>
      <c r="DF30" s="976">
        <v>566</v>
      </c>
      <c r="DG30" s="976">
        <v>574</v>
      </c>
      <c r="DH30" s="976">
        <v>582.9</v>
      </c>
      <c r="DI30" s="976">
        <v>594.79999999999995</v>
      </c>
      <c r="DJ30" s="976">
        <v>602.79999999999995</v>
      </c>
      <c r="DK30" s="976">
        <v>612.29999999999995</v>
      </c>
      <c r="DL30" s="976">
        <v>622.20000000000005</v>
      </c>
      <c r="DM30" s="976">
        <v>632.20000000000005</v>
      </c>
      <c r="DN30" s="976">
        <v>643.5</v>
      </c>
      <c r="DO30" s="976">
        <v>649.29999999999995</v>
      </c>
      <c r="DP30" s="976">
        <v>656.7</v>
      </c>
      <c r="DQ30" s="976">
        <v>669.8</v>
      </c>
      <c r="DR30" s="976">
        <v>689.4</v>
      </c>
      <c r="DS30" s="976">
        <v>691.5</v>
      </c>
      <c r="DT30" s="976">
        <v>704.2</v>
      </c>
      <c r="DU30" s="976">
        <v>709.2</v>
      </c>
      <c r="DV30" s="976">
        <v>723.4</v>
      </c>
      <c r="DW30" s="976">
        <v>723.4</v>
      </c>
      <c r="DX30" s="976">
        <v>722</v>
      </c>
      <c r="DY30" s="976">
        <v>724.2</v>
      </c>
      <c r="DZ30" s="976">
        <v>732</v>
      </c>
      <c r="EA30" s="976">
        <v>739.9</v>
      </c>
      <c r="EB30" s="976">
        <v>742</v>
      </c>
      <c r="EC30" s="976">
        <v>743.8</v>
      </c>
      <c r="ED30" s="976">
        <v>749.1</v>
      </c>
      <c r="EE30" s="976">
        <v>758.6</v>
      </c>
      <c r="EF30" s="976">
        <v>767.2</v>
      </c>
      <c r="EG30" s="976">
        <v>778.2</v>
      </c>
      <c r="EH30" s="976">
        <v>790</v>
      </c>
      <c r="EI30" s="976">
        <v>803.5</v>
      </c>
      <c r="EJ30" s="976">
        <v>818.4</v>
      </c>
      <c r="EK30" s="976">
        <v>824</v>
      </c>
      <c r="EL30" s="976">
        <v>837.4</v>
      </c>
      <c r="EM30" s="976">
        <v>846</v>
      </c>
      <c r="EN30" s="976">
        <v>859.8</v>
      </c>
      <c r="EO30" s="976">
        <v>870.4</v>
      </c>
      <c r="EP30" s="976">
        <v>895.1</v>
      </c>
      <c r="EQ30" s="976">
        <v>900.8</v>
      </c>
      <c r="ER30" s="976">
        <v>906.2</v>
      </c>
      <c r="ES30" s="976">
        <v>920.6</v>
      </c>
      <c r="ET30" s="976">
        <v>940.9</v>
      </c>
      <c r="EU30" s="976">
        <v>943.1</v>
      </c>
      <c r="EV30" s="976">
        <v>946.7</v>
      </c>
      <c r="EW30" s="976">
        <v>958.4</v>
      </c>
      <c r="EX30" s="976">
        <v>970.2</v>
      </c>
      <c r="EY30" s="976">
        <v>972.3</v>
      </c>
      <c r="EZ30" s="976">
        <v>977.6</v>
      </c>
      <c r="FA30" s="976">
        <v>977.8</v>
      </c>
      <c r="FB30" s="976">
        <v>946</v>
      </c>
      <c r="FC30" s="976">
        <v>952.6</v>
      </c>
      <c r="FD30" s="976">
        <v>950.3</v>
      </c>
      <c r="FE30" s="976">
        <v>953.9</v>
      </c>
      <c r="FF30" s="976">
        <v>960.6</v>
      </c>
      <c r="FG30" s="976">
        <v>971.7</v>
      </c>
      <c r="FH30" s="976">
        <v>974.6</v>
      </c>
      <c r="FI30" s="976">
        <v>976.6</v>
      </c>
      <c r="FJ30" s="976">
        <v>898.3</v>
      </c>
      <c r="FK30" s="976">
        <v>900.9</v>
      </c>
      <c r="FL30" s="976">
        <v>909.4</v>
      </c>
      <c r="FM30" s="976">
        <v>904.2</v>
      </c>
      <c r="FN30" s="976">
        <v>927.5</v>
      </c>
      <c r="FO30" s="976">
        <v>932.2</v>
      </c>
      <c r="FP30" s="976">
        <v>935.2</v>
      </c>
      <c r="FQ30" s="976">
        <v>957</v>
      </c>
      <c r="FR30" s="976">
        <v>1078.5999999999999</v>
      </c>
      <c r="FS30" s="976">
        <v>1090.7</v>
      </c>
      <c r="FT30" s="976">
        <v>1093.5999999999999</v>
      </c>
      <c r="FU30" s="976">
        <v>1104.2</v>
      </c>
      <c r="FV30" s="976">
        <v>1126.5999999999999</v>
      </c>
      <c r="FW30" s="976">
        <v>1131</v>
      </c>
      <c r="FX30" s="976">
        <v>1142.5</v>
      </c>
      <c r="FY30" s="976">
        <v>1160.0999999999999</v>
      </c>
      <c r="FZ30" s="976">
        <v>1175.2</v>
      </c>
      <c r="GA30" s="976">
        <v>1187</v>
      </c>
      <c r="GB30" s="976">
        <v>1196.8</v>
      </c>
      <c r="GC30" s="976">
        <v>1204.0999999999999</v>
      </c>
      <c r="GD30" s="976">
        <v>1211.0999999999999</v>
      </c>
      <c r="GE30" s="976">
        <v>1217.3</v>
      </c>
      <c r="GF30" s="976">
        <v>1228.3</v>
      </c>
      <c r="GG30" s="976">
        <v>1241.7</v>
      </c>
      <c r="GH30" s="976">
        <v>1262.2</v>
      </c>
      <c r="GI30" s="976">
        <v>1274.5999999999999</v>
      </c>
      <c r="GJ30" s="976">
        <v>1289.7</v>
      </c>
      <c r="GK30" s="976">
        <v>1308.2</v>
      </c>
      <c r="GL30" s="976">
        <v>1327.8</v>
      </c>
      <c r="GM30" s="976">
        <v>1337.2</v>
      </c>
      <c r="GN30" s="976">
        <v>1353.1</v>
      </c>
      <c r="GO30" s="976">
        <v>1360.3</v>
      </c>
      <c r="GP30" s="976">
        <v>1391.9</v>
      </c>
      <c r="GQ30" s="976">
        <v>1397.8</v>
      </c>
      <c r="GR30" s="976">
        <v>1402.3</v>
      </c>
      <c r="GS30" s="976">
        <v>1416.9</v>
      </c>
      <c r="GT30" s="976">
        <v>1436.4</v>
      </c>
      <c r="GU30" s="976">
        <v>1374.2</v>
      </c>
      <c r="GV30" s="976">
        <v>1426.6</v>
      </c>
      <c r="GW30" s="976">
        <v>1466.6</v>
      </c>
      <c r="GX30" s="976">
        <v>1504.4</v>
      </c>
    </row>
    <row r="31" spans="1:206">
      <c r="A31" s="976" t="s">
        <v>243</v>
      </c>
      <c r="B31" s="976">
        <v>48.3</v>
      </c>
      <c r="C31" s="976">
        <v>57.5</v>
      </c>
      <c r="D31" s="976">
        <v>56.9</v>
      </c>
      <c r="E31" s="976">
        <v>59.8</v>
      </c>
      <c r="F31" s="976">
        <v>61</v>
      </c>
      <c r="G31" s="976">
        <v>67.900000000000006</v>
      </c>
      <c r="H31" s="976">
        <v>67.2</v>
      </c>
      <c r="I31" s="976">
        <v>68.2</v>
      </c>
      <c r="J31" s="976">
        <v>70.2</v>
      </c>
      <c r="K31" s="976">
        <v>70.2</v>
      </c>
      <c r="L31" s="976">
        <v>70.3</v>
      </c>
      <c r="M31" s="976">
        <v>80.599999999999994</v>
      </c>
      <c r="N31" s="976">
        <v>82.2</v>
      </c>
      <c r="O31" s="976">
        <v>83.6</v>
      </c>
      <c r="P31" s="976">
        <v>85.1</v>
      </c>
      <c r="Q31" s="976">
        <v>87.3</v>
      </c>
      <c r="R31" s="976">
        <v>94.1</v>
      </c>
      <c r="S31" s="976">
        <v>100.7</v>
      </c>
      <c r="T31" s="976">
        <v>106.4</v>
      </c>
      <c r="U31" s="976">
        <v>112</v>
      </c>
      <c r="V31" s="976">
        <v>120.5</v>
      </c>
      <c r="W31" s="976">
        <v>134.19999999999999</v>
      </c>
      <c r="X31" s="976">
        <v>136.80000000000001</v>
      </c>
      <c r="Y31" s="976">
        <v>137.80000000000001</v>
      </c>
      <c r="Z31" s="976">
        <v>141.30000000000001</v>
      </c>
      <c r="AA31" s="976">
        <v>139.6</v>
      </c>
      <c r="AB31" s="976">
        <v>145.4</v>
      </c>
      <c r="AC31" s="976">
        <v>147.69999999999999</v>
      </c>
      <c r="AD31" s="976">
        <v>149.80000000000001</v>
      </c>
      <c r="AE31" s="976">
        <v>148.9</v>
      </c>
      <c r="AF31" s="976">
        <v>154.4</v>
      </c>
      <c r="AG31" s="976">
        <v>156.6</v>
      </c>
      <c r="AH31" s="976">
        <v>158.5</v>
      </c>
      <c r="AI31" s="976">
        <v>158</v>
      </c>
      <c r="AJ31" s="976">
        <v>165.9</v>
      </c>
      <c r="AK31" s="976">
        <v>168.3</v>
      </c>
      <c r="AL31" s="976">
        <v>172.5</v>
      </c>
      <c r="AM31" s="976">
        <v>175.7</v>
      </c>
      <c r="AN31" s="976">
        <v>190.1</v>
      </c>
      <c r="AO31" s="976">
        <v>193.8</v>
      </c>
      <c r="AP31" s="976">
        <v>202.1</v>
      </c>
      <c r="AQ31" s="976">
        <v>207.3</v>
      </c>
      <c r="AR31" s="976">
        <v>235.4</v>
      </c>
      <c r="AS31" s="976">
        <v>236.4</v>
      </c>
      <c r="AT31" s="976">
        <v>240.5</v>
      </c>
      <c r="AU31" s="976">
        <v>241.6</v>
      </c>
      <c r="AV31" s="976">
        <v>259.3</v>
      </c>
      <c r="AW31" s="976">
        <v>261.5</v>
      </c>
      <c r="AX31" s="976">
        <v>265.2</v>
      </c>
      <c r="AY31" s="976">
        <v>272.2</v>
      </c>
      <c r="AZ31" s="976">
        <v>287.5</v>
      </c>
      <c r="BA31" s="976">
        <v>302.60000000000002</v>
      </c>
      <c r="BB31" s="976">
        <v>302.2</v>
      </c>
      <c r="BC31" s="976">
        <v>307.39999999999998</v>
      </c>
      <c r="BD31" s="976">
        <v>301.3</v>
      </c>
      <c r="BE31" s="976">
        <v>303.5</v>
      </c>
      <c r="BF31" s="976">
        <v>306.39999999999998</v>
      </c>
      <c r="BG31" s="976">
        <v>308.39999999999998</v>
      </c>
      <c r="BH31" s="976">
        <v>309.10000000000002</v>
      </c>
      <c r="BI31" s="976">
        <v>315.10000000000002</v>
      </c>
      <c r="BJ31" s="976">
        <v>323.2</v>
      </c>
      <c r="BK31" s="976">
        <v>324.2</v>
      </c>
      <c r="BL31" s="976">
        <v>327.5</v>
      </c>
      <c r="BM31" s="976">
        <v>328.5</v>
      </c>
      <c r="BN31" s="976">
        <v>338.3</v>
      </c>
      <c r="BO31" s="976">
        <v>342</v>
      </c>
      <c r="BP31" s="976">
        <v>347.8</v>
      </c>
      <c r="BQ31" s="976">
        <v>348.9</v>
      </c>
      <c r="BR31" s="976">
        <v>353.6</v>
      </c>
      <c r="BS31" s="976">
        <v>357.6</v>
      </c>
      <c r="BT31" s="976">
        <v>357.9</v>
      </c>
      <c r="BU31" s="976">
        <v>359.7</v>
      </c>
      <c r="BV31" s="976">
        <v>375</v>
      </c>
      <c r="BW31" s="976">
        <v>376.1</v>
      </c>
      <c r="BX31" s="976">
        <v>379.3</v>
      </c>
      <c r="BY31" s="976">
        <v>383</v>
      </c>
      <c r="BZ31" s="976">
        <v>403.9</v>
      </c>
      <c r="CA31" s="976">
        <v>408.3</v>
      </c>
      <c r="CB31" s="976">
        <v>413.7</v>
      </c>
      <c r="CC31" s="976">
        <v>420.9</v>
      </c>
      <c r="CD31" s="976">
        <v>437.5</v>
      </c>
      <c r="CE31" s="976">
        <v>443.4</v>
      </c>
      <c r="CF31" s="976">
        <v>447.9</v>
      </c>
      <c r="CG31" s="976">
        <v>459.4</v>
      </c>
      <c r="CH31" s="976">
        <v>481</v>
      </c>
      <c r="CI31" s="976">
        <v>491.3</v>
      </c>
      <c r="CJ31" s="976">
        <v>495.1</v>
      </c>
      <c r="CK31" s="976">
        <v>508.5</v>
      </c>
      <c r="CL31" s="976">
        <v>540</v>
      </c>
      <c r="CM31" s="976">
        <v>550.5</v>
      </c>
      <c r="CN31" s="976">
        <v>555.5</v>
      </c>
      <c r="CO31" s="976">
        <v>561.1</v>
      </c>
      <c r="CP31" s="976">
        <v>577.6</v>
      </c>
      <c r="CQ31" s="976">
        <v>582</v>
      </c>
      <c r="CR31" s="976">
        <v>585.70000000000005</v>
      </c>
      <c r="CS31" s="976">
        <v>589.6</v>
      </c>
      <c r="CT31" s="976">
        <v>601.79999999999995</v>
      </c>
      <c r="CU31" s="976">
        <v>606.20000000000005</v>
      </c>
      <c r="CV31" s="976">
        <v>610</v>
      </c>
      <c r="CW31" s="976">
        <v>618.1</v>
      </c>
      <c r="CX31" s="976">
        <v>637.6</v>
      </c>
      <c r="CY31" s="976">
        <v>644.9</v>
      </c>
      <c r="CZ31" s="976">
        <v>650</v>
      </c>
      <c r="DA31" s="976">
        <v>655.8</v>
      </c>
      <c r="DB31" s="976">
        <v>675</v>
      </c>
      <c r="DC31" s="976">
        <v>680.7</v>
      </c>
      <c r="DD31" s="976">
        <v>683.7</v>
      </c>
      <c r="DE31" s="976">
        <v>688.9</v>
      </c>
      <c r="DF31" s="976">
        <v>704.5</v>
      </c>
      <c r="DG31" s="976">
        <v>707.5</v>
      </c>
      <c r="DH31" s="976">
        <v>709.2</v>
      </c>
      <c r="DI31" s="976">
        <v>710.2</v>
      </c>
      <c r="DJ31" s="976">
        <v>719.7</v>
      </c>
      <c r="DK31" s="976">
        <v>720.7</v>
      </c>
      <c r="DL31" s="976">
        <v>723.5</v>
      </c>
      <c r="DM31" s="976">
        <v>724.7</v>
      </c>
      <c r="DN31" s="976">
        <v>735.5</v>
      </c>
      <c r="DO31" s="976">
        <v>738.6</v>
      </c>
      <c r="DP31" s="976">
        <v>741.1</v>
      </c>
      <c r="DQ31" s="976">
        <v>744.2</v>
      </c>
      <c r="DR31" s="976">
        <v>756.8</v>
      </c>
      <c r="DS31" s="976">
        <v>772.9</v>
      </c>
      <c r="DT31" s="976">
        <v>777.5</v>
      </c>
      <c r="DU31" s="976">
        <v>786.5</v>
      </c>
      <c r="DV31" s="976">
        <v>817.3</v>
      </c>
      <c r="DW31" s="976">
        <v>831</v>
      </c>
      <c r="DX31" s="976">
        <v>849.4</v>
      </c>
      <c r="DY31" s="976">
        <v>865.2</v>
      </c>
      <c r="DZ31" s="976">
        <v>895</v>
      </c>
      <c r="EA31" s="976">
        <v>921</v>
      </c>
      <c r="EB31" s="976">
        <v>925.2</v>
      </c>
      <c r="EC31" s="976">
        <v>930.8</v>
      </c>
      <c r="ED31" s="976">
        <v>947.7</v>
      </c>
      <c r="EE31" s="976">
        <v>964.3</v>
      </c>
      <c r="EF31" s="976">
        <v>973.7</v>
      </c>
      <c r="EG31" s="976">
        <v>984.3</v>
      </c>
      <c r="EH31" s="976">
        <v>1003.6</v>
      </c>
      <c r="EI31" s="976">
        <v>1013.5</v>
      </c>
      <c r="EJ31" s="976">
        <v>1024.0999999999999</v>
      </c>
      <c r="EK31" s="976">
        <v>1036.9000000000001</v>
      </c>
      <c r="EL31" s="976">
        <v>1065.3</v>
      </c>
      <c r="EM31" s="976">
        <v>1076</v>
      </c>
      <c r="EN31" s="976">
        <v>1091.8</v>
      </c>
      <c r="EO31" s="976">
        <v>1104.4000000000001</v>
      </c>
      <c r="EP31" s="976">
        <v>1172.7</v>
      </c>
      <c r="EQ31" s="976">
        <v>1184</v>
      </c>
      <c r="ER31" s="976">
        <v>1194.0999999999999</v>
      </c>
      <c r="ES31" s="976">
        <v>1205.5999999999999</v>
      </c>
      <c r="ET31" s="976">
        <v>1240.0999999999999</v>
      </c>
      <c r="EU31" s="976">
        <v>1256.7</v>
      </c>
      <c r="EV31" s="976">
        <v>1270.2</v>
      </c>
      <c r="EW31" s="976">
        <v>1286.3</v>
      </c>
      <c r="EX31" s="976">
        <v>1321.9</v>
      </c>
      <c r="EY31" s="976">
        <v>1657</v>
      </c>
      <c r="EZ31" s="976">
        <v>1445.3</v>
      </c>
      <c r="FA31" s="976">
        <v>1428.7</v>
      </c>
      <c r="FB31" s="976">
        <v>1521.8</v>
      </c>
      <c r="FC31" s="976">
        <v>1648</v>
      </c>
      <c r="FD31" s="976">
        <v>1634.5</v>
      </c>
      <c r="FE31" s="976">
        <v>1653.9</v>
      </c>
      <c r="FF31" s="976">
        <v>1753.5</v>
      </c>
      <c r="FG31" s="976">
        <v>1755.7</v>
      </c>
      <c r="FH31" s="976">
        <v>1758.8</v>
      </c>
      <c r="FI31" s="976">
        <v>1761.9</v>
      </c>
      <c r="FJ31" s="976">
        <v>1768.6</v>
      </c>
      <c r="FK31" s="976">
        <v>1777.4</v>
      </c>
      <c r="FL31" s="976">
        <v>1782.4</v>
      </c>
      <c r="FM31" s="976">
        <v>1789.3</v>
      </c>
      <c r="FN31" s="976">
        <v>1772.9</v>
      </c>
      <c r="FO31" s="976">
        <v>1777.5</v>
      </c>
      <c r="FP31" s="976">
        <v>1783.6</v>
      </c>
      <c r="FQ31" s="976">
        <v>1793.4</v>
      </c>
      <c r="FR31" s="976">
        <v>1817.3</v>
      </c>
      <c r="FS31" s="976">
        <v>1815.5</v>
      </c>
      <c r="FT31" s="976">
        <v>1823.2</v>
      </c>
      <c r="FU31" s="976">
        <v>1830.1</v>
      </c>
      <c r="FV31" s="976">
        <v>1848.1</v>
      </c>
      <c r="FW31" s="976">
        <v>1876.8</v>
      </c>
      <c r="FX31" s="976">
        <v>1890.5</v>
      </c>
      <c r="FY31" s="976">
        <v>1909</v>
      </c>
      <c r="FZ31" s="976">
        <v>1945.5</v>
      </c>
      <c r="GA31" s="976">
        <v>1966.6</v>
      </c>
      <c r="GB31" s="976">
        <v>1977.6</v>
      </c>
      <c r="GC31" s="976">
        <v>1989.7</v>
      </c>
      <c r="GD31" s="976">
        <v>2006.3</v>
      </c>
      <c r="GE31" s="976">
        <v>2018.5</v>
      </c>
      <c r="GF31" s="976">
        <v>2029.6</v>
      </c>
      <c r="GG31" s="976">
        <v>2043.8</v>
      </c>
      <c r="GH31" s="976">
        <v>2075.1</v>
      </c>
      <c r="GI31" s="976">
        <v>2089</v>
      </c>
      <c r="GJ31" s="976">
        <v>2106.6</v>
      </c>
      <c r="GK31" s="976">
        <v>2124.3000000000002</v>
      </c>
      <c r="GL31" s="976">
        <v>2173.4</v>
      </c>
      <c r="GM31" s="976">
        <v>2186.6999999999998</v>
      </c>
      <c r="GN31" s="976">
        <v>2202.1</v>
      </c>
      <c r="GO31" s="976">
        <v>2220.5</v>
      </c>
      <c r="GP31" s="976">
        <v>2298.8000000000002</v>
      </c>
      <c r="GQ31" s="976">
        <v>2315.8000000000002</v>
      </c>
      <c r="GR31" s="976">
        <v>2331.4</v>
      </c>
      <c r="GS31" s="976">
        <v>2347.6999999999998</v>
      </c>
      <c r="GT31" s="976">
        <v>2422.5</v>
      </c>
      <c r="GU31" s="976">
        <v>4815.3</v>
      </c>
      <c r="GV31" s="976">
        <v>3494.9</v>
      </c>
      <c r="GW31" s="976">
        <v>2918.2</v>
      </c>
      <c r="GX31" s="976">
        <v>5164</v>
      </c>
    </row>
    <row r="32" spans="1:206">
      <c r="A32" s="976" t="s">
        <v>244</v>
      </c>
      <c r="B32" s="976">
        <v>16.600000000000001</v>
      </c>
      <c r="C32" s="976">
        <v>17.899999999999999</v>
      </c>
      <c r="D32" s="976">
        <v>19.2</v>
      </c>
      <c r="E32" s="976">
        <v>19.8</v>
      </c>
      <c r="F32" s="976">
        <v>20.5</v>
      </c>
      <c r="G32" s="976">
        <v>22.1</v>
      </c>
      <c r="H32" s="976">
        <v>22.4</v>
      </c>
      <c r="I32" s="976">
        <v>23.7</v>
      </c>
      <c r="J32" s="976">
        <v>24.4</v>
      </c>
      <c r="K32" s="976">
        <v>32.700000000000003</v>
      </c>
      <c r="L32" s="976">
        <v>25.6</v>
      </c>
      <c r="M32" s="976">
        <v>39.299999999999997</v>
      </c>
      <c r="N32" s="976">
        <v>34.299999999999997</v>
      </c>
      <c r="O32" s="976">
        <v>33.4</v>
      </c>
      <c r="P32" s="976">
        <v>32.6</v>
      </c>
      <c r="Q32" s="976">
        <v>33.6</v>
      </c>
      <c r="R32" s="976">
        <v>33.299999999999997</v>
      </c>
      <c r="S32" s="976">
        <v>34.1</v>
      </c>
      <c r="T32" s="976">
        <v>35.4</v>
      </c>
      <c r="U32" s="976">
        <v>36.799999999999997</v>
      </c>
      <c r="V32" s="976">
        <v>39.299999999999997</v>
      </c>
      <c r="W32" s="976">
        <v>44.3</v>
      </c>
      <c r="X32" s="976">
        <v>45</v>
      </c>
      <c r="Y32" s="976">
        <v>45.9</v>
      </c>
      <c r="Z32" s="976">
        <v>47</v>
      </c>
      <c r="AA32" s="976">
        <v>47.8</v>
      </c>
      <c r="AB32" s="976">
        <v>48.7</v>
      </c>
      <c r="AC32" s="976">
        <v>52.7</v>
      </c>
      <c r="AD32" s="976">
        <v>50.7</v>
      </c>
      <c r="AE32" s="976">
        <v>53.7</v>
      </c>
      <c r="AF32" s="976">
        <v>57.3</v>
      </c>
      <c r="AG32" s="976">
        <v>57.3</v>
      </c>
      <c r="AH32" s="976">
        <v>61.5</v>
      </c>
      <c r="AI32" s="976">
        <v>64.099999999999994</v>
      </c>
      <c r="AJ32" s="976">
        <v>63.4</v>
      </c>
      <c r="AK32" s="976">
        <v>64.900000000000006</v>
      </c>
      <c r="AL32" s="976">
        <v>62.1</v>
      </c>
      <c r="AM32" s="976">
        <v>62.6</v>
      </c>
      <c r="AN32" s="976">
        <v>65.2</v>
      </c>
      <c r="AO32" s="976">
        <v>65.900000000000006</v>
      </c>
      <c r="AP32" s="976">
        <v>66.7</v>
      </c>
      <c r="AQ32" s="976">
        <v>68.2</v>
      </c>
      <c r="AR32" s="976">
        <v>70.7</v>
      </c>
      <c r="AS32" s="976">
        <v>73.099999999999994</v>
      </c>
      <c r="AT32" s="976">
        <v>71.5</v>
      </c>
      <c r="AU32" s="976">
        <v>71.400000000000006</v>
      </c>
      <c r="AV32" s="976">
        <v>68.8</v>
      </c>
      <c r="AW32" s="976">
        <v>66</v>
      </c>
      <c r="AX32" s="976">
        <v>65.8</v>
      </c>
      <c r="AY32" s="976">
        <v>67.3</v>
      </c>
      <c r="AZ32" s="976">
        <v>65.599999999999994</v>
      </c>
      <c r="BA32" s="976">
        <v>66.3</v>
      </c>
      <c r="BB32" s="976">
        <v>67.2</v>
      </c>
      <c r="BC32" s="976">
        <v>69.2</v>
      </c>
      <c r="BD32" s="976">
        <v>68.400000000000006</v>
      </c>
      <c r="BE32" s="976">
        <v>67</v>
      </c>
      <c r="BF32" s="976">
        <v>71.3</v>
      </c>
      <c r="BG32" s="976">
        <v>73.099999999999994</v>
      </c>
      <c r="BH32" s="976">
        <v>70.7</v>
      </c>
      <c r="BI32" s="976">
        <v>74.3</v>
      </c>
      <c r="BJ32" s="976">
        <v>74.8</v>
      </c>
      <c r="BK32" s="976">
        <v>75.3</v>
      </c>
      <c r="BL32" s="976">
        <v>76.400000000000006</v>
      </c>
      <c r="BM32" s="976">
        <v>78.099999999999994</v>
      </c>
      <c r="BN32" s="976">
        <v>79.7</v>
      </c>
      <c r="BO32" s="976">
        <v>83.8</v>
      </c>
      <c r="BP32" s="976">
        <v>86.7</v>
      </c>
      <c r="BQ32" s="976">
        <v>79.5</v>
      </c>
      <c r="BR32" s="976">
        <v>76.900000000000006</v>
      </c>
      <c r="BS32" s="976">
        <v>80.2</v>
      </c>
      <c r="BT32" s="976">
        <v>78.2</v>
      </c>
      <c r="BU32" s="976">
        <v>78.2</v>
      </c>
      <c r="BV32" s="976">
        <v>84.1</v>
      </c>
      <c r="BW32" s="976">
        <v>84.1</v>
      </c>
      <c r="BX32" s="976">
        <v>87</v>
      </c>
      <c r="BY32" s="976">
        <v>87.7</v>
      </c>
      <c r="BZ32" s="976">
        <v>88.7</v>
      </c>
      <c r="CA32" s="976">
        <v>89.1</v>
      </c>
      <c r="CB32" s="976">
        <v>95</v>
      </c>
      <c r="CC32" s="976">
        <v>94.5</v>
      </c>
      <c r="CD32" s="976">
        <v>99.9</v>
      </c>
      <c r="CE32" s="976">
        <v>103.2</v>
      </c>
      <c r="CF32" s="976">
        <v>105.5</v>
      </c>
      <c r="CG32" s="976">
        <v>108.8</v>
      </c>
      <c r="CH32" s="976">
        <v>115.6</v>
      </c>
      <c r="CI32" s="976">
        <v>120.5</v>
      </c>
      <c r="CJ32" s="976">
        <v>127</v>
      </c>
      <c r="CK32" s="976">
        <v>132.9</v>
      </c>
      <c r="CL32" s="976">
        <v>136.19999999999999</v>
      </c>
      <c r="CM32" s="976">
        <v>139</v>
      </c>
      <c r="CN32" s="976">
        <v>145</v>
      </c>
      <c r="CO32" s="976">
        <v>146.5</v>
      </c>
      <c r="CP32" s="976">
        <v>148.80000000000001</v>
      </c>
      <c r="CQ32" s="976">
        <v>151.4</v>
      </c>
      <c r="CR32" s="976">
        <v>157.19999999999999</v>
      </c>
      <c r="CS32" s="976">
        <v>165.5</v>
      </c>
      <c r="CT32" s="976">
        <v>162.4</v>
      </c>
      <c r="CU32" s="976">
        <v>164.9</v>
      </c>
      <c r="CV32" s="976">
        <v>167.3</v>
      </c>
      <c r="CW32" s="976">
        <v>172.8</v>
      </c>
      <c r="CX32" s="976">
        <v>175.6</v>
      </c>
      <c r="CY32" s="976">
        <v>174.8</v>
      </c>
      <c r="CZ32" s="976">
        <v>175.8</v>
      </c>
      <c r="DA32" s="976">
        <v>171.7</v>
      </c>
      <c r="DB32" s="976">
        <v>177.1</v>
      </c>
      <c r="DC32" s="976">
        <v>185.5</v>
      </c>
      <c r="DD32" s="976">
        <v>182.9</v>
      </c>
      <c r="DE32" s="976">
        <v>180.3</v>
      </c>
      <c r="DF32" s="976">
        <v>184.6</v>
      </c>
      <c r="DG32" s="976">
        <v>184.2</v>
      </c>
      <c r="DH32" s="976">
        <v>187.5</v>
      </c>
      <c r="DI32" s="976">
        <v>196.3</v>
      </c>
      <c r="DJ32" s="976">
        <v>197.3</v>
      </c>
      <c r="DK32" s="976">
        <v>197</v>
      </c>
      <c r="DL32" s="976">
        <v>201.8</v>
      </c>
      <c r="DM32" s="976">
        <v>207</v>
      </c>
      <c r="DN32" s="976">
        <v>214.7</v>
      </c>
      <c r="DO32" s="976">
        <v>211.8</v>
      </c>
      <c r="DP32" s="976">
        <v>223.1</v>
      </c>
      <c r="DQ32" s="976">
        <v>227</v>
      </c>
      <c r="DR32" s="976">
        <v>224.5</v>
      </c>
      <c r="DS32" s="976">
        <v>227.4</v>
      </c>
      <c r="DT32" s="976">
        <v>239.5</v>
      </c>
      <c r="DU32" s="976">
        <v>241.1</v>
      </c>
      <c r="DV32" s="976">
        <v>254</v>
      </c>
      <c r="DW32" s="976">
        <v>262.2</v>
      </c>
      <c r="DX32" s="976">
        <v>258.5</v>
      </c>
      <c r="DY32" s="976">
        <v>270.39999999999998</v>
      </c>
      <c r="DZ32" s="976">
        <v>277.3</v>
      </c>
      <c r="EA32" s="976">
        <v>285.7</v>
      </c>
      <c r="EB32" s="976">
        <v>294.3</v>
      </c>
      <c r="EC32" s="976">
        <v>297.39999999999998</v>
      </c>
      <c r="ED32" s="976">
        <v>299.60000000000002</v>
      </c>
      <c r="EE32" s="976">
        <v>323.3</v>
      </c>
      <c r="EF32" s="976">
        <v>329.6</v>
      </c>
      <c r="EG32" s="976">
        <v>334.3</v>
      </c>
      <c r="EH32" s="976">
        <v>328</v>
      </c>
      <c r="EI32" s="976">
        <v>332.8</v>
      </c>
      <c r="EJ32" s="976">
        <v>328.4</v>
      </c>
      <c r="EK32" s="976">
        <v>340</v>
      </c>
      <c r="EL32" s="976">
        <v>341.6</v>
      </c>
      <c r="EM32" s="976">
        <v>344.8</v>
      </c>
      <c r="EN32" s="976">
        <v>342.5</v>
      </c>
      <c r="EO32" s="976">
        <v>345.1</v>
      </c>
      <c r="EP32" s="976">
        <v>340</v>
      </c>
      <c r="EQ32" s="976">
        <v>341.5</v>
      </c>
      <c r="ER32" s="976">
        <v>347.9</v>
      </c>
      <c r="ES32" s="976">
        <v>334.7</v>
      </c>
      <c r="ET32" s="976">
        <v>358.4</v>
      </c>
      <c r="EU32" s="976">
        <v>359.4</v>
      </c>
      <c r="EV32" s="976">
        <v>359.8</v>
      </c>
      <c r="EW32" s="976">
        <v>358.9</v>
      </c>
      <c r="EX32" s="976">
        <v>365.7</v>
      </c>
      <c r="EY32" s="976">
        <v>371.5</v>
      </c>
      <c r="EZ32" s="976">
        <v>368.8</v>
      </c>
      <c r="FA32" s="976">
        <v>378.6</v>
      </c>
      <c r="FB32" s="976">
        <v>421.1</v>
      </c>
      <c r="FC32" s="976">
        <v>473.9</v>
      </c>
      <c r="FD32" s="976">
        <v>465.4</v>
      </c>
      <c r="FE32" s="976">
        <v>472.1</v>
      </c>
      <c r="FF32" s="976">
        <v>496.2</v>
      </c>
      <c r="FG32" s="976">
        <v>492.6</v>
      </c>
      <c r="FH32" s="976">
        <v>517.79999999999995</v>
      </c>
      <c r="FI32" s="976">
        <v>514.4</v>
      </c>
      <c r="FJ32" s="976">
        <v>500.5</v>
      </c>
      <c r="FK32" s="976">
        <v>503.4</v>
      </c>
      <c r="FL32" s="976">
        <v>448.3</v>
      </c>
      <c r="FM32" s="976">
        <v>437.7</v>
      </c>
      <c r="FN32" s="976">
        <v>441.7</v>
      </c>
      <c r="FO32" s="976">
        <v>447.9</v>
      </c>
      <c r="FP32" s="976">
        <v>440</v>
      </c>
      <c r="FQ32" s="976">
        <v>448.2</v>
      </c>
      <c r="FR32" s="976">
        <v>440</v>
      </c>
      <c r="FS32" s="976">
        <v>459.2</v>
      </c>
      <c r="FT32" s="976">
        <v>454</v>
      </c>
      <c r="FU32" s="976">
        <v>447.3</v>
      </c>
      <c r="FV32" s="976">
        <v>467.8</v>
      </c>
      <c r="FW32" s="976">
        <v>492.5</v>
      </c>
      <c r="FX32" s="976">
        <v>511.1</v>
      </c>
      <c r="FY32" s="976">
        <v>508.8</v>
      </c>
      <c r="FZ32" s="976">
        <v>524.79999999999995</v>
      </c>
      <c r="GA32" s="976">
        <v>528.9</v>
      </c>
      <c r="GB32" s="976">
        <v>530.4</v>
      </c>
      <c r="GC32" s="976">
        <v>548.20000000000005</v>
      </c>
      <c r="GD32" s="976">
        <v>538.9</v>
      </c>
      <c r="GE32" s="976">
        <v>551.79999999999995</v>
      </c>
      <c r="GF32" s="976">
        <v>562.70000000000005</v>
      </c>
      <c r="GG32" s="976">
        <v>573.9</v>
      </c>
      <c r="GH32" s="976">
        <v>561</v>
      </c>
      <c r="GI32" s="976">
        <v>542.29999999999995</v>
      </c>
      <c r="GJ32" s="976">
        <v>562.9</v>
      </c>
      <c r="GK32" s="976">
        <v>572.9</v>
      </c>
      <c r="GL32" s="976">
        <v>581.5</v>
      </c>
      <c r="GM32" s="976">
        <v>578</v>
      </c>
      <c r="GN32" s="976">
        <v>584.29999999999995</v>
      </c>
      <c r="GO32" s="976">
        <v>586.5</v>
      </c>
      <c r="GP32" s="976">
        <v>594.20000000000005</v>
      </c>
      <c r="GQ32" s="976">
        <v>612.5</v>
      </c>
      <c r="GR32" s="976">
        <v>610.29999999999995</v>
      </c>
      <c r="GS32" s="976">
        <v>615.4</v>
      </c>
      <c r="GT32" s="976">
        <v>627.79999999999995</v>
      </c>
      <c r="GU32" s="976">
        <v>1396.9</v>
      </c>
      <c r="GV32" s="976">
        <v>728.2</v>
      </c>
      <c r="GW32" s="976">
        <v>738.1</v>
      </c>
      <c r="GX32" s="976">
        <v>786.5</v>
      </c>
    </row>
    <row r="33" spans="1:206">
      <c r="A33" s="976" t="s">
        <v>245</v>
      </c>
      <c r="B33" s="976">
        <v>14</v>
      </c>
      <c r="C33" s="976">
        <v>14.1</v>
      </c>
      <c r="D33" s="976">
        <v>14.3</v>
      </c>
      <c r="E33" s="976">
        <v>14.4</v>
      </c>
      <c r="F33" s="976">
        <v>14.7</v>
      </c>
      <c r="G33" s="976">
        <v>15.6</v>
      </c>
      <c r="H33" s="976">
        <v>16</v>
      </c>
      <c r="I33" s="976">
        <v>17.3</v>
      </c>
      <c r="J33" s="976">
        <v>19.5</v>
      </c>
      <c r="K33" s="976">
        <v>21</v>
      </c>
      <c r="L33" s="976">
        <v>21.2</v>
      </c>
      <c r="M33" s="976">
        <v>21.8</v>
      </c>
      <c r="N33" s="976">
        <v>21.9</v>
      </c>
      <c r="O33" s="976">
        <v>22.3</v>
      </c>
      <c r="P33" s="976">
        <v>23.1</v>
      </c>
      <c r="Q33" s="976">
        <v>24</v>
      </c>
      <c r="R33" s="976">
        <v>23.3</v>
      </c>
      <c r="S33" s="976">
        <v>24.1</v>
      </c>
      <c r="T33" s="976">
        <v>25.2</v>
      </c>
      <c r="U33" s="976">
        <v>25.6</v>
      </c>
      <c r="V33" s="976">
        <v>25.7</v>
      </c>
      <c r="W33" s="976">
        <v>26.5</v>
      </c>
      <c r="X33" s="976">
        <v>27.2</v>
      </c>
      <c r="Y33" s="976">
        <v>28.2</v>
      </c>
      <c r="Z33" s="976">
        <v>29.5</v>
      </c>
      <c r="AA33" s="976">
        <v>30.6</v>
      </c>
      <c r="AB33" s="976">
        <v>31.6</v>
      </c>
      <c r="AC33" s="976">
        <v>32.6</v>
      </c>
      <c r="AD33" s="976">
        <v>33.5</v>
      </c>
      <c r="AE33" s="976">
        <v>34.700000000000003</v>
      </c>
      <c r="AF33" s="976">
        <v>35.9</v>
      </c>
      <c r="AG33" s="976">
        <v>37.299999999999997</v>
      </c>
      <c r="AH33" s="976">
        <v>38.6</v>
      </c>
      <c r="AI33" s="976">
        <v>40.1</v>
      </c>
      <c r="AJ33" s="976">
        <v>40.9</v>
      </c>
      <c r="AK33" s="976">
        <v>42.1</v>
      </c>
      <c r="AL33" s="976">
        <v>42</v>
      </c>
      <c r="AM33" s="976">
        <v>42.1</v>
      </c>
      <c r="AN33" s="976">
        <v>45.4</v>
      </c>
      <c r="AO33" s="976">
        <v>46.6</v>
      </c>
      <c r="AP33" s="976">
        <v>46.6</v>
      </c>
      <c r="AQ33" s="976">
        <v>48</v>
      </c>
      <c r="AR33" s="976">
        <v>49.4</v>
      </c>
      <c r="AS33" s="976">
        <v>51.6</v>
      </c>
      <c r="AT33" s="976">
        <v>52.5</v>
      </c>
      <c r="AU33" s="976">
        <v>53.7</v>
      </c>
      <c r="AV33" s="976">
        <v>55.5</v>
      </c>
      <c r="AW33" s="976">
        <v>56.8</v>
      </c>
      <c r="AX33" s="976">
        <v>57.3</v>
      </c>
      <c r="AY33" s="976">
        <v>58.1</v>
      </c>
      <c r="AZ33" s="976">
        <v>60.4</v>
      </c>
      <c r="BA33" s="976">
        <v>60.8</v>
      </c>
      <c r="BB33" s="976">
        <v>61.3</v>
      </c>
      <c r="BC33" s="976">
        <v>64.3</v>
      </c>
      <c r="BD33" s="976">
        <v>68.099999999999994</v>
      </c>
      <c r="BE33" s="976">
        <v>70.7</v>
      </c>
      <c r="BF33" s="976">
        <v>73.3</v>
      </c>
      <c r="BG33" s="976">
        <v>75.8</v>
      </c>
      <c r="BH33" s="976">
        <v>76.8</v>
      </c>
      <c r="BI33" s="976">
        <v>78.2</v>
      </c>
      <c r="BJ33" s="976">
        <v>79.3</v>
      </c>
      <c r="BK33" s="976">
        <v>80.900000000000006</v>
      </c>
      <c r="BL33" s="976">
        <v>81.5</v>
      </c>
      <c r="BM33" s="976">
        <v>83.7</v>
      </c>
      <c r="BN33" s="976">
        <v>84.5</v>
      </c>
      <c r="BO33" s="976">
        <v>85</v>
      </c>
      <c r="BP33" s="976">
        <v>87.5</v>
      </c>
      <c r="BQ33" s="976">
        <v>91.8</v>
      </c>
      <c r="BR33" s="976">
        <v>92.4</v>
      </c>
      <c r="BS33" s="976">
        <v>101.5</v>
      </c>
      <c r="BT33" s="976">
        <v>94.1</v>
      </c>
      <c r="BU33" s="976">
        <v>98.4</v>
      </c>
      <c r="BV33" s="976">
        <v>99.4</v>
      </c>
      <c r="BW33" s="976">
        <v>97.2</v>
      </c>
      <c r="BX33" s="976">
        <v>104.1</v>
      </c>
      <c r="BY33" s="976">
        <v>107.6</v>
      </c>
      <c r="BZ33" s="976">
        <v>113.4</v>
      </c>
      <c r="CA33" s="976">
        <v>118.3</v>
      </c>
      <c r="CB33" s="976">
        <v>114.5</v>
      </c>
      <c r="CC33" s="976">
        <v>112.4</v>
      </c>
      <c r="CD33" s="976">
        <v>119.4</v>
      </c>
      <c r="CE33" s="976">
        <v>122.6</v>
      </c>
      <c r="CF33" s="976">
        <v>123.7</v>
      </c>
      <c r="CG33" s="976">
        <v>124.6</v>
      </c>
      <c r="CH33" s="976">
        <v>121.2</v>
      </c>
      <c r="CI33" s="976">
        <v>124.5</v>
      </c>
      <c r="CJ33" s="976">
        <v>126.1</v>
      </c>
      <c r="CK33" s="976">
        <v>129.5</v>
      </c>
      <c r="CL33" s="976">
        <v>127.6</v>
      </c>
      <c r="CM33" s="976">
        <v>136.9</v>
      </c>
      <c r="CN33" s="976">
        <v>136.80000000000001</v>
      </c>
      <c r="CO33" s="976">
        <v>140</v>
      </c>
      <c r="CP33" s="976">
        <v>136.69999999999999</v>
      </c>
      <c r="CQ33" s="976">
        <v>138.30000000000001</v>
      </c>
      <c r="CR33" s="976">
        <v>143.6</v>
      </c>
      <c r="CS33" s="976">
        <v>145.80000000000001</v>
      </c>
      <c r="CT33" s="976">
        <v>146.9</v>
      </c>
      <c r="CU33" s="976">
        <v>141.9</v>
      </c>
      <c r="CV33" s="976">
        <v>151.19999999999999</v>
      </c>
      <c r="CW33" s="976">
        <v>152</v>
      </c>
      <c r="CX33" s="976">
        <v>156.9</v>
      </c>
      <c r="CY33" s="976">
        <v>152.4</v>
      </c>
      <c r="CZ33" s="976">
        <v>160.69999999999999</v>
      </c>
      <c r="DA33" s="976">
        <v>162.4</v>
      </c>
      <c r="DB33" s="976">
        <v>165.3</v>
      </c>
      <c r="DC33" s="976">
        <v>165.9</v>
      </c>
      <c r="DD33" s="976">
        <v>169.3</v>
      </c>
      <c r="DE33" s="976">
        <v>174.1</v>
      </c>
      <c r="DF33" s="976">
        <v>177.8</v>
      </c>
      <c r="DG33" s="976">
        <v>176.9</v>
      </c>
      <c r="DH33" s="976">
        <v>184.1</v>
      </c>
      <c r="DI33" s="976">
        <v>189.2</v>
      </c>
      <c r="DJ33" s="976">
        <v>195.6</v>
      </c>
      <c r="DK33" s="976">
        <v>201.4</v>
      </c>
      <c r="DL33" s="976">
        <v>201.6</v>
      </c>
      <c r="DM33" s="976">
        <v>206.3</v>
      </c>
      <c r="DN33" s="976">
        <v>208.2</v>
      </c>
      <c r="DO33" s="976">
        <v>209.4</v>
      </c>
      <c r="DP33" s="976">
        <v>216.4</v>
      </c>
      <c r="DQ33" s="976">
        <v>224</v>
      </c>
      <c r="DR33" s="976">
        <v>232.2</v>
      </c>
      <c r="DS33" s="976">
        <v>243.3</v>
      </c>
      <c r="DT33" s="976">
        <v>236.6</v>
      </c>
      <c r="DU33" s="976">
        <v>234.8</v>
      </c>
      <c r="DV33" s="976">
        <v>250.9</v>
      </c>
      <c r="DW33" s="976">
        <v>259.89999999999998</v>
      </c>
      <c r="DX33" s="976">
        <v>231.9</v>
      </c>
      <c r="DY33" s="976">
        <v>229.3</v>
      </c>
      <c r="DZ33" s="976">
        <v>227.4</v>
      </c>
      <c r="EA33" s="976">
        <v>214.3</v>
      </c>
      <c r="EB33" s="976">
        <v>218.8</v>
      </c>
      <c r="EC33" s="976">
        <v>218.9</v>
      </c>
      <c r="ED33" s="976">
        <v>217.9</v>
      </c>
      <c r="EE33" s="976">
        <v>207.9</v>
      </c>
      <c r="EF33" s="976">
        <v>234.2</v>
      </c>
      <c r="EG33" s="976">
        <v>239.7</v>
      </c>
      <c r="EH33" s="976">
        <v>239</v>
      </c>
      <c r="EI33" s="976">
        <v>234.3</v>
      </c>
      <c r="EJ33" s="976">
        <v>247.7</v>
      </c>
      <c r="EK33" s="976">
        <v>261.8</v>
      </c>
      <c r="EL33" s="976">
        <v>269.39999999999998</v>
      </c>
      <c r="EM33" s="976">
        <v>270.39999999999998</v>
      </c>
      <c r="EN33" s="976">
        <v>276</v>
      </c>
      <c r="EO33" s="976">
        <v>285.2</v>
      </c>
      <c r="EP33" s="976">
        <v>294.89999999999998</v>
      </c>
      <c r="EQ33" s="976">
        <v>310.10000000000002</v>
      </c>
      <c r="ER33" s="976">
        <v>297.7</v>
      </c>
      <c r="ES33" s="976">
        <v>301.7</v>
      </c>
      <c r="ET33" s="976">
        <v>320.5</v>
      </c>
      <c r="EU33" s="976">
        <v>332</v>
      </c>
      <c r="EV33" s="976">
        <v>319.60000000000002</v>
      </c>
      <c r="EW33" s="976">
        <v>314.2</v>
      </c>
      <c r="EX33" s="976">
        <v>333.4</v>
      </c>
      <c r="EY33" s="976">
        <v>361.1</v>
      </c>
      <c r="EZ33" s="976">
        <v>323.8</v>
      </c>
      <c r="FA33" s="976">
        <v>305.10000000000002</v>
      </c>
      <c r="FB33" s="976">
        <v>281.10000000000002</v>
      </c>
      <c r="FC33" s="976">
        <v>275.60000000000002</v>
      </c>
      <c r="FD33" s="976">
        <v>293.3</v>
      </c>
      <c r="FE33" s="976">
        <v>293.3</v>
      </c>
      <c r="FF33" s="976">
        <v>288.39999999999998</v>
      </c>
      <c r="FG33" s="976">
        <v>278</v>
      </c>
      <c r="FH33" s="976">
        <v>297.8</v>
      </c>
      <c r="FI33" s="976">
        <v>311.89999999999998</v>
      </c>
      <c r="FJ33" s="976">
        <v>315.2</v>
      </c>
      <c r="FK33" s="976">
        <v>319.39999999999998</v>
      </c>
      <c r="FL33" s="976">
        <v>327.2</v>
      </c>
      <c r="FM33" s="976">
        <v>329.9</v>
      </c>
      <c r="FN33" s="976">
        <v>330.1</v>
      </c>
      <c r="FO33" s="976">
        <v>337</v>
      </c>
      <c r="FP33" s="976">
        <v>346.2</v>
      </c>
      <c r="FQ33" s="976">
        <v>359.2</v>
      </c>
      <c r="FR33" s="976">
        <v>376.5</v>
      </c>
      <c r="FS33" s="976">
        <v>386.1</v>
      </c>
      <c r="FT33" s="976">
        <v>366.6</v>
      </c>
      <c r="FU33" s="976">
        <v>364.9</v>
      </c>
      <c r="FV33" s="976">
        <v>375.7</v>
      </c>
      <c r="FW33" s="976">
        <v>369.4</v>
      </c>
      <c r="FX33" s="976">
        <v>385.3</v>
      </c>
      <c r="FY33" s="976">
        <v>393</v>
      </c>
      <c r="FZ33" s="976">
        <v>395.4</v>
      </c>
      <c r="GA33" s="976">
        <v>415.3</v>
      </c>
      <c r="GB33" s="976">
        <v>406.5</v>
      </c>
      <c r="GC33" s="976">
        <v>412.3</v>
      </c>
      <c r="GD33" s="976">
        <v>398.3</v>
      </c>
      <c r="GE33" s="976">
        <v>408.4</v>
      </c>
      <c r="GF33" s="976">
        <v>417.2</v>
      </c>
      <c r="GG33" s="976">
        <v>415.8</v>
      </c>
      <c r="GH33" s="976">
        <v>420</v>
      </c>
      <c r="GI33" s="976">
        <v>403.9</v>
      </c>
      <c r="GJ33" s="976">
        <v>427.3</v>
      </c>
      <c r="GK33" s="976">
        <v>477</v>
      </c>
      <c r="GL33" s="976">
        <v>487</v>
      </c>
      <c r="GM33" s="976">
        <v>455.5</v>
      </c>
      <c r="GN33" s="976">
        <v>472.2</v>
      </c>
      <c r="GO33" s="976">
        <v>456.5</v>
      </c>
      <c r="GP33" s="976">
        <v>475.2</v>
      </c>
      <c r="GQ33" s="976">
        <v>519.4</v>
      </c>
      <c r="GR33" s="976">
        <v>483.9</v>
      </c>
      <c r="GS33" s="976">
        <v>480.9</v>
      </c>
      <c r="GT33" s="976">
        <v>495.8</v>
      </c>
      <c r="GU33" s="976">
        <v>496.4</v>
      </c>
      <c r="GV33" s="976">
        <v>506.6</v>
      </c>
      <c r="GW33" s="976">
        <v>524.5</v>
      </c>
      <c r="GX33" s="976">
        <v>555.9</v>
      </c>
    </row>
    <row r="34" spans="1:206">
      <c r="A34" s="976" t="s">
        <v>246</v>
      </c>
      <c r="B34" s="976">
        <v>70.599999999999994</v>
      </c>
      <c r="C34" s="976">
        <v>72.400000000000006</v>
      </c>
      <c r="D34" s="976">
        <v>74.3</v>
      </c>
      <c r="E34" s="976">
        <v>76</v>
      </c>
      <c r="F34" s="976">
        <v>78.3</v>
      </c>
      <c r="G34" s="976">
        <v>80.2</v>
      </c>
      <c r="H34" s="976">
        <v>82.8</v>
      </c>
      <c r="I34" s="976">
        <v>84.7</v>
      </c>
      <c r="J34" s="976">
        <v>86.4</v>
      </c>
      <c r="K34" s="976">
        <v>88.5</v>
      </c>
      <c r="L34" s="976">
        <v>90.4</v>
      </c>
      <c r="M34" s="976">
        <v>92.5</v>
      </c>
      <c r="N34" s="976">
        <v>95.1</v>
      </c>
      <c r="O34" s="976">
        <v>96.3</v>
      </c>
      <c r="P34" s="976">
        <v>98.7</v>
      </c>
      <c r="Q34" s="976">
        <v>99.6</v>
      </c>
      <c r="R34" s="976">
        <v>101</v>
      </c>
      <c r="S34" s="976">
        <v>104</v>
      </c>
      <c r="T34" s="976">
        <v>106.8</v>
      </c>
      <c r="U34" s="976">
        <v>107.5</v>
      </c>
      <c r="V34" s="976">
        <v>109</v>
      </c>
      <c r="W34" s="976">
        <v>111.7</v>
      </c>
      <c r="X34" s="976">
        <v>114.9</v>
      </c>
      <c r="Y34" s="976">
        <v>117.3</v>
      </c>
      <c r="Z34" s="976">
        <v>120.9</v>
      </c>
      <c r="AA34" s="976">
        <v>123.5</v>
      </c>
      <c r="AB34" s="976">
        <v>126</v>
      </c>
      <c r="AC34" s="976">
        <v>129.6</v>
      </c>
      <c r="AD34" s="976">
        <v>132.9</v>
      </c>
      <c r="AE34" s="976">
        <v>135.5</v>
      </c>
      <c r="AF34" s="976">
        <v>138.30000000000001</v>
      </c>
      <c r="AG34" s="976">
        <v>141.1</v>
      </c>
      <c r="AH34" s="976">
        <v>143</v>
      </c>
      <c r="AI34" s="976">
        <v>147.69999999999999</v>
      </c>
      <c r="AJ34" s="976">
        <v>144.19999999999999</v>
      </c>
      <c r="AK34" s="976">
        <v>147.6</v>
      </c>
      <c r="AL34" s="976">
        <v>150.6</v>
      </c>
      <c r="AM34" s="976">
        <v>152.6</v>
      </c>
      <c r="AN34" s="976">
        <v>155.6</v>
      </c>
      <c r="AO34" s="976">
        <v>159</v>
      </c>
      <c r="AP34" s="976">
        <v>161.9</v>
      </c>
      <c r="AQ34" s="976">
        <v>163.30000000000001</v>
      </c>
      <c r="AR34" s="976">
        <v>168.2</v>
      </c>
      <c r="AS34" s="976">
        <v>173.3</v>
      </c>
      <c r="AT34" s="976">
        <v>180.2</v>
      </c>
      <c r="AU34" s="976">
        <v>183.7</v>
      </c>
      <c r="AV34" s="976">
        <v>188.3</v>
      </c>
      <c r="AW34" s="976">
        <v>190.7</v>
      </c>
      <c r="AX34" s="976">
        <v>193.9</v>
      </c>
      <c r="AY34" s="976">
        <v>198.3</v>
      </c>
      <c r="AZ34" s="976">
        <v>201.7</v>
      </c>
      <c r="BA34" s="976">
        <v>206</v>
      </c>
      <c r="BB34" s="976">
        <v>209.6</v>
      </c>
      <c r="BC34" s="976">
        <v>216</v>
      </c>
      <c r="BD34" s="976">
        <v>222</v>
      </c>
      <c r="BE34" s="976">
        <v>228</v>
      </c>
      <c r="BF34" s="976">
        <v>234.7</v>
      </c>
      <c r="BG34" s="976">
        <v>240.3</v>
      </c>
      <c r="BH34" s="976">
        <v>244.7</v>
      </c>
      <c r="BI34" s="976">
        <v>250.2</v>
      </c>
      <c r="BJ34" s="976">
        <v>254.7</v>
      </c>
      <c r="BK34" s="976">
        <v>260</v>
      </c>
      <c r="BL34" s="976">
        <v>265.10000000000002</v>
      </c>
      <c r="BM34" s="976">
        <v>268.5</v>
      </c>
      <c r="BN34" s="976">
        <v>273</v>
      </c>
      <c r="BO34" s="976">
        <v>276.60000000000002</v>
      </c>
      <c r="BP34" s="976">
        <v>282.3</v>
      </c>
      <c r="BQ34" s="976">
        <v>286.8</v>
      </c>
      <c r="BR34" s="976">
        <v>291.89999999999998</v>
      </c>
      <c r="BS34" s="976">
        <v>298.5</v>
      </c>
      <c r="BT34" s="976">
        <v>306</v>
      </c>
      <c r="BU34" s="976">
        <v>310</v>
      </c>
      <c r="BV34" s="976">
        <v>315.7</v>
      </c>
      <c r="BW34" s="976">
        <v>323.2</v>
      </c>
      <c r="BX34" s="976">
        <v>327.3</v>
      </c>
      <c r="BY34" s="976">
        <v>332.4</v>
      </c>
      <c r="BZ34" s="976">
        <v>340.2</v>
      </c>
      <c r="CA34" s="976">
        <v>348.2</v>
      </c>
      <c r="CB34" s="976">
        <v>353.9</v>
      </c>
      <c r="CC34" s="976">
        <v>354.2</v>
      </c>
      <c r="CD34" s="976">
        <v>369.3</v>
      </c>
      <c r="CE34" s="976">
        <v>368.7</v>
      </c>
      <c r="CF34" s="976">
        <v>375.6</v>
      </c>
      <c r="CG34" s="976">
        <v>382.7</v>
      </c>
      <c r="CH34" s="976">
        <v>384.3</v>
      </c>
      <c r="CI34" s="976">
        <v>390.2</v>
      </c>
      <c r="CJ34" s="976">
        <v>399.4</v>
      </c>
      <c r="CK34" s="976">
        <v>407.3</v>
      </c>
      <c r="CL34" s="976">
        <v>412.8</v>
      </c>
      <c r="CM34" s="976">
        <v>418.2</v>
      </c>
      <c r="CN34" s="976">
        <v>424.1</v>
      </c>
      <c r="CO34" s="976">
        <v>425.3</v>
      </c>
      <c r="CP34" s="976">
        <v>427.5</v>
      </c>
      <c r="CQ34" s="976">
        <v>432.8</v>
      </c>
      <c r="CR34" s="976">
        <v>439.5</v>
      </c>
      <c r="CS34" s="976">
        <v>447.2</v>
      </c>
      <c r="CT34" s="976">
        <v>456</v>
      </c>
      <c r="CU34" s="976">
        <v>465.8</v>
      </c>
      <c r="CV34" s="976">
        <v>470</v>
      </c>
      <c r="CW34" s="976">
        <v>473.3</v>
      </c>
      <c r="CX34" s="976">
        <v>478.8</v>
      </c>
      <c r="CY34" s="976">
        <v>477.9</v>
      </c>
      <c r="CZ34" s="976">
        <v>483.5</v>
      </c>
      <c r="DA34" s="976">
        <v>489.3</v>
      </c>
      <c r="DB34" s="976">
        <v>497.8</v>
      </c>
      <c r="DC34" s="976">
        <v>506.5</v>
      </c>
      <c r="DD34" s="976">
        <v>510.1</v>
      </c>
      <c r="DE34" s="976">
        <v>517.29999999999995</v>
      </c>
      <c r="DF34" s="976">
        <v>523.79999999999995</v>
      </c>
      <c r="DG34" s="976">
        <v>530.70000000000005</v>
      </c>
      <c r="DH34" s="976">
        <v>536.6</v>
      </c>
      <c r="DI34" s="976">
        <v>544</v>
      </c>
      <c r="DJ34" s="976">
        <v>549.6</v>
      </c>
      <c r="DK34" s="976">
        <v>555.4</v>
      </c>
      <c r="DL34" s="976">
        <v>561.6</v>
      </c>
      <c r="DM34" s="976">
        <v>568.6</v>
      </c>
      <c r="DN34" s="976">
        <v>576.20000000000005</v>
      </c>
      <c r="DO34" s="976">
        <v>585.4</v>
      </c>
      <c r="DP34" s="976">
        <v>595.20000000000005</v>
      </c>
      <c r="DQ34" s="976">
        <v>603.70000000000005</v>
      </c>
      <c r="DR34" s="976">
        <v>612.4</v>
      </c>
      <c r="DS34" s="976">
        <v>618.9</v>
      </c>
      <c r="DT34" s="976">
        <v>623.70000000000005</v>
      </c>
      <c r="DU34" s="976">
        <v>630.1</v>
      </c>
      <c r="DV34" s="976">
        <v>637.1</v>
      </c>
      <c r="DW34" s="976">
        <v>637.79999999999995</v>
      </c>
      <c r="DX34" s="976">
        <v>641.70000000000005</v>
      </c>
      <c r="DY34" s="976">
        <v>653</v>
      </c>
      <c r="DZ34" s="976">
        <v>659.3</v>
      </c>
      <c r="EA34" s="976">
        <v>664</v>
      </c>
      <c r="EB34" s="976">
        <v>680.5</v>
      </c>
      <c r="EC34" s="976">
        <v>689</v>
      </c>
      <c r="ED34" s="976">
        <v>698.5</v>
      </c>
      <c r="EE34" s="976">
        <v>709.9</v>
      </c>
      <c r="EF34" s="976">
        <v>723.4</v>
      </c>
      <c r="EG34" s="976">
        <v>729.8</v>
      </c>
      <c r="EH34" s="976">
        <v>753.2</v>
      </c>
      <c r="EI34" s="976">
        <v>765.1</v>
      </c>
      <c r="EJ34" s="976">
        <v>775.4</v>
      </c>
      <c r="EK34" s="976">
        <v>797.6</v>
      </c>
      <c r="EL34" s="976">
        <v>817.9</v>
      </c>
      <c r="EM34" s="976">
        <v>835.9</v>
      </c>
      <c r="EN34" s="976">
        <v>851.8</v>
      </c>
      <c r="EO34" s="976">
        <v>866.6</v>
      </c>
      <c r="EP34" s="976">
        <v>882.7</v>
      </c>
      <c r="EQ34" s="976">
        <v>892.2</v>
      </c>
      <c r="ER34" s="976">
        <v>903.9</v>
      </c>
      <c r="ES34" s="976">
        <v>912.4</v>
      </c>
      <c r="ET34" s="976">
        <v>931.9</v>
      </c>
      <c r="EU34" s="976">
        <v>939.4</v>
      </c>
      <c r="EV34" s="976">
        <v>940.4</v>
      </c>
      <c r="EW34" s="976">
        <v>957.1</v>
      </c>
      <c r="EX34" s="976">
        <v>952.5</v>
      </c>
      <c r="EY34" s="976">
        <v>959.4</v>
      </c>
      <c r="EZ34" s="976">
        <v>964.8</v>
      </c>
      <c r="FA34" s="976">
        <v>946.3</v>
      </c>
      <c r="FB34" s="976">
        <v>929.2</v>
      </c>
      <c r="FC34" s="976">
        <v>923</v>
      </c>
      <c r="FD34" s="976">
        <v>937.4</v>
      </c>
      <c r="FE34" s="976">
        <v>952.1</v>
      </c>
      <c r="FF34" s="976">
        <v>951.6</v>
      </c>
      <c r="FG34" s="976">
        <v>965.7</v>
      </c>
      <c r="FH34" s="976">
        <v>970.1</v>
      </c>
      <c r="FI34" s="976">
        <v>977.7</v>
      </c>
      <c r="FJ34" s="976">
        <v>986.8</v>
      </c>
      <c r="FK34" s="976">
        <v>996.4</v>
      </c>
      <c r="FL34" s="976">
        <v>994.5</v>
      </c>
      <c r="FM34" s="976">
        <v>1002.7</v>
      </c>
      <c r="FN34" s="976">
        <v>1016.9</v>
      </c>
      <c r="FO34" s="976">
        <v>1019.5</v>
      </c>
      <c r="FP34" s="976">
        <v>1016.6</v>
      </c>
      <c r="FQ34" s="976">
        <v>1030.8</v>
      </c>
      <c r="FR34" s="976">
        <v>1052.3</v>
      </c>
      <c r="FS34" s="976">
        <v>1056.4000000000001</v>
      </c>
      <c r="FT34" s="976">
        <v>1068.7</v>
      </c>
      <c r="FU34" s="976">
        <v>1075.3</v>
      </c>
      <c r="FV34" s="976">
        <v>1083.9000000000001</v>
      </c>
      <c r="FW34" s="976">
        <v>1102.2</v>
      </c>
      <c r="FX34" s="976">
        <v>1111.4000000000001</v>
      </c>
      <c r="FY34" s="976">
        <v>1120.5999999999999</v>
      </c>
      <c r="FZ34" s="976">
        <v>1122.3</v>
      </c>
      <c r="GA34" s="976">
        <v>1129.5999999999999</v>
      </c>
      <c r="GB34" s="976">
        <v>1139.4000000000001</v>
      </c>
      <c r="GC34" s="976">
        <v>1148.2</v>
      </c>
      <c r="GD34" s="976">
        <v>1157.7</v>
      </c>
      <c r="GE34" s="976">
        <v>1166</v>
      </c>
      <c r="GF34" s="976">
        <v>1184.5</v>
      </c>
      <c r="GG34" s="976">
        <v>1193.0999999999999</v>
      </c>
      <c r="GH34" s="976">
        <v>1212.9000000000001</v>
      </c>
      <c r="GI34" s="976">
        <v>1226.2</v>
      </c>
      <c r="GJ34" s="976">
        <v>1237.5</v>
      </c>
      <c r="GK34" s="976">
        <v>1255.5</v>
      </c>
      <c r="GL34" s="976">
        <v>1268.2</v>
      </c>
      <c r="GM34" s="976">
        <v>1277.8</v>
      </c>
      <c r="GN34" s="976">
        <v>1286.5999999999999</v>
      </c>
      <c r="GO34" s="976">
        <v>1295.5</v>
      </c>
      <c r="GP34" s="976">
        <v>1301.5999999999999</v>
      </c>
      <c r="GQ34" s="976">
        <v>1312.4</v>
      </c>
      <c r="GR34" s="976">
        <v>1326.5</v>
      </c>
      <c r="GS34" s="976">
        <v>1330.4</v>
      </c>
      <c r="GT34" s="976">
        <v>1346.2</v>
      </c>
      <c r="GU34" s="976">
        <v>1264.3</v>
      </c>
      <c r="GV34" s="976">
        <v>1344.5</v>
      </c>
      <c r="GW34" s="976">
        <v>1360.8</v>
      </c>
      <c r="GX34" s="976">
        <v>1372.1</v>
      </c>
    </row>
    <row r="35" spans="1:206">
      <c r="A35" s="976" t="s">
        <v>247</v>
      </c>
      <c r="B35" s="976">
        <v>3.8</v>
      </c>
      <c r="C35" s="976">
        <v>3.7</v>
      </c>
      <c r="D35" s="976">
        <v>3.8</v>
      </c>
      <c r="E35" s="976">
        <v>3.6</v>
      </c>
      <c r="F35" s="976">
        <v>4.0999999999999996</v>
      </c>
      <c r="G35" s="976">
        <v>4.2</v>
      </c>
      <c r="H35" s="976">
        <v>4.4000000000000004</v>
      </c>
      <c r="I35" s="976">
        <v>4.5</v>
      </c>
      <c r="J35" s="976">
        <v>5</v>
      </c>
      <c r="K35" s="976">
        <v>5</v>
      </c>
      <c r="L35" s="976">
        <v>5.2</v>
      </c>
      <c r="M35" s="976">
        <v>5.7</v>
      </c>
      <c r="N35" s="976">
        <v>6</v>
      </c>
      <c r="O35" s="976">
        <v>6.1</v>
      </c>
      <c r="P35" s="976">
        <v>5.9</v>
      </c>
      <c r="Q35" s="976">
        <v>6.1</v>
      </c>
      <c r="R35" s="976">
        <v>6.3</v>
      </c>
      <c r="S35" s="976">
        <v>6.6</v>
      </c>
      <c r="T35" s="976">
        <v>7.3</v>
      </c>
      <c r="U35" s="976">
        <v>6.5</v>
      </c>
      <c r="V35" s="976">
        <v>6.1</v>
      </c>
      <c r="W35" s="976">
        <v>6.6</v>
      </c>
      <c r="X35" s="976">
        <v>8.1999999999999993</v>
      </c>
      <c r="Y35" s="976">
        <v>8.4</v>
      </c>
      <c r="Z35" s="976">
        <v>9.6999999999999993</v>
      </c>
      <c r="AA35" s="976">
        <v>9.6</v>
      </c>
      <c r="AB35" s="976">
        <v>9.6999999999999993</v>
      </c>
      <c r="AC35" s="976">
        <v>9.6</v>
      </c>
      <c r="AD35" s="976">
        <v>10.5</v>
      </c>
      <c r="AE35" s="976">
        <v>11.4</v>
      </c>
      <c r="AF35" s="976">
        <v>11.8</v>
      </c>
      <c r="AG35" s="976">
        <v>12</v>
      </c>
      <c r="AH35" s="976">
        <v>10.5</v>
      </c>
      <c r="AI35" s="976">
        <v>12.4</v>
      </c>
      <c r="AJ35" s="976">
        <v>12.5</v>
      </c>
      <c r="AK35" s="976">
        <v>13.1</v>
      </c>
      <c r="AL35" s="976">
        <v>13.7</v>
      </c>
      <c r="AM35" s="976">
        <v>13.8</v>
      </c>
      <c r="AN35" s="976">
        <v>13.6</v>
      </c>
      <c r="AO35" s="976">
        <v>13.2</v>
      </c>
      <c r="AP35" s="976">
        <v>16.100000000000001</v>
      </c>
      <c r="AQ35" s="976">
        <v>12.8</v>
      </c>
      <c r="AR35" s="976">
        <v>14</v>
      </c>
      <c r="AS35" s="976">
        <v>15.1</v>
      </c>
      <c r="AT35" s="976">
        <v>16.8</v>
      </c>
      <c r="AU35" s="976">
        <v>15.2</v>
      </c>
      <c r="AV35" s="976">
        <v>15.7</v>
      </c>
      <c r="AW35" s="976">
        <v>14.1</v>
      </c>
      <c r="AX35" s="976">
        <v>14.1</v>
      </c>
      <c r="AY35" s="976">
        <v>14.3</v>
      </c>
      <c r="AZ35" s="976">
        <v>14.4</v>
      </c>
      <c r="BA35" s="976">
        <v>13.3</v>
      </c>
      <c r="BB35" s="976">
        <v>12.8</v>
      </c>
      <c r="BC35" s="976">
        <v>15.7</v>
      </c>
      <c r="BD35" s="976">
        <v>17.399999999999999</v>
      </c>
      <c r="BE35" s="976">
        <v>17.7</v>
      </c>
      <c r="BF35" s="976">
        <v>20.100000000000001</v>
      </c>
      <c r="BG35" s="976">
        <v>19.899999999999999</v>
      </c>
      <c r="BH35" s="976">
        <v>17.5</v>
      </c>
      <c r="BI35" s="976">
        <v>17.7</v>
      </c>
      <c r="BJ35" s="976">
        <v>20</v>
      </c>
      <c r="BK35" s="976">
        <v>19.600000000000001</v>
      </c>
      <c r="BL35" s="976">
        <v>20.9</v>
      </c>
      <c r="BM35" s="976">
        <v>20.5</v>
      </c>
      <c r="BN35" s="976">
        <v>21.4</v>
      </c>
      <c r="BO35" s="976">
        <v>22</v>
      </c>
      <c r="BP35" s="976">
        <v>22.4</v>
      </c>
      <c r="BQ35" s="976">
        <v>24.8</v>
      </c>
      <c r="BR35" s="976">
        <v>22.7</v>
      </c>
      <c r="BS35" s="976">
        <v>24.5</v>
      </c>
      <c r="BT35" s="976">
        <v>24.8</v>
      </c>
      <c r="BU35" s="976">
        <v>23.6</v>
      </c>
      <c r="BV35" s="976">
        <v>23.4</v>
      </c>
      <c r="BW35" s="976">
        <v>25.2</v>
      </c>
      <c r="BX35" s="976">
        <v>27.3</v>
      </c>
      <c r="BY35" s="976">
        <v>28.2</v>
      </c>
      <c r="BZ35" s="976">
        <v>27.8</v>
      </c>
      <c r="CA35" s="976">
        <v>24.2</v>
      </c>
      <c r="CB35" s="976">
        <v>22.8</v>
      </c>
      <c r="CC35" s="976">
        <v>22.1</v>
      </c>
      <c r="CD35" s="976">
        <v>21.4</v>
      </c>
      <c r="CE35" s="976">
        <v>22.1</v>
      </c>
      <c r="CF35" s="976">
        <v>23</v>
      </c>
      <c r="CG35" s="976">
        <v>23.4</v>
      </c>
      <c r="CH35" s="976">
        <v>23.8</v>
      </c>
      <c r="CI35" s="976">
        <v>23.4</v>
      </c>
      <c r="CJ35" s="976">
        <v>23.7</v>
      </c>
      <c r="CK35" s="976">
        <v>23.6</v>
      </c>
      <c r="CL35" s="976">
        <v>25.2</v>
      </c>
      <c r="CM35" s="976">
        <v>24.7</v>
      </c>
      <c r="CN35" s="976">
        <v>23.2</v>
      </c>
      <c r="CO35" s="976">
        <v>24.4</v>
      </c>
      <c r="CP35" s="976">
        <v>24.8</v>
      </c>
      <c r="CQ35" s="976">
        <v>26.8</v>
      </c>
      <c r="CR35" s="976">
        <v>25.2</v>
      </c>
      <c r="CS35" s="976">
        <v>30.8</v>
      </c>
      <c r="CT35" s="976">
        <v>27.1</v>
      </c>
      <c r="CU35" s="976">
        <v>28.7</v>
      </c>
      <c r="CV35" s="976">
        <v>31.4</v>
      </c>
      <c r="CW35" s="976">
        <v>32.700000000000003</v>
      </c>
      <c r="CX35" s="976">
        <v>32.5</v>
      </c>
      <c r="CY35" s="976">
        <v>31.3</v>
      </c>
      <c r="CZ35" s="976">
        <v>31.9</v>
      </c>
      <c r="DA35" s="976">
        <v>30.9</v>
      </c>
      <c r="DB35" s="976">
        <v>31.9</v>
      </c>
      <c r="DC35" s="976">
        <v>33.5</v>
      </c>
      <c r="DD35" s="976">
        <v>33.299999999999997</v>
      </c>
      <c r="DE35" s="976">
        <v>33.4</v>
      </c>
      <c r="DF35" s="976">
        <v>33.1</v>
      </c>
      <c r="DG35" s="976">
        <v>33.6</v>
      </c>
      <c r="DH35" s="976">
        <v>35.5</v>
      </c>
      <c r="DI35" s="976">
        <v>34.4</v>
      </c>
      <c r="DJ35" s="976">
        <v>34.700000000000003</v>
      </c>
      <c r="DK35" s="976">
        <v>34.5</v>
      </c>
      <c r="DL35" s="976">
        <v>35.700000000000003</v>
      </c>
      <c r="DM35" s="976">
        <v>34.799999999999997</v>
      </c>
      <c r="DN35" s="976">
        <v>36.299999999999997</v>
      </c>
      <c r="DO35" s="976">
        <v>35.5</v>
      </c>
      <c r="DP35" s="976">
        <v>35.6</v>
      </c>
      <c r="DQ35" s="976">
        <v>35.9</v>
      </c>
      <c r="DR35" s="976">
        <v>37.200000000000003</v>
      </c>
      <c r="DS35" s="976">
        <v>36.5</v>
      </c>
      <c r="DT35" s="976">
        <v>33.5</v>
      </c>
      <c r="DU35" s="976">
        <v>33.700000000000003</v>
      </c>
      <c r="DV35" s="976">
        <v>30.1</v>
      </c>
      <c r="DW35" s="976">
        <v>30.4</v>
      </c>
      <c r="DX35" s="976">
        <v>28.3</v>
      </c>
      <c r="DY35" s="976">
        <v>26.6</v>
      </c>
      <c r="DZ35" s="976">
        <v>28.3</v>
      </c>
      <c r="EA35" s="976">
        <v>30.2</v>
      </c>
      <c r="EB35" s="976">
        <v>31.5</v>
      </c>
      <c r="EC35" s="976">
        <v>33.5</v>
      </c>
      <c r="ED35" s="976">
        <v>34.5</v>
      </c>
      <c r="EE35" s="976">
        <v>31.7</v>
      </c>
      <c r="EF35" s="976">
        <v>33.6</v>
      </c>
      <c r="EG35" s="976">
        <v>36.200000000000003</v>
      </c>
      <c r="EH35" s="976">
        <v>37.799999999999997</v>
      </c>
      <c r="EI35" s="976">
        <v>40.799999999999997</v>
      </c>
      <c r="EJ35" s="976">
        <v>43.9</v>
      </c>
      <c r="EK35" s="976">
        <v>44.3</v>
      </c>
      <c r="EL35" s="976">
        <v>55.3</v>
      </c>
      <c r="EM35" s="976">
        <v>53</v>
      </c>
      <c r="EN35" s="976">
        <v>53.3</v>
      </c>
      <c r="EO35" s="976">
        <v>58.2</v>
      </c>
      <c r="EP35" s="976">
        <v>59.6</v>
      </c>
      <c r="EQ35" s="976">
        <v>60.3</v>
      </c>
      <c r="ER35" s="976">
        <v>61.8</v>
      </c>
      <c r="ES35" s="976">
        <v>55.2</v>
      </c>
      <c r="ET35" s="976">
        <v>59.2</v>
      </c>
      <c r="EU35" s="976">
        <v>59.4</v>
      </c>
      <c r="EV35" s="976">
        <v>56.3</v>
      </c>
      <c r="EW35" s="976">
        <v>56.6</v>
      </c>
      <c r="EX35" s="976">
        <v>50.2</v>
      </c>
      <c r="EY35" s="976">
        <v>51.6</v>
      </c>
      <c r="EZ35" s="976">
        <v>52.8</v>
      </c>
      <c r="FA35" s="976">
        <v>35.1</v>
      </c>
      <c r="FB35" s="976">
        <v>43.7</v>
      </c>
      <c r="FC35" s="976">
        <v>49.6</v>
      </c>
      <c r="FD35" s="976">
        <v>41.3</v>
      </c>
      <c r="FE35" s="976">
        <v>43.4</v>
      </c>
      <c r="FF35" s="976">
        <v>45.1</v>
      </c>
      <c r="FG35" s="976">
        <v>43.4</v>
      </c>
      <c r="FH35" s="976">
        <v>45.5</v>
      </c>
      <c r="FI35" s="976">
        <v>50.4</v>
      </c>
      <c r="FJ35" s="976">
        <v>48.4</v>
      </c>
      <c r="FK35" s="976">
        <v>49.8</v>
      </c>
      <c r="FL35" s="976">
        <v>46.4</v>
      </c>
      <c r="FM35" s="976">
        <v>49</v>
      </c>
      <c r="FN35" s="976">
        <v>49.2</v>
      </c>
      <c r="FO35" s="976">
        <v>49.5</v>
      </c>
      <c r="FP35" s="976">
        <v>52.1</v>
      </c>
      <c r="FQ35" s="976">
        <v>51.9</v>
      </c>
      <c r="FR35" s="976">
        <v>53.8</v>
      </c>
      <c r="FS35" s="976">
        <v>54.1</v>
      </c>
      <c r="FT35" s="976">
        <v>53.1</v>
      </c>
      <c r="FU35" s="976">
        <v>54.6</v>
      </c>
      <c r="FV35" s="976">
        <v>56.4</v>
      </c>
      <c r="FW35" s="976">
        <v>55.1</v>
      </c>
      <c r="FX35" s="976">
        <v>57</v>
      </c>
      <c r="FY35" s="976">
        <v>57.7</v>
      </c>
      <c r="FZ35" s="976">
        <v>57.6</v>
      </c>
      <c r="GA35" s="976">
        <v>57.5</v>
      </c>
      <c r="GB35" s="976">
        <v>55.8</v>
      </c>
      <c r="GC35" s="976">
        <v>54.1</v>
      </c>
      <c r="GD35" s="976">
        <v>53.7</v>
      </c>
      <c r="GE35" s="976">
        <v>52.6</v>
      </c>
      <c r="GF35" s="976">
        <v>53.1</v>
      </c>
      <c r="GG35" s="976">
        <v>54.1</v>
      </c>
      <c r="GH35" s="976">
        <v>54.3</v>
      </c>
      <c r="GI35" s="976">
        <v>52.9</v>
      </c>
      <c r="GJ35" s="976">
        <v>54.1</v>
      </c>
      <c r="GK35" s="976">
        <v>55.4</v>
      </c>
      <c r="GL35" s="976">
        <v>55.4</v>
      </c>
      <c r="GM35" s="976">
        <v>60.8</v>
      </c>
      <c r="GN35" s="976">
        <v>62.1</v>
      </c>
      <c r="GO35" s="976">
        <v>63.5</v>
      </c>
      <c r="GP35" s="976">
        <v>68.5</v>
      </c>
      <c r="GQ35" s="976">
        <v>68.7</v>
      </c>
      <c r="GR35" s="976">
        <v>69.8</v>
      </c>
      <c r="GS35" s="976">
        <v>71</v>
      </c>
      <c r="GT35" s="976">
        <v>62.7</v>
      </c>
      <c r="GU35" s="976">
        <v>54.2</v>
      </c>
      <c r="GV35" s="976">
        <v>90.2</v>
      </c>
      <c r="GW35" s="976">
        <v>95.9</v>
      </c>
      <c r="GX35" s="976">
        <v>101.2</v>
      </c>
    </row>
    <row r="36" spans="1:206">
      <c r="A36" s="976" t="s">
        <v>248</v>
      </c>
      <c r="B36" s="976">
        <v>1.1000000000000001</v>
      </c>
      <c r="C36" s="976">
        <v>1.1000000000000001</v>
      </c>
      <c r="D36" s="976">
        <v>1.1000000000000001</v>
      </c>
      <c r="E36" s="976">
        <v>1.1000000000000001</v>
      </c>
      <c r="F36" s="976">
        <v>1.1000000000000001</v>
      </c>
      <c r="G36" s="976">
        <v>1.2</v>
      </c>
      <c r="H36" s="976">
        <v>1.2</v>
      </c>
      <c r="I36" s="976">
        <v>1.2</v>
      </c>
      <c r="J36" s="976">
        <v>1.3</v>
      </c>
      <c r="K36" s="976">
        <v>1.3</v>
      </c>
      <c r="L36" s="976">
        <v>1.3</v>
      </c>
      <c r="M36" s="976">
        <v>1.4</v>
      </c>
      <c r="N36" s="976">
        <v>1.4</v>
      </c>
      <c r="O36" s="976">
        <v>1.5</v>
      </c>
      <c r="P36" s="976">
        <v>1.5</v>
      </c>
      <c r="Q36" s="976">
        <v>1.6</v>
      </c>
      <c r="R36" s="976">
        <v>1.6</v>
      </c>
      <c r="S36" s="976">
        <v>1.6</v>
      </c>
      <c r="T36" s="976">
        <v>1.7</v>
      </c>
      <c r="U36" s="976">
        <v>1.7</v>
      </c>
      <c r="V36" s="976">
        <v>1.8</v>
      </c>
      <c r="W36" s="976">
        <v>1.8</v>
      </c>
      <c r="X36" s="976">
        <v>1.9</v>
      </c>
      <c r="Y36" s="976">
        <v>2</v>
      </c>
      <c r="Z36" s="976">
        <v>2</v>
      </c>
      <c r="AA36" s="976">
        <v>2.1</v>
      </c>
      <c r="AB36" s="976">
        <v>2.2000000000000002</v>
      </c>
      <c r="AC36" s="976">
        <v>2.2999999999999998</v>
      </c>
      <c r="AD36" s="976">
        <v>2.5</v>
      </c>
      <c r="AE36" s="976">
        <v>2.7</v>
      </c>
      <c r="AF36" s="976">
        <v>2.9</v>
      </c>
      <c r="AG36" s="976">
        <v>3</v>
      </c>
      <c r="AH36" s="976">
        <v>3.2</v>
      </c>
      <c r="AI36" s="976">
        <v>3.3</v>
      </c>
      <c r="AJ36" s="976">
        <v>3.5</v>
      </c>
      <c r="AK36" s="976">
        <v>3.6</v>
      </c>
      <c r="AL36" s="976">
        <v>3.8</v>
      </c>
      <c r="AM36" s="976">
        <v>3.9</v>
      </c>
      <c r="AN36" s="976">
        <v>3.9</v>
      </c>
      <c r="AO36" s="976">
        <v>4</v>
      </c>
      <c r="AP36" s="976">
        <v>3.6</v>
      </c>
      <c r="AQ36" s="976">
        <v>2.9</v>
      </c>
      <c r="AR36" s="976">
        <v>3.8</v>
      </c>
      <c r="AS36" s="976">
        <v>4</v>
      </c>
      <c r="AT36" s="976">
        <v>3.7</v>
      </c>
      <c r="AU36" s="976">
        <v>3.8</v>
      </c>
      <c r="AV36" s="976">
        <v>3.9</v>
      </c>
      <c r="AW36" s="976">
        <v>4</v>
      </c>
      <c r="AX36" s="976">
        <v>4</v>
      </c>
      <c r="AY36" s="976">
        <v>4</v>
      </c>
      <c r="AZ36" s="976">
        <v>4.0999999999999996</v>
      </c>
      <c r="BA36" s="976">
        <v>4.0999999999999996</v>
      </c>
      <c r="BB36" s="976">
        <v>4</v>
      </c>
      <c r="BC36" s="976">
        <v>4.0999999999999996</v>
      </c>
      <c r="BD36" s="976">
        <v>4.0999999999999996</v>
      </c>
      <c r="BE36" s="976">
        <v>4.3</v>
      </c>
      <c r="BF36" s="976">
        <v>4.5</v>
      </c>
      <c r="BG36" s="976">
        <v>4.7</v>
      </c>
      <c r="BH36" s="976">
        <v>4.8</v>
      </c>
      <c r="BI36" s="976">
        <v>4.8</v>
      </c>
      <c r="BJ36" s="976">
        <v>4.7</v>
      </c>
      <c r="BK36" s="976">
        <v>4.8</v>
      </c>
      <c r="BL36" s="976">
        <v>4.9000000000000004</v>
      </c>
      <c r="BM36" s="976">
        <v>5.2</v>
      </c>
      <c r="BN36" s="976">
        <v>5.5</v>
      </c>
      <c r="BO36" s="976">
        <v>5.8</v>
      </c>
      <c r="BP36" s="976">
        <v>6.1</v>
      </c>
      <c r="BQ36" s="976">
        <v>6.4</v>
      </c>
      <c r="BR36" s="976">
        <v>6.7</v>
      </c>
      <c r="BS36" s="976">
        <v>7</v>
      </c>
      <c r="BT36" s="976">
        <v>7.3</v>
      </c>
      <c r="BU36" s="976">
        <v>7.7</v>
      </c>
      <c r="BV36" s="976">
        <v>8</v>
      </c>
      <c r="BW36" s="976">
        <v>8.3000000000000007</v>
      </c>
      <c r="BX36" s="976">
        <v>8.5</v>
      </c>
      <c r="BY36" s="976">
        <v>8.6999999999999993</v>
      </c>
      <c r="BZ36" s="976">
        <v>8.8000000000000007</v>
      </c>
      <c r="CA36" s="976">
        <v>8.9</v>
      </c>
      <c r="CB36" s="976">
        <v>9</v>
      </c>
      <c r="CC36" s="976">
        <v>9.3000000000000007</v>
      </c>
      <c r="CD36" s="976">
        <v>9.5</v>
      </c>
      <c r="CE36" s="976">
        <v>9.9</v>
      </c>
      <c r="CF36" s="976">
        <v>10.199999999999999</v>
      </c>
      <c r="CG36" s="976">
        <v>10.5</v>
      </c>
      <c r="CH36" s="976">
        <v>11</v>
      </c>
      <c r="CI36" s="976">
        <v>11.4</v>
      </c>
      <c r="CJ36" s="976">
        <v>11.8</v>
      </c>
      <c r="CK36" s="976">
        <v>12.2</v>
      </c>
      <c r="CL36" s="976">
        <v>12.6</v>
      </c>
      <c r="CM36" s="976">
        <v>13</v>
      </c>
      <c r="CN36" s="976">
        <v>13.3</v>
      </c>
      <c r="CO36" s="976">
        <v>13.6</v>
      </c>
      <c r="CP36" s="976">
        <v>13.8</v>
      </c>
      <c r="CQ36" s="976">
        <v>14.1</v>
      </c>
      <c r="CR36" s="976">
        <v>14.2</v>
      </c>
      <c r="CS36" s="976">
        <v>14.4</v>
      </c>
      <c r="CT36" s="976">
        <v>14.6</v>
      </c>
      <c r="CU36" s="976">
        <v>14.6</v>
      </c>
      <c r="CV36" s="976">
        <v>14.5</v>
      </c>
      <c r="CW36" s="976">
        <v>14.4</v>
      </c>
      <c r="CX36" s="976">
        <v>14</v>
      </c>
      <c r="CY36" s="976">
        <v>13.7</v>
      </c>
      <c r="CZ36" s="976">
        <v>13.5</v>
      </c>
      <c r="DA36" s="976">
        <v>13.2</v>
      </c>
      <c r="DB36" s="976">
        <v>13</v>
      </c>
      <c r="DC36" s="976">
        <v>12.7</v>
      </c>
      <c r="DD36" s="976">
        <v>12.3</v>
      </c>
      <c r="DE36" s="976">
        <v>11.9</v>
      </c>
      <c r="DF36" s="976">
        <v>11.3</v>
      </c>
      <c r="DG36" s="976">
        <v>10.9</v>
      </c>
      <c r="DH36" s="976">
        <v>10.6</v>
      </c>
      <c r="DI36" s="976">
        <v>10.5</v>
      </c>
      <c r="DJ36" s="976">
        <v>10.5</v>
      </c>
      <c r="DK36" s="976">
        <v>10.5</v>
      </c>
      <c r="DL36" s="976">
        <v>10.3</v>
      </c>
      <c r="DM36" s="976">
        <v>10.1</v>
      </c>
      <c r="DN36" s="976">
        <v>9.9</v>
      </c>
      <c r="DO36" s="976">
        <v>9.6999999999999993</v>
      </c>
      <c r="DP36" s="976">
        <v>9.6999999999999993</v>
      </c>
      <c r="DQ36" s="976">
        <v>9.8000000000000007</v>
      </c>
      <c r="DR36" s="976">
        <v>10</v>
      </c>
      <c r="DS36" s="976">
        <v>10.4</v>
      </c>
      <c r="DT36" s="976">
        <v>11</v>
      </c>
      <c r="DU36" s="976">
        <v>11.8</v>
      </c>
      <c r="DV36" s="976">
        <v>12.7</v>
      </c>
      <c r="DW36" s="976">
        <v>13.5</v>
      </c>
      <c r="DX36" s="976">
        <v>14.1</v>
      </c>
      <c r="DY36" s="976">
        <v>14.5</v>
      </c>
      <c r="DZ36" s="976">
        <v>14.9</v>
      </c>
      <c r="EA36" s="976">
        <v>15.4</v>
      </c>
      <c r="EB36" s="976">
        <v>16.100000000000001</v>
      </c>
      <c r="EC36" s="976">
        <v>17</v>
      </c>
      <c r="ED36" s="976">
        <v>18</v>
      </c>
      <c r="EE36" s="976">
        <v>19.2</v>
      </c>
      <c r="EF36" s="976">
        <v>20.5</v>
      </c>
      <c r="EG36" s="976">
        <v>22</v>
      </c>
      <c r="EH36" s="976">
        <v>23.4</v>
      </c>
      <c r="EI36" s="976">
        <v>24.5</v>
      </c>
      <c r="EJ36" s="976">
        <v>25.2</v>
      </c>
      <c r="EK36" s="976">
        <v>25.5</v>
      </c>
      <c r="EL36" s="976">
        <v>25.3</v>
      </c>
      <c r="EM36" s="976">
        <v>25</v>
      </c>
      <c r="EN36" s="976">
        <v>24.4</v>
      </c>
      <c r="EO36" s="976">
        <v>23.7</v>
      </c>
      <c r="EP36" s="976">
        <v>22.8</v>
      </c>
      <c r="EQ36" s="976">
        <v>21.9</v>
      </c>
      <c r="ER36" s="976">
        <v>21</v>
      </c>
      <c r="ES36" s="976">
        <v>20.2</v>
      </c>
      <c r="ET36" s="976">
        <v>19.399999999999999</v>
      </c>
      <c r="EU36" s="976">
        <v>18.899999999999999</v>
      </c>
      <c r="EV36" s="976">
        <v>18.5</v>
      </c>
      <c r="EW36" s="976">
        <v>18.5</v>
      </c>
      <c r="EX36" s="976">
        <v>18.600000000000001</v>
      </c>
      <c r="EY36" s="976">
        <v>18.7</v>
      </c>
      <c r="EZ36" s="976">
        <v>18.7</v>
      </c>
      <c r="FA36" s="976">
        <v>18.8</v>
      </c>
      <c r="FB36" s="976">
        <v>18.8</v>
      </c>
      <c r="FC36" s="976">
        <v>18.7</v>
      </c>
      <c r="FD36" s="976">
        <v>18.5</v>
      </c>
      <c r="FE36" s="976">
        <v>18.3</v>
      </c>
      <c r="FF36" s="976">
        <v>18</v>
      </c>
      <c r="FG36" s="976">
        <v>17.7</v>
      </c>
      <c r="FH36" s="976">
        <v>17.7</v>
      </c>
      <c r="FI36" s="976">
        <v>17.7</v>
      </c>
      <c r="FJ36" s="976">
        <v>17.899999999999999</v>
      </c>
      <c r="FK36" s="976">
        <v>18</v>
      </c>
      <c r="FL36" s="976">
        <v>17.899999999999999</v>
      </c>
      <c r="FM36" s="976">
        <v>17.7</v>
      </c>
      <c r="FN36" s="976">
        <v>17.399999999999999</v>
      </c>
      <c r="FO36" s="976">
        <v>17.2</v>
      </c>
      <c r="FP36" s="976">
        <v>17.100000000000001</v>
      </c>
      <c r="FQ36" s="976">
        <v>17.100000000000001</v>
      </c>
      <c r="FR36" s="976">
        <v>17.3</v>
      </c>
      <c r="FS36" s="976">
        <v>17.5</v>
      </c>
      <c r="FT36" s="976">
        <v>17.8</v>
      </c>
      <c r="FU36" s="976">
        <v>18.100000000000001</v>
      </c>
      <c r="FV36" s="976">
        <v>18.399999999999999</v>
      </c>
      <c r="FW36" s="976">
        <v>18.7</v>
      </c>
      <c r="FX36" s="976">
        <v>18.899999999999999</v>
      </c>
      <c r="FY36" s="976">
        <v>19</v>
      </c>
      <c r="FZ36" s="976">
        <v>19</v>
      </c>
      <c r="GA36" s="976">
        <v>19.100000000000001</v>
      </c>
      <c r="GB36" s="976">
        <v>19.3</v>
      </c>
      <c r="GC36" s="976">
        <v>19.5</v>
      </c>
      <c r="GD36" s="976">
        <v>19.8</v>
      </c>
      <c r="GE36" s="976">
        <v>20</v>
      </c>
      <c r="GF36" s="976">
        <v>20.100000000000001</v>
      </c>
      <c r="GG36" s="976">
        <v>20.100000000000001</v>
      </c>
      <c r="GH36" s="976">
        <v>20</v>
      </c>
      <c r="GI36" s="976">
        <v>19.899999999999999</v>
      </c>
      <c r="GJ36" s="976">
        <v>20</v>
      </c>
      <c r="GK36" s="976">
        <v>20.2</v>
      </c>
      <c r="GL36" s="976">
        <v>20.399999999999999</v>
      </c>
      <c r="GM36" s="976">
        <v>20.8</v>
      </c>
      <c r="GN36" s="976">
        <v>21.2</v>
      </c>
      <c r="GO36" s="976">
        <v>21.6</v>
      </c>
      <c r="GP36" s="976">
        <v>22</v>
      </c>
      <c r="GQ36" s="976">
        <v>22.1</v>
      </c>
      <c r="GR36" s="976">
        <v>21.8</v>
      </c>
      <c r="GS36" s="976">
        <v>21.1</v>
      </c>
      <c r="GT36" s="976">
        <v>20.399999999999999</v>
      </c>
      <c r="GU36" s="976">
        <v>19.100000000000001</v>
      </c>
      <c r="GV36" s="976">
        <v>20.2</v>
      </c>
      <c r="GW36" s="976">
        <v>21.8</v>
      </c>
      <c r="GX36" s="976">
        <v>23.9</v>
      </c>
    </row>
    <row r="37" spans="1:206">
      <c r="A37" s="976" t="s">
        <v>249</v>
      </c>
      <c r="B37" s="976">
        <v>14.7</v>
      </c>
      <c r="C37" s="976">
        <v>15.6</v>
      </c>
      <c r="D37" s="976">
        <v>16.600000000000001</v>
      </c>
      <c r="E37" s="976">
        <v>17.5</v>
      </c>
      <c r="F37" s="976">
        <v>18.3</v>
      </c>
      <c r="G37" s="976">
        <v>19.100000000000001</v>
      </c>
      <c r="H37" s="976">
        <v>19.600000000000001</v>
      </c>
      <c r="I37" s="976">
        <v>20.3</v>
      </c>
      <c r="J37" s="976">
        <v>21.2</v>
      </c>
      <c r="K37" s="976">
        <v>21.6</v>
      </c>
      <c r="L37" s="976">
        <v>22.5</v>
      </c>
      <c r="M37" s="976">
        <v>22.5</v>
      </c>
      <c r="N37" s="976">
        <v>23.2</v>
      </c>
      <c r="O37" s="976">
        <v>24</v>
      </c>
      <c r="P37" s="976">
        <v>24.2</v>
      </c>
      <c r="Q37" s="976">
        <v>25</v>
      </c>
      <c r="R37" s="976">
        <v>23.4</v>
      </c>
      <c r="S37" s="976">
        <v>24.7</v>
      </c>
      <c r="T37" s="976">
        <v>25.9</v>
      </c>
      <c r="U37" s="976">
        <v>27.1</v>
      </c>
      <c r="V37" s="976">
        <v>29.2</v>
      </c>
      <c r="W37" s="976">
        <v>30.5</v>
      </c>
      <c r="X37" s="976">
        <v>31</v>
      </c>
      <c r="Y37" s="976">
        <v>32.6</v>
      </c>
      <c r="Z37" s="976">
        <v>33.4</v>
      </c>
      <c r="AA37" s="976">
        <v>33.4</v>
      </c>
      <c r="AB37" s="976">
        <v>34.700000000000003</v>
      </c>
      <c r="AC37" s="976">
        <v>35</v>
      </c>
      <c r="AD37" s="976">
        <v>35.700000000000003</v>
      </c>
      <c r="AE37" s="976">
        <v>37.5</v>
      </c>
      <c r="AF37" s="976">
        <v>37.299999999999997</v>
      </c>
      <c r="AG37" s="976">
        <v>37.700000000000003</v>
      </c>
      <c r="AH37" s="976">
        <v>39.200000000000003</v>
      </c>
      <c r="AI37" s="976">
        <v>41</v>
      </c>
      <c r="AJ37" s="976">
        <v>41.3</v>
      </c>
      <c r="AK37" s="976">
        <v>41.7</v>
      </c>
      <c r="AL37" s="976">
        <v>42.4</v>
      </c>
      <c r="AM37" s="976">
        <v>43.5</v>
      </c>
      <c r="AN37" s="976">
        <v>44.5</v>
      </c>
      <c r="AO37" s="976">
        <v>46.9</v>
      </c>
      <c r="AP37" s="976">
        <v>49.1</v>
      </c>
      <c r="AQ37" s="976">
        <v>49</v>
      </c>
      <c r="AR37" s="976">
        <v>52.4</v>
      </c>
      <c r="AS37" s="976">
        <v>54.3</v>
      </c>
      <c r="AT37" s="976">
        <v>55.6</v>
      </c>
      <c r="AU37" s="976">
        <v>57.4</v>
      </c>
      <c r="AV37" s="976">
        <v>57.7</v>
      </c>
      <c r="AW37" s="976">
        <v>57.7</v>
      </c>
      <c r="AX37" s="976">
        <v>59</v>
      </c>
      <c r="AY37" s="976">
        <v>61</v>
      </c>
      <c r="AZ37" s="976">
        <v>62.1</v>
      </c>
      <c r="BA37" s="976">
        <v>62.6</v>
      </c>
      <c r="BB37" s="976">
        <v>65.8</v>
      </c>
      <c r="BC37" s="976">
        <v>66.3</v>
      </c>
      <c r="BD37" s="976">
        <v>67.2</v>
      </c>
      <c r="BE37" s="976">
        <v>68.3</v>
      </c>
      <c r="BF37" s="976">
        <v>69.900000000000006</v>
      </c>
      <c r="BG37" s="976">
        <v>70.599999999999994</v>
      </c>
      <c r="BH37" s="976">
        <v>71.3</v>
      </c>
      <c r="BI37" s="976">
        <v>72.8</v>
      </c>
      <c r="BJ37" s="976">
        <v>74.900000000000006</v>
      </c>
      <c r="BK37" s="976">
        <v>76.3</v>
      </c>
      <c r="BL37" s="976">
        <v>78.099999999999994</v>
      </c>
      <c r="BM37" s="976">
        <v>79.8</v>
      </c>
      <c r="BN37" s="976">
        <v>81.599999999999994</v>
      </c>
      <c r="BO37" s="976">
        <v>83.6</v>
      </c>
      <c r="BP37" s="976">
        <v>85.3</v>
      </c>
      <c r="BQ37" s="976">
        <v>86.9</v>
      </c>
      <c r="BR37" s="976">
        <v>88.3</v>
      </c>
      <c r="BS37" s="976">
        <v>89.9</v>
      </c>
      <c r="BT37" s="976">
        <v>91.6</v>
      </c>
      <c r="BU37" s="976">
        <v>93.1</v>
      </c>
      <c r="BV37" s="976">
        <v>95.3</v>
      </c>
      <c r="BW37" s="976">
        <v>97.3</v>
      </c>
      <c r="BX37" s="976">
        <v>99.5</v>
      </c>
      <c r="BY37" s="976">
        <v>101.9</v>
      </c>
      <c r="BZ37" s="976">
        <v>104.2</v>
      </c>
      <c r="CA37" s="976">
        <v>107.3</v>
      </c>
      <c r="CB37" s="976">
        <v>111</v>
      </c>
      <c r="CC37" s="976">
        <v>114.8</v>
      </c>
      <c r="CD37" s="976">
        <v>118.8</v>
      </c>
      <c r="CE37" s="976">
        <v>124.2</v>
      </c>
      <c r="CF37" s="976">
        <v>130.30000000000001</v>
      </c>
      <c r="CG37" s="976">
        <v>137.4</v>
      </c>
      <c r="CH37" s="976">
        <v>141.5</v>
      </c>
      <c r="CI37" s="976">
        <v>152.19999999999999</v>
      </c>
      <c r="CJ37" s="976">
        <v>158.6</v>
      </c>
      <c r="CK37" s="976">
        <v>173.8</v>
      </c>
      <c r="CL37" s="976">
        <v>170.5</v>
      </c>
      <c r="CM37" s="976">
        <v>178.6</v>
      </c>
      <c r="CN37" s="976">
        <v>185.8</v>
      </c>
      <c r="CO37" s="976">
        <v>185</v>
      </c>
      <c r="CP37" s="976">
        <v>188.9</v>
      </c>
      <c r="CQ37" s="976">
        <v>189.7</v>
      </c>
      <c r="CR37" s="976">
        <v>200.6</v>
      </c>
      <c r="CS37" s="976">
        <v>201.7</v>
      </c>
      <c r="CT37" s="976">
        <v>203.6</v>
      </c>
      <c r="CU37" s="976">
        <v>203.9</v>
      </c>
      <c r="CV37" s="976">
        <v>203.7</v>
      </c>
      <c r="CW37" s="976">
        <v>215.7</v>
      </c>
      <c r="CX37" s="976">
        <v>220.4</v>
      </c>
      <c r="CY37" s="976">
        <v>220.7</v>
      </c>
      <c r="CZ37" s="976">
        <v>220.7</v>
      </c>
      <c r="DA37" s="976">
        <v>208.8</v>
      </c>
      <c r="DB37" s="976">
        <v>218.2</v>
      </c>
      <c r="DC37" s="976">
        <v>232.2</v>
      </c>
      <c r="DD37" s="976">
        <v>224.8</v>
      </c>
      <c r="DE37" s="976">
        <v>221.7</v>
      </c>
      <c r="DF37" s="976">
        <v>226</v>
      </c>
      <c r="DG37" s="976">
        <v>223.7</v>
      </c>
      <c r="DH37" s="976">
        <v>228</v>
      </c>
      <c r="DI37" s="976">
        <v>232.4</v>
      </c>
      <c r="DJ37" s="976">
        <v>232.1</v>
      </c>
      <c r="DK37" s="976">
        <v>235.3</v>
      </c>
      <c r="DL37" s="976">
        <v>233.9</v>
      </c>
      <c r="DM37" s="976">
        <v>241.7</v>
      </c>
      <c r="DN37" s="976">
        <v>247.8</v>
      </c>
      <c r="DO37" s="976">
        <v>246.4</v>
      </c>
      <c r="DP37" s="976">
        <v>255</v>
      </c>
      <c r="DQ37" s="976">
        <v>260.2</v>
      </c>
      <c r="DR37" s="976">
        <v>260.10000000000002</v>
      </c>
      <c r="DS37" s="976">
        <v>269.39999999999998</v>
      </c>
      <c r="DT37" s="976">
        <v>277.2</v>
      </c>
      <c r="DU37" s="976">
        <v>279.10000000000002</v>
      </c>
      <c r="DV37" s="976">
        <v>290.39999999999998</v>
      </c>
      <c r="DW37" s="976">
        <v>308</v>
      </c>
      <c r="DX37" s="976">
        <v>295.8</v>
      </c>
      <c r="DY37" s="976">
        <v>326</v>
      </c>
      <c r="DZ37" s="976">
        <v>326</v>
      </c>
      <c r="EA37" s="976">
        <v>326</v>
      </c>
      <c r="EB37" s="976">
        <v>334.7</v>
      </c>
      <c r="EC37" s="976">
        <v>345.4</v>
      </c>
      <c r="ED37" s="976">
        <v>347</v>
      </c>
      <c r="EE37" s="976">
        <v>348.3</v>
      </c>
      <c r="EF37" s="976">
        <v>361.8</v>
      </c>
      <c r="EG37" s="976">
        <v>357</v>
      </c>
      <c r="EH37" s="976">
        <v>376</v>
      </c>
      <c r="EI37" s="976">
        <v>387.1</v>
      </c>
      <c r="EJ37" s="976">
        <v>385.7</v>
      </c>
      <c r="EK37" s="976">
        <v>391</v>
      </c>
      <c r="EL37" s="976">
        <v>399.1</v>
      </c>
      <c r="EM37" s="976">
        <v>410</v>
      </c>
      <c r="EN37" s="976">
        <v>409.1</v>
      </c>
      <c r="EO37" s="976">
        <v>407.9</v>
      </c>
      <c r="EP37" s="976">
        <v>394</v>
      </c>
      <c r="EQ37" s="976">
        <v>399.2</v>
      </c>
      <c r="ER37" s="976">
        <v>414.4</v>
      </c>
      <c r="ES37" s="976">
        <v>408.1</v>
      </c>
      <c r="ET37" s="976">
        <v>440.1</v>
      </c>
      <c r="EU37" s="976">
        <v>423.7</v>
      </c>
      <c r="EV37" s="976">
        <v>429.9</v>
      </c>
      <c r="EW37" s="976">
        <v>442.3</v>
      </c>
      <c r="EX37" s="976">
        <v>446.3</v>
      </c>
      <c r="EY37" s="976">
        <v>456</v>
      </c>
      <c r="EZ37" s="976">
        <v>460</v>
      </c>
      <c r="FA37" s="976">
        <v>462.1</v>
      </c>
      <c r="FB37" s="976">
        <v>480.2</v>
      </c>
      <c r="FC37" s="976">
        <v>492</v>
      </c>
      <c r="FD37" s="976">
        <v>502.4</v>
      </c>
      <c r="FE37" s="976">
        <v>498.2</v>
      </c>
      <c r="FF37" s="976">
        <v>508.7</v>
      </c>
      <c r="FG37" s="976">
        <v>513</v>
      </c>
      <c r="FH37" s="976">
        <v>533.20000000000005</v>
      </c>
      <c r="FI37" s="976">
        <v>540.79999999999995</v>
      </c>
      <c r="FJ37" s="976">
        <v>544.4</v>
      </c>
      <c r="FK37" s="976">
        <v>534.70000000000005</v>
      </c>
      <c r="FL37" s="976">
        <v>520.70000000000005</v>
      </c>
      <c r="FM37" s="976">
        <v>522.9</v>
      </c>
      <c r="FN37" s="976">
        <v>523.9</v>
      </c>
      <c r="FO37" s="976">
        <v>544.4</v>
      </c>
      <c r="FP37" s="976">
        <v>542</v>
      </c>
      <c r="FQ37" s="976">
        <v>552.70000000000005</v>
      </c>
      <c r="FR37" s="976">
        <v>548.4</v>
      </c>
      <c r="FS37" s="976">
        <v>562.79999999999995</v>
      </c>
      <c r="FT37" s="976">
        <v>572.79999999999995</v>
      </c>
      <c r="FU37" s="976">
        <v>573.6</v>
      </c>
      <c r="FV37" s="976">
        <v>585.1</v>
      </c>
      <c r="FW37" s="976">
        <v>607.79999999999995</v>
      </c>
      <c r="FX37" s="976">
        <v>634.1</v>
      </c>
      <c r="FY37" s="976">
        <v>643.20000000000005</v>
      </c>
      <c r="FZ37" s="976">
        <v>652.20000000000005</v>
      </c>
      <c r="GA37" s="976">
        <v>667.3</v>
      </c>
      <c r="GB37" s="976">
        <v>670.2</v>
      </c>
      <c r="GC37" s="976">
        <v>671.5</v>
      </c>
      <c r="GD37" s="976">
        <v>679.8</v>
      </c>
      <c r="GE37" s="976">
        <v>688.1</v>
      </c>
      <c r="GF37" s="976">
        <v>696.6</v>
      </c>
      <c r="GG37" s="976">
        <v>705.8</v>
      </c>
      <c r="GH37" s="976">
        <v>703.7</v>
      </c>
      <c r="GI37" s="976">
        <v>700.3</v>
      </c>
      <c r="GJ37" s="976">
        <v>715.6</v>
      </c>
      <c r="GK37" s="976">
        <v>710.3</v>
      </c>
      <c r="GL37" s="976">
        <v>717.5</v>
      </c>
      <c r="GM37" s="976">
        <v>729.3</v>
      </c>
      <c r="GN37" s="976">
        <v>733.3</v>
      </c>
      <c r="GO37" s="976">
        <v>728.8</v>
      </c>
      <c r="GP37" s="976">
        <v>738.7</v>
      </c>
      <c r="GQ37" s="976">
        <v>755.2</v>
      </c>
      <c r="GR37" s="976">
        <v>763.4</v>
      </c>
      <c r="GS37" s="976">
        <v>761</v>
      </c>
      <c r="GT37" s="976">
        <v>767.1</v>
      </c>
      <c r="GU37" s="976">
        <v>812.2</v>
      </c>
      <c r="GV37" s="976">
        <v>828.5</v>
      </c>
      <c r="GW37" s="976">
        <v>827.6</v>
      </c>
      <c r="GX37" s="976">
        <v>846</v>
      </c>
    </row>
    <row r="38" spans="1:206">
      <c r="A38" s="976" t="s">
        <v>250</v>
      </c>
      <c r="B38" s="976">
        <v>129.9</v>
      </c>
      <c r="C38" s="976">
        <v>134.1</v>
      </c>
      <c r="D38" s="976">
        <v>140.1</v>
      </c>
      <c r="E38" s="976">
        <v>144.30000000000001</v>
      </c>
      <c r="F38" s="976">
        <v>149.1</v>
      </c>
      <c r="G38" s="976">
        <v>153.6</v>
      </c>
      <c r="H38" s="976">
        <v>156.9</v>
      </c>
      <c r="I38" s="976">
        <v>161</v>
      </c>
      <c r="J38" s="976">
        <v>165.7</v>
      </c>
      <c r="K38" s="976">
        <v>167.9</v>
      </c>
      <c r="L38" s="976">
        <v>172.5</v>
      </c>
      <c r="M38" s="976">
        <v>176.8</v>
      </c>
      <c r="N38" s="976">
        <v>181.7</v>
      </c>
      <c r="O38" s="976">
        <v>185.7</v>
      </c>
      <c r="P38" s="976">
        <v>190</v>
      </c>
      <c r="Q38" s="976">
        <v>195.9</v>
      </c>
      <c r="R38" s="976">
        <v>201.1</v>
      </c>
      <c r="S38" s="976">
        <v>210.1</v>
      </c>
      <c r="T38" s="976">
        <v>217</v>
      </c>
      <c r="U38" s="976">
        <v>223.7</v>
      </c>
      <c r="V38" s="976">
        <v>235.9</v>
      </c>
      <c r="W38" s="976">
        <v>240.3</v>
      </c>
      <c r="X38" s="976">
        <v>246.6</v>
      </c>
      <c r="Y38" s="976">
        <v>254.2</v>
      </c>
      <c r="Z38" s="976">
        <v>260.3</v>
      </c>
      <c r="AA38" s="976">
        <v>259.39999999999998</v>
      </c>
      <c r="AB38" s="976">
        <v>261.3</v>
      </c>
      <c r="AC38" s="976">
        <v>263.89999999999998</v>
      </c>
      <c r="AD38" s="976">
        <v>271.10000000000002</v>
      </c>
      <c r="AE38" s="976">
        <v>278.60000000000002</v>
      </c>
      <c r="AF38" s="976">
        <v>282.3</v>
      </c>
      <c r="AG38" s="976">
        <v>287.5</v>
      </c>
      <c r="AH38" s="976">
        <v>292.5</v>
      </c>
      <c r="AI38" s="976">
        <v>306</v>
      </c>
      <c r="AJ38" s="976">
        <v>313.5</v>
      </c>
      <c r="AK38" s="976">
        <v>320.5</v>
      </c>
      <c r="AL38" s="976">
        <v>323.2</v>
      </c>
      <c r="AM38" s="976">
        <v>333.2</v>
      </c>
      <c r="AN38" s="976">
        <v>344.8</v>
      </c>
      <c r="AO38" s="976">
        <v>356.1</v>
      </c>
      <c r="AP38" s="976">
        <v>367.6</v>
      </c>
      <c r="AQ38" s="976">
        <v>371.7</v>
      </c>
      <c r="AR38" s="976">
        <v>379.1</v>
      </c>
      <c r="AS38" s="976">
        <v>388.1</v>
      </c>
      <c r="AT38" s="976">
        <v>402.6</v>
      </c>
      <c r="AU38" s="976">
        <v>405.3</v>
      </c>
      <c r="AV38" s="976">
        <v>409.8</v>
      </c>
      <c r="AW38" s="976">
        <v>418.5</v>
      </c>
      <c r="AX38" s="976">
        <v>425.5</v>
      </c>
      <c r="AY38" s="976">
        <v>435.4</v>
      </c>
      <c r="AZ38" s="976">
        <v>443.4</v>
      </c>
      <c r="BA38" s="976">
        <v>452.9</v>
      </c>
      <c r="BB38" s="976">
        <v>461.9</v>
      </c>
      <c r="BC38" s="976">
        <v>467.5</v>
      </c>
      <c r="BD38" s="976">
        <v>476.7</v>
      </c>
      <c r="BE38" s="976">
        <v>482.1</v>
      </c>
      <c r="BF38" s="976">
        <v>495.1</v>
      </c>
      <c r="BG38" s="976">
        <v>505.9</v>
      </c>
      <c r="BH38" s="976">
        <v>518.29999999999995</v>
      </c>
      <c r="BI38" s="976">
        <v>529.29999999999995</v>
      </c>
      <c r="BJ38" s="976">
        <v>542.70000000000005</v>
      </c>
      <c r="BK38" s="976">
        <v>557.70000000000005</v>
      </c>
      <c r="BL38" s="976">
        <v>571.6</v>
      </c>
      <c r="BM38" s="976">
        <v>582.20000000000005</v>
      </c>
      <c r="BN38" s="976">
        <v>595.9</v>
      </c>
      <c r="BO38" s="976">
        <v>605.5</v>
      </c>
      <c r="BP38" s="976">
        <v>616.5</v>
      </c>
      <c r="BQ38" s="976">
        <v>626.29999999999995</v>
      </c>
      <c r="BR38" s="976">
        <v>637.79999999999995</v>
      </c>
      <c r="BS38" s="976">
        <v>646.9</v>
      </c>
      <c r="BT38" s="976">
        <v>656.4</v>
      </c>
      <c r="BU38" s="976">
        <v>668.1</v>
      </c>
      <c r="BV38" s="976">
        <v>678.6</v>
      </c>
      <c r="BW38" s="976">
        <v>693.1</v>
      </c>
      <c r="BX38" s="976">
        <v>703.2</v>
      </c>
      <c r="BY38" s="976">
        <v>720.1</v>
      </c>
      <c r="BZ38" s="976">
        <v>736.6</v>
      </c>
      <c r="CA38" s="976">
        <v>755.1</v>
      </c>
      <c r="CB38" s="976">
        <v>770.4</v>
      </c>
      <c r="CC38" s="976">
        <v>790</v>
      </c>
      <c r="CD38" s="976">
        <v>811.4</v>
      </c>
      <c r="CE38" s="976">
        <v>824.1</v>
      </c>
      <c r="CF38" s="976">
        <v>843.9</v>
      </c>
      <c r="CG38" s="976">
        <v>871</v>
      </c>
      <c r="CH38" s="976">
        <v>881.6</v>
      </c>
      <c r="CI38" s="976">
        <v>901.3</v>
      </c>
      <c r="CJ38" s="976">
        <v>919.2</v>
      </c>
      <c r="CK38" s="976">
        <v>947</v>
      </c>
      <c r="CL38" s="976">
        <v>959.3</v>
      </c>
      <c r="CM38" s="976">
        <v>975.2</v>
      </c>
      <c r="CN38" s="976">
        <v>988.2</v>
      </c>
      <c r="CO38" s="976">
        <v>991.3</v>
      </c>
      <c r="CP38" s="976">
        <v>1001.1</v>
      </c>
      <c r="CQ38" s="976">
        <v>1011.6</v>
      </c>
      <c r="CR38" s="976">
        <v>1028.0999999999999</v>
      </c>
      <c r="CS38" s="976">
        <v>1036.0999999999999</v>
      </c>
      <c r="CT38" s="976">
        <v>1046.5999999999999</v>
      </c>
      <c r="CU38" s="976">
        <v>1060.5</v>
      </c>
      <c r="CV38" s="976">
        <v>1077.4000000000001</v>
      </c>
      <c r="CW38" s="976">
        <v>1100.7</v>
      </c>
      <c r="CX38" s="976">
        <v>1118.5</v>
      </c>
      <c r="CY38" s="976">
        <v>1132.8</v>
      </c>
      <c r="CZ38" s="976">
        <v>1136.8</v>
      </c>
      <c r="DA38" s="976">
        <v>1131.2</v>
      </c>
      <c r="DB38" s="976">
        <v>1145.0999999999999</v>
      </c>
      <c r="DC38" s="976">
        <v>1171.4000000000001</v>
      </c>
      <c r="DD38" s="976">
        <v>1176</v>
      </c>
      <c r="DE38" s="976">
        <v>1192</v>
      </c>
      <c r="DF38" s="976">
        <v>1202.5</v>
      </c>
      <c r="DG38" s="976">
        <v>1209</v>
      </c>
      <c r="DH38" s="976">
        <v>1225.5</v>
      </c>
      <c r="DI38" s="976">
        <v>1243.5</v>
      </c>
      <c r="DJ38" s="976">
        <v>1250.5</v>
      </c>
      <c r="DK38" s="976">
        <v>1272.2</v>
      </c>
      <c r="DL38" s="976">
        <v>1290.9000000000001</v>
      </c>
      <c r="DM38" s="976">
        <v>1312.2</v>
      </c>
      <c r="DN38" s="976">
        <v>1338.9</v>
      </c>
      <c r="DO38" s="976">
        <v>1357.4</v>
      </c>
      <c r="DP38" s="976">
        <v>1388</v>
      </c>
      <c r="DQ38" s="976">
        <v>1416.9</v>
      </c>
      <c r="DR38" s="976">
        <v>1435.5</v>
      </c>
      <c r="DS38" s="976">
        <v>1452.8</v>
      </c>
      <c r="DT38" s="976">
        <v>1477.8</v>
      </c>
      <c r="DU38" s="976">
        <v>1506.8</v>
      </c>
      <c r="DV38" s="976">
        <v>1559.9</v>
      </c>
      <c r="DW38" s="976">
        <v>1617</v>
      </c>
      <c r="DX38" s="976">
        <v>1596.6</v>
      </c>
      <c r="DY38" s="976">
        <v>1655.5</v>
      </c>
      <c r="DZ38" s="976">
        <v>1676.3</v>
      </c>
      <c r="EA38" s="976">
        <v>1693.6</v>
      </c>
      <c r="EB38" s="976">
        <v>1723.7</v>
      </c>
      <c r="EC38" s="976">
        <v>1756.2</v>
      </c>
      <c r="ED38" s="976">
        <v>1782.4</v>
      </c>
      <c r="EE38" s="976">
        <v>1784.5</v>
      </c>
      <c r="EF38" s="976">
        <v>1813</v>
      </c>
      <c r="EG38" s="976">
        <v>1815.8</v>
      </c>
      <c r="EH38" s="976">
        <v>1844.8</v>
      </c>
      <c r="EI38" s="976">
        <v>1869.3</v>
      </c>
      <c r="EJ38" s="976">
        <v>1896.4</v>
      </c>
      <c r="EK38" s="976">
        <v>1904.1</v>
      </c>
      <c r="EL38" s="976">
        <v>1926.1</v>
      </c>
      <c r="EM38" s="976">
        <v>1953.8</v>
      </c>
      <c r="EN38" s="976">
        <v>1979</v>
      </c>
      <c r="EO38" s="976">
        <v>2025.5</v>
      </c>
      <c r="EP38" s="976">
        <v>2009.1</v>
      </c>
      <c r="EQ38" s="976">
        <v>2043.2</v>
      </c>
      <c r="ER38" s="976">
        <v>2079.3000000000002</v>
      </c>
      <c r="ES38" s="976">
        <v>2094.9</v>
      </c>
      <c r="ET38" s="976">
        <v>2166.9</v>
      </c>
      <c r="EU38" s="976">
        <v>2183</v>
      </c>
      <c r="EV38" s="976">
        <v>2206.6</v>
      </c>
      <c r="EW38" s="976">
        <v>2242.5</v>
      </c>
      <c r="EX38" s="976">
        <v>2256.6999999999998</v>
      </c>
      <c r="EY38" s="976">
        <v>2293.8000000000002</v>
      </c>
      <c r="EZ38" s="976">
        <v>2337.9</v>
      </c>
      <c r="FA38" s="976">
        <v>2337.3000000000002</v>
      </c>
      <c r="FB38" s="976">
        <v>2371.3000000000002</v>
      </c>
      <c r="FC38" s="976">
        <v>2419.5</v>
      </c>
      <c r="FD38" s="976">
        <v>2446.5</v>
      </c>
      <c r="FE38" s="976">
        <v>2444.1</v>
      </c>
      <c r="FF38" s="976">
        <v>2439.6999999999998</v>
      </c>
      <c r="FG38" s="976">
        <v>2444.3000000000002</v>
      </c>
      <c r="FH38" s="976">
        <v>2453</v>
      </c>
      <c r="FI38" s="976">
        <v>2453.6999999999998</v>
      </c>
      <c r="FJ38" s="976">
        <v>2452.6999999999998</v>
      </c>
      <c r="FK38" s="976">
        <v>2446.1999999999998</v>
      </c>
      <c r="FL38" s="976">
        <v>2424.5</v>
      </c>
      <c r="FM38" s="976">
        <v>2419.1</v>
      </c>
      <c r="FN38" s="976">
        <v>2432.4</v>
      </c>
      <c r="FO38" s="976">
        <v>2448.3000000000002</v>
      </c>
      <c r="FP38" s="976">
        <v>2449.6</v>
      </c>
      <c r="FQ38" s="976">
        <v>2476.6999999999998</v>
      </c>
      <c r="FR38" s="976">
        <v>2486.1999999999998</v>
      </c>
      <c r="FS38" s="976">
        <v>2508.1999999999998</v>
      </c>
      <c r="FT38" s="976">
        <v>2528.1999999999998</v>
      </c>
      <c r="FU38" s="976">
        <v>2531</v>
      </c>
      <c r="FV38" s="976">
        <v>2542.1</v>
      </c>
      <c r="FW38" s="976">
        <v>2580</v>
      </c>
      <c r="FX38" s="976">
        <v>2623.3</v>
      </c>
      <c r="FY38" s="976">
        <v>2648.4</v>
      </c>
      <c r="FZ38" s="976">
        <v>2653.6</v>
      </c>
      <c r="GA38" s="976">
        <v>2707.5</v>
      </c>
      <c r="GB38" s="976">
        <v>2730</v>
      </c>
      <c r="GC38" s="976">
        <v>2730.4</v>
      </c>
      <c r="GD38" s="976">
        <v>2754.8</v>
      </c>
      <c r="GE38" s="976">
        <v>2783</v>
      </c>
      <c r="GF38" s="976">
        <v>2810.8</v>
      </c>
      <c r="GG38" s="976">
        <v>2840</v>
      </c>
      <c r="GH38" s="976">
        <v>2860.6</v>
      </c>
      <c r="GI38" s="976">
        <v>2866.5</v>
      </c>
      <c r="GJ38" s="976">
        <v>2904.5</v>
      </c>
      <c r="GK38" s="976">
        <v>2923.8</v>
      </c>
      <c r="GL38" s="976">
        <v>2953.5</v>
      </c>
      <c r="GM38" s="976">
        <v>2996.4</v>
      </c>
      <c r="GN38" s="976">
        <v>3027.6</v>
      </c>
      <c r="GO38" s="976">
        <v>3025.3</v>
      </c>
      <c r="GP38" s="976">
        <v>3054.4</v>
      </c>
      <c r="GQ38" s="976">
        <v>3105.7</v>
      </c>
      <c r="GR38" s="976">
        <v>3123.2</v>
      </c>
      <c r="GS38" s="976">
        <v>3136.8</v>
      </c>
      <c r="GT38" s="976">
        <v>3159.9</v>
      </c>
      <c r="GU38" s="976">
        <v>3157.6</v>
      </c>
      <c r="GV38" s="976">
        <v>3160.3</v>
      </c>
      <c r="GW38" s="976">
        <v>3165.4</v>
      </c>
      <c r="GX38" s="976">
        <v>3225.2</v>
      </c>
    </row>
    <row r="39" spans="1:206">
      <c r="A39" s="976" t="s">
        <v>251</v>
      </c>
      <c r="CP39" s="976">
        <v>78.072000000000003</v>
      </c>
      <c r="CQ39" s="976">
        <v>80.831000000000003</v>
      </c>
      <c r="CR39" s="976">
        <v>85.251000000000005</v>
      </c>
      <c r="CS39" s="976">
        <v>88.177999999999997</v>
      </c>
      <c r="CT39" s="976">
        <v>84.001999999999995</v>
      </c>
      <c r="CU39" s="976">
        <v>86.254999999999995</v>
      </c>
      <c r="CV39" s="976">
        <v>87.977999999999994</v>
      </c>
      <c r="CW39" s="976">
        <v>89.828999999999994</v>
      </c>
      <c r="CX39" s="976">
        <v>95.218000000000004</v>
      </c>
      <c r="CY39" s="976">
        <v>94.483999999999995</v>
      </c>
      <c r="CZ39" s="976">
        <v>93.858000000000004</v>
      </c>
      <c r="DA39" s="976">
        <v>92.180999999999997</v>
      </c>
      <c r="DB39" s="976">
        <v>94.539000000000001</v>
      </c>
      <c r="DC39" s="976">
        <v>102.461</v>
      </c>
      <c r="DD39" s="976">
        <v>99.671999999999997</v>
      </c>
      <c r="DE39" s="976">
        <v>97.608999999999995</v>
      </c>
      <c r="DF39" s="976">
        <v>98.691000000000003</v>
      </c>
      <c r="DG39" s="976">
        <v>98.641999999999996</v>
      </c>
      <c r="DH39" s="976">
        <v>101.001</v>
      </c>
      <c r="DI39" s="976">
        <v>105.738</v>
      </c>
      <c r="DJ39" s="976">
        <v>103.992</v>
      </c>
      <c r="DK39" s="976">
        <v>106.28700000000001</v>
      </c>
      <c r="DL39" s="976">
        <v>106.646</v>
      </c>
      <c r="DM39" s="976">
        <v>110.762</v>
      </c>
      <c r="DN39" s="976">
        <v>114.027</v>
      </c>
      <c r="DO39" s="976">
        <v>113.559</v>
      </c>
      <c r="DP39" s="976">
        <v>120.524</v>
      </c>
      <c r="DQ39" s="976">
        <v>121.904</v>
      </c>
      <c r="DR39" s="976">
        <v>121.898</v>
      </c>
      <c r="DS39" s="976">
        <v>123.319</v>
      </c>
      <c r="DT39" s="976">
        <v>133.626</v>
      </c>
      <c r="DU39" s="976">
        <v>129.62200000000001</v>
      </c>
      <c r="DV39" s="976">
        <v>138.71600000000001</v>
      </c>
      <c r="DW39" s="976">
        <v>145.774</v>
      </c>
      <c r="DX39" s="976">
        <v>143.21899999999999</v>
      </c>
      <c r="DY39" s="976">
        <v>153.809</v>
      </c>
      <c r="DZ39" s="976">
        <v>156.084</v>
      </c>
      <c r="EA39" s="976">
        <v>157.45500000000001</v>
      </c>
      <c r="EB39" s="976">
        <v>164.01</v>
      </c>
      <c r="EC39" s="976">
        <v>166.934</v>
      </c>
      <c r="ED39" s="976">
        <v>165.90600000000001</v>
      </c>
      <c r="EE39" s="976">
        <v>171.10599999999999</v>
      </c>
      <c r="EF39" s="976">
        <v>186.792</v>
      </c>
      <c r="EG39" s="976">
        <v>182.54300000000001</v>
      </c>
      <c r="EH39" s="976">
        <v>190.07</v>
      </c>
      <c r="EI39" s="976">
        <v>194.96299999999999</v>
      </c>
      <c r="EJ39" s="976">
        <v>186.476</v>
      </c>
      <c r="EK39" s="976">
        <v>191.75200000000001</v>
      </c>
      <c r="EL39" s="976">
        <v>199.036</v>
      </c>
      <c r="EM39" s="976">
        <v>200.24600000000001</v>
      </c>
      <c r="EN39" s="976">
        <v>195.23099999999999</v>
      </c>
      <c r="EO39" s="976">
        <v>197.352</v>
      </c>
      <c r="EP39" s="976">
        <v>191.74700000000001</v>
      </c>
      <c r="EQ39" s="976">
        <v>189.018</v>
      </c>
      <c r="ER39" s="976">
        <v>197.488</v>
      </c>
      <c r="ES39" s="976">
        <v>189.083</v>
      </c>
      <c r="ET39" s="976">
        <v>209.34700000000001</v>
      </c>
      <c r="EU39" s="976">
        <v>201.38300000000001</v>
      </c>
      <c r="EV39" s="976">
        <v>204.31800000000001</v>
      </c>
      <c r="EW39" s="976">
        <v>206.11</v>
      </c>
      <c r="EX39" s="976">
        <v>209.60300000000001</v>
      </c>
      <c r="EY39" s="976">
        <v>216.57</v>
      </c>
      <c r="EZ39" s="976">
        <v>213.01599999999999</v>
      </c>
      <c r="FA39" s="976">
        <v>217.49100000000001</v>
      </c>
      <c r="FB39" s="976">
        <v>266.40699999999998</v>
      </c>
      <c r="FC39" s="976">
        <v>284.52600000000001</v>
      </c>
      <c r="FD39" s="976">
        <v>273.90300000000002</v>
      </c>
      <c r="FE39" s="976">
        <v>272.34500000000003</v>
      </c>
      <c r="FF39" s="976">
        <v>283.26799999999997</v>
      </c>
      <c r="FG39" s="976">
        <v>290.80799999999999</v>
      </c>
      <c r="FH39" s="976">
        <v>297.13</v>
      </c>
      <c r="FI39" s="976">
        <v>309.66800000000001</v>
      </c>
      <c r="FJ39" s="976">
        <v>293.83999999999997</v>
      </c>
      <c r="FK39" s="976">
        <v>288.89999999999998</v>
      </c>
      <c r="FL39" s="976">
        <v>248.81299999999999</v>
      </c>
      <c r="FM39" s="976">
        <v>249.625</v>
      </c>
      <c r="FN39" s="976">
        <v>258.161</v>
      </c>
      <c r="FO39" s="976">
        <v>273.39</v>
      </c>
      <c r="FP39" s="976">
        <v>263.07900000000001</v>
      </c>
      <c r="FQ39" s="976">
        <v>269.70999999999998</v>
      </c>
      <c r="FR39" s="976">
        <v>272.06299999999999</v>
      </c>
      <c r="FS39" s="976">
        <v>283.40800000000002</v>
      </c>
      <c r="FT39" s="976">
        <v>281.45499999999998</v>
      </c>
      <c r="FU39" s="976">
        <v>282.10700000000003</v>
      </c>
      <c r="FV39" s="976">
        <v>303.39</v>
      </c>
      <c r="FW39" s="976">
        <v>320.01499999999999</v>
      </c>
      <c r="FX39" s="976">
        <v>343.69200000000001</v>
      </c>
      <c r="FY39" s="976">
        <v>345.71199999999999</v>
      </c>
      <c r="FZ39" s="976">
        <v>362.79199999999997</v>
      </c>
      <c r="GA39" s="976">
        <v>363.41</v>
      </c>
      <c r="GB39" s="976">
        <v>365.38400000000001</v>
      </c>
      <c r="GC39" s="976">
        <v>384.03199999999998</v>
      </c>
      <c r="GD39" s="976">
        <v>372.70699999999999</v>
      </c>
      <c r="GE39" s="976">
        <v>387.23500000000001</v>
      </c>
      <c r="GF39" s="976">
        <v>396.39600000000002</v>
      </c>
      <c r="GG39" s="976">
        <v>409.09800000000001</v>
      </c>
      <c r="GH39" s="976">
        <v>392.20600000000002</v>
      </c>
      <c r="GI39" s="976">
        <v>375.24200000000002</v>
      </c>
      <c r="GJ39" s="976">
        <v>397.19799999999998</v>
      </c>
      <c r="GK39" s="976">
        <v>400.14400000000001</v>
      </c>
      <c r="GL39" s="976">
        <v>411.38400000000001</v>
      </c>
      <c r="GM39" s="976">
        <v>405.38799999999998</v>
      </c>
      <c r="GN39" s="976">
        <v>414.827</v>
      </c>
      <c r="GO39" s="976">
        <v>409.36099999999999</v>
      </c>
      <c r="GP39" s="976">
        <v>428.61200000000002</v>
      </c>
      <c r="GQ39" s="976">
        <v>439.93900000000002</v>
      </c>
      <c r="GR39" s="976">
        <v>438.36099999999999</v>
      </c>
      <c r="GS39" s="976">
        <v>436.04</v>
      </c>
      <c r="GT39" s="976">
        <v>444.822</v>
      </c>
      <c r="GU39" s="976">
        <v>596.61</v>
      </c>
      <c r="GV39" s="976">
        <v>533.71199999999999</v>
      </c>
      <c r="GW39" s="976">
        <v>547.13099999999997</v>
      </c>
      <c r="GX39" s="976">
        <v>562.10400000000004</v>
      </c>
    </row>
    <row r="40" spans="1:206">
      <c r="A40" s="976" t="s">
        <v>252</v>
      </c>
      <c r="CP40" s="976">
        <v>73.888000000000005</v>
      </c>
      <c r="CQ40" s="976">
        <v>76.036000000000001</v>
      </c>
      <c r="CR40" s="976">
        <v>80.603999999999999</v>
      </c>
      <c r="CS40" s="976">
        <v>84.1</v>
      </c>
      <c r="CT40" s="976">
        <v>78.947999999999993</v>
      </c>
      <c r="CU40" s="976">
        <v>81.772000000000006</v>
      </c>
      <c r="CV40" s="976">
        <v>82.891999999999996</v>
      </c>
      <c r="CW40" s="976">
        <v>85.54</v>
      </c>
      <c r="CX40" s="976">
        <v>90.524000000000001</v>
      </c>
      <c r="CY40" s="976">
        <v>90.54</v>
      </c>
      <c r="CZ40" s="976">
        <v>89.28</v>
      </c>
      <c r="DA40" s="976">
        <v>87.567999999999998</v>
      </c>
      <c r="DB40" s="976">
        <v>88.772000000000006</v>
      </c>
      <c r="DC40" s="976">
        <v>96.376000000000005</v>
      </c>
      <c r="DD40" s="976">
        <v>94.872</v>
      </c>
      <c r="DE40" s="976">
        <v>93.891999999999996</v>
      </c>
      <c r="DF40" s="976">
        <v>95.98</v>
      </c>
      <c r="DG40" s="976">
        <v>94.924000000000007</v>
      </c>
      <c r="DH40" s="976">
        <v>97.108000000000004</v>
      </c>
      <c r="DI40" s="976">
        <v>101.384</v>
      </c>
      <c r="DJ40" s="976">
        <v>99.444000000000003</v>
      </c>
      <c r="DK40" s="976">
        <v>101.608</v>
      </c>
      <c r="DL40" s="976">
        <v>102.26</v>
      </c>
      <c r="DM40" s="976">
        <v>103.952</v>
      </c>
      <c r="DN40" s="976">
        <v>107.1</v>
      </c>
      <c r="DO40" s="976">
        <v>107.208</v>
      </c>
      <c r="DP40" s="976">
        <v>113.428</v>
      </c>
      <c r="DQ40" s="976">
        <v>114.62</v>
      </c>
      <c r="DR40" s="976">
        <v>114.852</v>
      </c>
      <c r="DS40" s="976">
        <v>116.16800000000001</v>
      </c>
      <c r="DT40" s="976">
        <v>125.392</v>
      </c>
      <c r="DU40" s="976">
        <v>121.748</v>
      </c>
      <c r="DV40" s="976">
        <v>129.38800000000001</v>
      </c>
      <c r="DW40" s="976">
        <v>132.12799999999999</v>
      </c>
      <c r="DX40" s="976">
        <v>133.364</v>
      </c>
      <c r="DY40" s="976">
        <v>143.65199999999999</v>
      </c>
      <c r="DZ40" s="976">
        <v>145.547</v>
      </c>
      <c r="EA40" s="976">
        <v>146.352</v>
      </c>
      <c r="EB40" s="976">
        <v>152.89599999999999</v>
      </c>
      <c r="EC40" s="976">
        <v>155.30699999999999</v>
      </c>
      <c r="ED40" s="976">
        <v>154.37799999999999</v>
      </c>
      <c r="EE40" s="976">
        <v>158.02000000000001</v>
      </c>
      <c r="EF40" s="976">
        <v>174.22900000000001</v>
      </c>
      <c r="EG40" s="976">
        <v>170.506</v>
      </c>
      <c r="EH40" s="976">
        <v>177.77199999999999</v>
      </c>
      <c r="EI40" s="976">
        <v>182.69200000000001</v>
      </c>
      <c r="EJ40" s="976">
        <v>173.33</v>
      </c>
      <c r="EK40" s="976">
        <v>177.28200000000001</v>
      </c>
      <c r="EL40" s="976">
        <v>183.90799999999999</v>
      </c>
      <c r="EM40" s="976">
        <v>185.81800000000001</v>
      </c>
      <c r="EN40" s="976">
        <v>179.68299999999999</v>
      </c>
      <c r="EO40" s="976">
        <v>182.94399999999999</v>
      </c>
      <c r="EP40" s="976">
        <v>175.95599999999999</v>
      </c>
      <c r="EQ40" s="976">
        <v>176.53</v>
      </c>
      <c r="ER40" s="976">
        <v>186.733</v>
      </c>
      <c r="ES40" s="976">
        <v>177.65899999999999</v>
      </c>
      <c r="ET40" s="976">
        <v>200.21799999999999</v>
      </c>
      <c r="EU40" s="976">
        <v>190.602</v>
      </c>
      <c r="EV40" s="976">
        <v>194.11099999999999</v>
      </c>
      <c r="EW40" s="976">
        <v>196.02799999999999</v>
      </c>
      <c r="EX40" s="976">
        <v>200.29400000000001</v>
      </c>
      <c r="EY40" s="976">
        <v>203.79400000000001</v>
      </c>
      <c r="EZ40" s="976">
        <v>205.059</v>
      </c>
      <c r="FA40" s="976">
        <v>208.505</v>
      </c>
      <c r="FB40" s="976">
        <v>256.94400000000002</v>
      </c>
      <c r="FC40" s="976">
        <v>274.66399999999999</v>
      </c>
      <c r="FD40" s="976">
        <v>263.92399999999998</v>
      </c>
      <c r="FE40" s="976">
        <v>261.94400000000002</v>
      </c>
      <c r="FF40" s="976">
        <v>271.84399999999999</v>
      </c>
      <c r="FG40" s="976">
        <v>272.45600000000002</v>
      </c>
      <c r="FH40" s="976">
        <v>283.69099999999997</v>
      </c>
      <c r="FI40" s="976">
        <v>297.60899999999998</v>
      </c>
      <c r="FJ40" s="976">
        <v>282.44499999999999</v>
      </c>
      <c r="FK40" s="976">
        <v>277.19600000000003</v>
      </c>
      <c r="FL40" s="976">
        <v>237.739</v>
      </c>
      <c r="FM40" s="976">
        <v>239.291</v>
      </c>
      <c r="FN40" s="976">
        <v>246.24799999999999</v>
      </c>
      <c r="FO40" s="976">
        <v>262.32400000000001</v>
      </c>
      <c r="FP40" s="976">
        <v>250.54</v>
      </c>
      <c r="FQ40" s="976">
        <v>259.56200000000001</v>
      </c>
      <c r="FR40" s="976">
        <v>258.45</v>
      </c>
      <c r="FS40" s="976">
        <v>270.887</v>
      </c>
      <c r="FT40" s="976">
        <v>269.279</v>
      </c>
      <c r="FU40" s="976">
        <v>269.98200000000003</v>
      </c>
      <c r="FV40" s="976">
        <v>291.58999999999997</v>
      </c>
      <c r="FW40" s="976">
        <v>307.77499999999998</v>
      </c>
      <c r="FX40" s="976">
        <v>332.4</v>
      </c>
      <c r="FY40" s="976">
        <v>335.61099999999999</v>
      </c>
      <c r="FZ40" s="976">
        <v>352.18799999999999</v>
      </c>
      <c r="GA40" s="976">
        <v>353.44200000000001</v>
      </c>
      <c r="GB40" s="976">
        <v>352.90899999999999</v>
      </c>
      <c r="GC40" s="976">
        <v>366.274</v>
      </c>
      <c r="GD40" s="976">
        <v>359.55599999999998</v>
      </c>
      <c r="GE40" s="976">
        <v>364.76100000000002</v>
      </c>
      <c r="GF40" s="976">
        <v>377.98</v>
      </c>
      <c r="GG40" s="976">
        <v>387.911</v>
      </c>
      <c r="GH40" s="976">
        <v>375.90100000000001</v>
      </c>
      <c r="GI40" s="976">
        <v>353.50599999999997</v>
      </c>
      <c r="GJ40" s="976">
        <v>376.69299999999998</v>
      </c>
      <c r="GK40" s="976">
        <v>382.98599999999999</v>
      </c>
      <c r="GL40" s="976">
        <v>389.19499999999999</v>
      </c>
      <c r="GM40" s="976">
        <v>386.85700000000003</v>
      </c>
      <c r="GN40" s="976">
        <v>392.51600000000002</v>
      </c>
      <c r="GO40" s="976">
        <v>389.62400000000002</v>
      </c>
      <c r="GP40" s="976">
        <v>404.529</v>
      </c>
      <c r="GQ40" s="976">
        <v>419.67200000000003</v>
      </c>
      <c r="GR40" s="976">
        <v>418.82400000000001</v>
      </c>
      <c r="GS40" s="976">
        <v>411.40899999999999</v>
      </c>
      <c r="GT40" s="976">
        <v>423.42899999999997</v>
      </c>
      <c r="GU40" s="976">
        <v>512.64</v>
      </c>
      <c r="GV40" s="976">
        <v>486.072</v>
      </c>
      <c r="GW40" s="976">
        <v>512.19299999999998</v>
      </c>
      <c r="GX40" s="976">
        <v>523.16300000000001</v>
      </c>
    </row>
    <row r="41" spans="1:206">
      <c r="A41" s="976" t="s">
        <v>253</v>
      </c>
      <c r="B41" s="976">
        <v>5.5759999999999996</v>
      </c>
      <c r="C41" s="976">
        <v>5.2279999999999998</v>
      </c>
      <c r="D41" s="976">
        <v>4.8159999999999998</v>
      </c>
      <c r="E41" s="976">
        <v>4.9000000000000004</v>
      </c>
      <c r="F41" s="976">
        <v>5.4640000000000004</v>
      </c>
      <c r="G41" s="976">
        <v>6.3120000000000003</v>
      </c>
      <c r="H41" s="976">
        <v>5.7560000000000002</v>
      </c>
      <c r="I41" s="976">
        <v>5.6440000000000001</v>
      </c>
      <c r="J41" s="976">
        <v>5.6680000000000001</v>
      </c>
      <c r="K41" s="976">
        <v>5.2160000000000002</v>
      </c>
      <c r="L41" s="976">
        <v>6.7240000000000002</v>
      </c>
      <c r="M41" s="976">
        <v>5.7</v>
      </c>
      <c r="N41" s="976">
        <v>5.74</v>
      </c>
      <c r="O41" s="976">
        <v>6.2080000000000002</v>
      </c>
      <c r="P41" s="976">
        <v>5.3440000000000003</v>
      </c>
      <c r="Q41" s="976">
        <v>5.92</v>
      </c>
      <c r="R41" s="976">
        <v>7.76</v>
      </c>
      <c r="S41" s="976">
        <v>8.5719999999999992</v>
      </c>
      <c r="T41" s="976">
        <v>6.4960000000000004</v>
      </c>
      <c r="U41" s="976">
        <v>7.84</v>
      </c>
      <c r="V41" s="976">
        <v>8.6519999999999992</v>
      </c>
      <c r="W41" s="976">
        <v>7.8040000000000003</v>
      </c>
      <c r="X41" s="976">
        <v>10.772</v>
      </c>
      <c r="Y41" s="976">
        <v>10.423999999999999</v>
      </c>
      <c r="Z41" s="976">
        <v>10.012</v>
      </c>
      <c r="AA41" s="976">
        <v>9.76</v>
      </c>
      <c r="AB41" s="976">
        <v>10.592000000000001</v>
      </c>
      <c r="AC41" s="976">
        <v>11.108000000000001</v>
      </c>
      <c r="AD41" s="976">
        <v>10.715999999999999</v>
      </c>
      <c r="AE41" s="976">
        <v>10.651999999999999</v>
      </c>
      <c r="AF41" s="976">
        <v>11.804</v>
      </c>
      <c r="AG41" s="976">
        <v>10.7</v>
      </c>
      <c r="AH41" s="976">
        <v>10.968</v>
      </c>
      <c r="AI41" s="976">
        <v>11.528</v>
      </c>
      <c r="AJ41" s="976">
        <v>11.907999999999999</v>
      </c>
      <c r="AK41" s="976">
        <v>12.528</v>
      </c>
      <c r="AL41" s="976">
        <v>13.592000000000001</v>
      </c>
      <c r="AM41" s="976">
        <v>13.048</v>
      </c>
      <c r="AN41" s="976">
        <v>14.292</v>
      </c>
      <c r="AO41" s="976">
        <v>15.752000000000001</v>
      </c>
      <c r="AP41" s="976">
        <v>16.260000000000002</v>
      </c>
      <c r="AQ41" s="976">
        <v>16.536000000000001</v>
      </c>
      <c r="AR41" s="976">
        <v>15.916</v>
      </c>
      <c r="AS41" s="976">
        <v>16.628</v>
      </c>
      <c r="AT41" s="976">
        <v>16.091999999999999</v>
      </c>
      <c r="AU41" s="976">
        <v>15.715999999999999</v>
      </c>
      <c r="AV41" s="976">
        <v>14.827999999999999</v>
      </c>
      <c r="AW41" s="976">
        <v>15.012</v>
      </c>
      <c r="AX41" s="976">
        <v>13.852</v>
      </c>
      <c r="AY41" s="976">
        <v>14.552</v>
      </c>
      <c r="AZ41" s="976">
        <v>14.544</v>
      </c>
      <c r="BA41" s="976">
        <v>14.484</v>
      </c>
      <c r="BB41" s="976">
        <v>15.9</v>
      </c>
      <c r="BC41" s="976">
        <v>14.2</v>
      </c>
      <c r="BD41" s="976">
        <v>15.904</v>
      </c>
      <c r="BE41" s="976">
        <v>15.768000000000001</v>
      </c>
      <c r="BF41" s="976">
        <v>16.556000000000001</v>
      </c>
      <c r="BG41" s="976">
        <v>17.236000000000001</v>
      </c>
      <c r="BH41" s="976">
        <v>18.091999999999999</v>
      </c>
      <c r="BI41" s="976">
        <v>18.824000000000002</v>
      </c>
      <c r="BJ41" s="976">
        <v>17.044</v>
      </c>
      <c r="BK41" s="976">
        <v>19.408000000000001</v>
      </c>
      <c r="BL41" s="976">
        <v>20.036000000000001</v>
      </c>
      <c r="BM41" s="976">
        <v>21.184000000000001</v>
      </c>
      <c r="BN41" s="976">
        <v>19.72</v>
      </c>
      <c r="BO41" s="976">
        <v>20.556000000000001</v>
      </c>
      <c r="BP41" s="976">
        <v>21.283999999999999</v>
      </c>
      <c r="BQ41" s="976">
        <v>18.32</v>
      </c>
      <c r="BR41" s="976">
        <v>18.760000000000002</v>
      </c>
      <c r="BS41" s="976">
        <v>19.559999999999999</v>
      </c>
      <c r="BT41" s="976">
        <v>18.827999999999999</v>
      </c>
      <c r="BU41" s="976">
        <v>18.696000000000002</v>
      </c>
      <c r="BV41" s="976">
        <v>18.972000000000001</v>
      </c>
      <c r="BW41" s="976">
        <v>19.835999999999999</v>
      </c>
      <c r="BX41" s="976">
        <v>20.388000000000002</v>
      </c>
      <c r="BY41" s="976">
        <v>19.283999999999999</v>
      </c>
      <c r="BZ41" s="976">
        <v>20.192</v>
      </c>
      <c r="CA41" s="976">
        <v>19.936</v>
      </c>
      <c r="CB41" s="976">
        <v>18.832000000000001</v>
      </c>
      <c r="CC41" s="976">
        <v>20.492000000000001</v>
      </c>
      <c r="CD41" s="976">
        <v>21.448</v>
      </c>
      <c r="CE41" s="976">
        <v>20.184000000000001</v>
      </c>
      <c r="CF41" s="976">
        <v>20.507999999999999</v>
      </c>
      <c r="CG41" s="976">
        <v>21.187999999999999</v>
      </c>
      <c r="CH41" s="976">
        <v>21.552</v>
      </c>
      <c r="CI41" s="976">
        <v>21.611999999999998</v>
      </c>
      <c r="CJ41" s="976">
        <v>21.056000000000001</v>
      </c>
      <c r="CK41" s="976">
        <v>20.611999999999998</v>
      </c>
      <c r="CL41" s="976">
        <v>21.388000000000002</v>
      </c>
      <c r="CM41" s="976">
        <v>22.8</v>
      </c>
      <c r="CN41" s="976">
        <v>22.288</v>
      </c>
      <c r="CO41" s="976">
        <v>23.064</v>
      </c>
      <c r="CP41" s="976">
        <v>21.783999999999999</v>
      </c>
      <c r="CQ41" s="976">
        <v>22.472000000000001</v>
      </c>
      <c r="CR41" s="976">
        <v>24.884</v>
      </c>
      <c r="CS41" s="976">
        <v>24.763999999999999</v>
      </c>
      <c r="CT41" s="976">
        <v>23.632000000000001</v>
      </c>
      <c r="CU41" s="976">
        <v>23.952000000000002</v>
      </c>
      <c r="CV41" s="976">
        <v>25.152000000000001</v>
      </c>
      <c r="CW41" s="976">
        <v>26.475999999999999</v>
      </c>
      <c r="CX41" s="976">
        <v>27.744</v>
      </c>
      <c r="CY41" s="976">
        <v>28.027999999999999</v>
      </c>
      <c r="CZ41" s="976">
        <v>26.448</v>
      </c>
      <c r="DA41" s="976">
        <v>26.815999999999999</v>
      </c>
      <c r="DB41" s="976">
        <v>29.135999999999999</v>
      </c>
      <c r="DC41" s="976">
        <v>27.904</v>
      </c>
      <c r="DD41" s="976">
        <v>27.116</v>
      </c>
      <c r="DE41" s="976">
        <v>28.72</v>
      </c>
      <c r="DF41" s="976">
        <v>28.4</v>
      </c>
      <c r="DG41" s="976">
        <v>29.015999999999998</v>
      </c>
      <c r="DH41" s="976">
        <v>29.084</v>
      </c>
      <c r="DI41" s="976">
        <v>28.744</v>
      </c>
      <c r="DJ41" s="976">
        <v>27.052</v>
      </c>
      <c r="DK41" s="976">
        <v>27.335999999999999</v>
      </c>
      <c r="DL41" s="976">
        <v>29.103999999999999</v>
      </c>
      <c r="DM41" s="976">
        <v>31.231999999999999</v>
      </c>
      <c r="DN41" s="976">
        <v>27.78</v>
      </c>
      <c r="DO41" s="976">
        <v>32.192</v>
      </c>
      <c r="DP41" s="976">
        <v>34.264000000000003</v>
      </c>
      <c r="DQ41" s="976">
        <v>34.124000000000002</v>
      </c>
      <c r="DR41" s="976">
        <v>35.572000000000003</v>
      </c>
      <c r="DS41" s="976">
        <v>36.04</v>
      </c>
      <c r="DT41" s="976">
        <v>35.728000000000002</v>
      </c>
      <c r="DU41" s="976">
        <v>39.26</v>
      </c>
      <c r="DV41" s="976">
        <v>40.316000000000003</v>
      </c>
      <c r="DW41" s="976">
        <v>43.008000000000003</v>
      </c>
      <c r="DX41" s="976">
        <v>42.667999999999999</v>
      </c>
      <c r="DY41" s="976">
        <v>43.008000000000003</v>
      </c>
      <c r="DZ41" s="976">
        <v>50.609000000000002</v>
      </c>
      <c r="EA41" s="976">
        <v>45.405000000000001</v>
      </c>
      <c r="EB41" s="976">
        <v>41.341999999999999</v>
      </c>
      <c r="EC41" s="976">
        <v>44.814</v>
      </c>
      <c r="ED41" s="976">
        <v>43.170999999999999</v>
      </c>
      <c r="EE41" s="976">
        <v>48.719000000000001</v>
      </c>
      <c r="EF41" s="976">
        <v>46.442999999999998</v>
      </c>
      <c r="EG41" s="976">
        <v>45.506999999999998</v>
      </c>
      <c r="EH41" s="976">
        <v>47.600999999999999</v>
      </c>
      <c r="EI41" s="976">
        <v>44.213000000000001</v>
      </c>
      <c r="EJ41" s="976">
        <v>50.412999999999997</v>
      </c>
      <c r="EK41" s="976">
        <v>44.947000000000003</v>
      </c>
      <c r="EL41" s="976">
        <v>49.942999999999998</v>
      </c>
      <c r="EM41" s="976">
        <v>51.171999999999997</v>
      </c>
      <c r="EN41" s="976">
        <v>47.383000000000003</v>
      </c>
      <c r="EO41" s="976">
        <v>49.225000000000001</v>
      </c>
      <c r="EP41" s="976">
        <v>53.557000000000002</v>
      </c>
      <c r="EQ41" s="976">
        <v>53.237000000000002</v>
      </c>
      <c r="ER41" s="976">
        <v>52.164999999999999</v>
      </c>
      <c r="ES41" s="976">
        <v>51.704000000000001</v>
      </c>
      <c r="ET41" s="976">
        <v>50.936999999999998</v>
      </c>
      <c r="EU41" s="976">
        <v>56.121000000000002</v>
      </c>
      <c r="EV41" s="976">
        <v>55.527999999999999</v>
      </c>
      <c r="EW41" s="976">
        <v>54.619</v>
      </c>
      <c r="EX41" s="976">
        <v>56.613</v>
      </c>
      <c r="EY41" s="976">
        <v>58.841999999999999</v>
      </c>
      <c r="EZ41" s="976">
        <v>56.868000000000002</v>
      </c>
      <c r="FA41" s="976">
        <v>58.177</v>
      </c>
      <c r="FB41" s="976">
        <v>58.334000000000003</v>
      </c>
      <c r="FC41" s="976">
        <v>59.643000000000001</v>
      </c>
      <c r="FD41" s="976">
        <v>67.126000000000005</v>
      </c>
      <c r="FE41" s="976">
        <v>68.543000000000006</v>
      </c>
      <c r="FF41" s="976">
        <v>64.721000000000004</v>
      </c>
      <c r="FG41" s="976">
        <v>73.736999999999995</v>
      </c>
      <c r="FH41" s="976">
        <v>74.820999999999998</v>
      </c>
      <c r="FI41" s="976">
        <v>75.022000000000006</v>
      </c>
      <c r="FJ41" s="976">
        <v>70.503</v>
      </c>
      <c r="FK41" s="976">
        <v>69.144999999999996</v>
      </c>
      <c r="FL41" s="976">
        <v>65.915999999999997</v>
      </c>
      <c r="FM41" s="976">
        <v>70.531000000000006</v>
      </c>
      <c r="FN41" s="976">
        <v>67.106999999999999</v>
      </c>
      <c r="FO41" s="976">
        <v>67.67</v>
      </c>
      <c r="FP41" s="976">
        <v>65.88</v>
      </c>
      <c r="FQ41" s="976">
        <v>65.507000000000005</v>
      </c>
      <c r="FR41" s="976">
        <v>67.563999999999993</v>
      </c>
      <c r="FS41" s="976">
        <v>63.978999999999999</v>
      </c>
      <c r="FT41" s="976">
        <v>68.013999999999996</v>
      </c>
      <c r="FU41" s="976">
        <v>65.742000000000004</v>
      </c>
      <c r="FV41" s="976">
        <v>65.275999999999996</v>
      </c>
      <c r="FW41" s="976">
        <v>67.164000000000001</v>
      </c>
      <c r="FX41" s="976">
        <v>68.84</v>
      </c>
      <c r="FY41" s="976">
        <v>61.402999999999999</v>
      </c>
      <c r="FZ41" s="976">
        <v>63.533999999999999</v>
      </c>
      <c r="GA41" s="976">
        <v>62.906999999999996</v>
      </c>
      <c r="GB41" s="976">
        <v>66.760000000000005</v>
      </c>
      <c r="GC41" s="976">
        <v>64.462000000000003</v>
      </c>
      <c r="GD41" s="976">
        <v>67.049000000000007</v>
      </c>
      <c r="GE41" s="976">
        <v>67.197000000000003</v>
      </c>
      <c r="GF41" s="976">
        <v>68.093999999999994</v>
      </c>
      <c r="GG41" s="976">
        <v>66.716999999999999</v>
      </c>
      <c r="GH41" s="976">
        <v>67.197000000000003</v>
      </c>
      <c r="GI41" s="976">
        <v>68.784000000000006</v>
      </c>
      <c r="GJ41" s="976">
        <v>63.911000000000001</v>
      </c>
      <c r="GK41" s="976">
        <v>64.775999999999996</v>
      </c>
      <c r="GL41" s="976">
        <v>65.084000000000003</v>
      </c>
      <c r="GM41" s="976">
        <v>64.960999999999999</v>
      </c>
      <c r="GN41" s="976">
        <v>68.572999999999993</v>
      </c>
      <c r="GO41" s="976">
        <v>64.617000000000004</v>
      </c>
      <c r="GP41" s="976">
        <v>67.605000000000004</v>
      </c>
      <c r="GQ41" s="976">
        <v>66.614000000000004</v>
      </c>
      <c r="GR41" s="976">
        <v>68.894999999999996</v>
      </c>
      <c r="GS41" s="976">
        <v>69.790999999999997</v>
      </c>
      <c r="GT41" s="976">
        <v>72.239999999999995</v>
      </c>
      <c r="GU41" s="976">
        <v>72.525000000000006</v>
      </c>
      <c r="GV41" s="976">
        <v>73.844999999999999</v>
      </c>
      <c r="GW41" s="976">
        <v>73.558999999999997</v>
      </c>
      <c r="GX41" s="976">
        <v>72.012</v>
      </c>
    </row>
    <row r="42" spans="1:206">
      <c r="A42" s="976" t="s">
        <v>254</v>
      </c>
      <c r="B42" s="976">
        <v>4.7</v>
      </c>
      <c r="C42" s="976">
        <v>4.8</v>
      </c>
      <c r="D42" s="976">
        <v>4.7</v>
      </c>
      <c r="E42" s="976">
        <v>4.8</v>
      </c>
      <c r="F42" s="976">
        <v>4.7</v>
      </c>
      <c r="G42" s="976">
        <v>4.8</v>
      </c>
      <c r="H42" s="976">
        <v>4.5</v>
      </c>
      <c r="I42" s="976">
        <v>4.5999999999999996</v>
      </c>
      <c r="J42" s="976">
        <v>6.1</v>
      </c>
      <c r="K42" s="976">
        <v>6.2</v>
      </c>
      <c r="L42" s="976">
        <v>7.1</v>
      </c>
      <c r="M42" s="976">
        <v>7</v>
      </c>
      <c r="N42" s="976">
        <v>5.9</v>
      </c>
      <c r="O42" s="976">
        <v>5.6</v>
      </c>
      <c r="P42" s="976">
        <v>4.5999999999999996</v>
      </c>
      <c r="Q42" s="976">
        <v>4.5</v>
      </c>
      <c r="R42" s="976">
        <v>3.5</v>
      </c>
      <c r="S42" s="976">
        <v>2.8</v>
      </c>
      <c r="T42" s="976">
        <v>3.1</v>
      </c>
      <c r="U42" s="976">
        <v>3.5</v>
      </c>
      <c r="V42" s="976">
        <v>4.0999999999999996</v>
      </c>
      <c r="W42" s="976">
        <v>4.0999999999999996</v>
      </c>
      <c r="X42" s="976">
        <v>4.4000000000000004</v>
      </c>
      <c r="Y42" s="976">
        <v>4.8</v>
      </c>
      <c r="Z42" s="976">
        <v>5</v>
      </c>
      <c r="AA42" s="976">
        <v>4.7</v>
      </c>
      <c r="AB42" s="976">
        <v>4.9000000000000004</v>
      </c>
      <c r="AC42" s="976">
        <v>5.3</v>
      </c>
      <c r="AD42" s="976">
        <v>5.6</v>
      </c>
      <c r="AE42" s="976">
        <v>5.7</v>
      </c>
      <c r="AF42" s="976">
        <v>6.2</v>
      </c>
      <c r="AG42" s="976">
        <v>10.1</v>
      </c>
      <c r="AH42" s="976">
        <v>8.5</v>
      </c>
      <c r="AI42" s="976">
        <v>8.1</v>
      </c>
      <c r="AJ42" s="976">
        <v>8</v>
      </c>
      <c r="AK42" s="976">
        <v>10.1</v>
      </c>
      <c r="AL42" s="976">
        <v>8.1</v>
      </c>
      <c r="AM42" s="976">
        <v>8.5</v>
      </c>
      <c r="AN42" s="976">
        <v>7.8</v>
      </c>
      <c r="AO42" s="976">
        <v>8.5</v>
      </c>
      <c r="AP42" s="976">
        <v>8.9</v>
      </c>
      <c r="AQ42" s="976">
        <v>9.3000000000000007</v>
      </c>
      <c r="AR42" s="976">
        <v>9.6999999999999993</v>
      </c>
      <c r="AS42" s="976">
        <v>9.9</v>
      </c>
      <c r="AT42" s="976">
        <v>10.199999999999999</v>
      </c>
      <c r="AU42" s="976">
        <v>10.3</v>
      </c>
      <c r="AV42" s="976">
        <v>10.7</v>
      </c>
      <c r="AW42" s="976">
        <v>13.1</v>
      </c>
      <c r="AX42" s="976">
        <v>13.6</v>
      </c>
      <c r="AY42" s="976">
        <v>13.2</v>
      </c>
      <c r="AZ42" s="976">
        <v>12.6</v>
      </c>
      <c r="BA42" s="976">
        <v>19</v>
      </c>
      <c r="BB42" s="976">
        <v>19.399999999999999</v>
      </c>
      <c r="BC42" s="976">
        <v>21.1</v>
      </c>
      <c r="BD42" s="976">
        <v>21.8</v>
      </c>
      <c r="BE42" s="976">
        <v>21.1</v>
      </c>
      <c r="BF42" s="976">
        <v>20.8</v>
      </c>
      <c r="BG42" s="976">
        <v>20.6</v>
      </c>
      <c r="BH42" s="976">
        <v>20.5</v>
      </c>
      <c r="BI42" s="976">
        <v>20.8</v>
      </c>
      <c r="BJ42" s="976">
        <v>20.8</v>
      </c>
      <c r="BK42" s="976">
        <v>20.7</v>
      </c>
      <c r="BL42" s="976">
        <v>21</v>
      </c>
      <c r="BM42" s="976">
        <v>21.7</v>
      </c>
      <c r="BN42" s="976">
        <v>22.8</v>
      </c>
      <c r="BO42" s="976">
        <v>23.9</v>
      </c>
      <c r="BP42" s="976">
        <v>25.1</v>
      </c>
      <c r="BQ42" s="976">
        <v>26.5</v>
      </c>
      <c r="BR42" s="976">
        <v>28</v>
      </c>
      <c r="BS42" s="976">
        <v>30.2</v>
      </c>
      <c r="BT42" s="976">
        <v>31</v>
      </c>
      <c r="BU42" s="976">
        <v>30.8</v>
      </c>
      <c r="BV42" s="976">
        <v>30</v>
      </c>
      <c r="BW42" s="976">
        <v>29.5</v>
      </c>
      <c r="BX42" s="976">
        <v>28.9</v>
      </c>
      <c r="BY42" s="976">
        <v>28.2</v>
      </c>
      <c r="BZ42" s="976">
        <v>27.6</v>
      </c>
      <c r="CA42" s="976">
        <v>27</v>
      </c>
      <c r="CB42" s="976">
        <v>26.7</v>
      </c>
      <c r="CC42" s="976">
        <v>26.9</v>
      </c>
      <c r="CD42" s="976">
        <v>26.8</v>
      </c>
      <c r="CE42" s="976">
        <v>26.6</v>
      </c>
      <c r="CF42" s="976">
        <v>26.6</v>
      </c>
      <c r="CG42" s="976">
        <v>26.6</v>
      </c>
      <c r="CH42" s="976">
        <v>26.7</v>
      </c>
      <c r="CI42" s="976">
        <v>26.8</v>
      </c>
      <c r="CJ42" s="976">
        <v>27.1</v>
      </c>
      <c r="CK42" s="976">
        <v>27.7</v>
      </c>
      <c r="CL42" s="976">
        <v>28.2</v>
      </c>
      <c r="CM42" s="976">
        <v>28.8</v>
      </c>
      <c r="CN42" s="976">
        <v>30</v>
      </c>
      <c r="CO42" s="976">
        <v>31.8</v>
      </c>
      <c r="CP42" s="976">
        <v>35.1</v>
      </c>
      <c r="CQ42" s="976">
        <v>37.200000000000003</v>
      </c>
      <c r="CR42" s="976">
        <v>37.299999999999997</v>
      </c>
      <c r="CS42" s="976">
        <v>35.700000000000003</v>
      </c>
      <c r="CT42" s="976">
        <v>33.200000000000003</v>
      </c>
      <c r="CU42" s="976">
        <v>32</v>
      </c>
      <c r="CV42" s="976">
        <v>31.6</v>
      </c>
      <c r="CW42" s="976">
        <v>31.9</v>
      </c>
      <c r="CX42" s="976">
        <v>33.6</v>
      </c>
      <c r="CY42" s="976">
        <v>34.299999999999997</v>
      </c>
      <c r="CZ42" s="976">
        <v>34.799999999999997</v>
      </c>
      <c r="DA42" s="976">
        <v>35.200000000000003</v>
      </c>
      <c r="DB42" s="976">
        <v>35.200000000000003</v>
      </c>
      <c r="DC42" s="976">
        <v>35.1</v>
      </c>
      <c r="DD42" s="976">
        <v>34.9</v>
      </c>
      <c r="DE42" s="976">
        <v>34.4</v>
      </c>
      <c r="DF42" s="976">
        <v>34</v>
      </c>
      <c r="DG42" s="976">
        <v>33.200000000000003</v>
      </c>
      <c r="DH42" s="976">
        <v>33</v>
      </c>
      <c r="DI42" s="976">
        <v>33.299999999999997</v>
      </c>
      <c r="DJ42" s="976">
        <v>33.4</v>
      </c>
      <c r="DK42" s="976">
        <v>34.6</v>
      </c>
      <c r="DL42" s="976">
        <v>36.299999999999997</v>
      </c>
      <c r="DM42" s="976">
        <v>39.4</v>
      </c>
      <c r="DN42" s="976">
        <v>42</v>
      </c>
      <c r="DO42" s="976">
        <v>44.6</v>
      </c>
      <c r="DP42" s="976">
        <v>46</v>
      </c>
      <c r="DQ42" s="976">
        <v>46.5</v>
      </c>
      <c r="DR42" s="976">
        <v>44.6</v>
      </c>
      <c r="DS42" s="976">
        <v>45</v>
      </c>
      <c r="DT42" s="976">
        <v>45.3</v>
      </c>
      <c r="DU42" s="976">
        <v>46.4</v>
      </c>
      <c r="DV42" s="976">
        <v>47.2</v>
      </c>
      <c r="DW42" s="976">
        <v>47.6</v>
      </c>
      <c r="DX42" s="976">
        <v>66.3</v>
      </c>
      <c r="DY42" s="976">
        <v>43.1</v>
      </c>
      <c r="DZ42" s="976">
        <v>40.700000000000003</v>
      </c>
      <c r="EA42" s="976">
        <v>39.200000000000003</v>
      </c>
      <c r="EB42" s="976">
        <v>39.700000000000003</v>
      </c>
      <c r="EC42" s="976">
        <v>42.3</v>
      </c>
      <c r="ED42" s="976">
        <v>47</v>
      </c>
      <c r="EE42" s="976">
        <v>56.8</v>
      </c>
      <c r="EF42" s="976">
        <v>46.9</v>
      </c>
      <c r="EG42" s="976">
        <v>45.1</v>
      </c>
      <c r="EH42" s="976">
        <v>43.9</v>
      </c>
      <c r="EI42" s="976">
        <v>43.3</v>
      </c>
      <c r="EJ42" s="976">
        <v>45</v>
      </c>
      <c r="EK42" s="976">
        <v>51.9</v>
      </c>
      <c r="EL42" s="976">
        <v>56.4</v>
      </c>
      <c r="EM42" s="976">
        <v>60.3</v>
      </c>
      <c r="EN42" s="976">
        <v>61.6</v>
      </c>
      <c r="EO42" s="976">
        <v>63.9</v>
      </c>
      <c r="EP42" s="976">
        <v>55.4</v>
      </c>
      <c r="EQ42" s="976">
        <v>51.2</v>
      </c>
      <c r="ER42" s="976">
        <v>49.5</v>
      </c>
      <c r="ES42" s="976">
        <v>48.3</v>
      </c>
      <c r="ET42" s="976">
        <v>47.6</v>
      </c>
      <c r="EU42" s="976">
        <v>47.5</v>
      </c>
      <c r="EV42" s="976">
        <v>47.2</v>
      </c>
      <c r="EW42" s="976">
        <v>47.5</v>
      </c>
      <c r="EX42" s="976">
        <v>48</v>
      </c>
      <c r="EY42" s="976">
        <v>48.7</v>
      </c>
      <c r="EZ42" s="976">
        <v>49.8</v>
      </c>
      <c r="FA42" s="976">
        <v>51.8</v>
      </c>
      <c r="FB42" s="976">
        <v>53.4</v>
      </c>
      <c r="FC42" s="976">
        <v>54.3</v>
      </c>
      <c r="FD42" s="976">
        <v>65.900000000000006</v>
      </c>
      <c r="FE42" s="976">
        <v>54.3</v>
      </c>
      <c r="FF42" s="976">
        <v>53.2</v>
      </c>
      <c r="FG42" s="976">
        <v>53.4</v>
      </c>
      <c r="FH42" s="976">
        <v>54.4</v>
      </c>
      <c r="FI42" s="976">
        <v>56</v>
      </c>
      <c r="FJ42" s="976">
        <v>58</v>
      </c>
      <c r="FK42" s="976">
        <v>59.5</v>
      </c>
      <c r="FL42" s="976">
        <v>59.7</v>
      </c>
      <c r="FM42" s="976">
        <v>60.6</v>
      </c>
      <c r="FN42" s="976">
        <v>57.9</v>
      </c>
      <c r="FO42" s="976">
        <v>57.6</v>
      </c>
      <c r="FP42" s="976">
        <v>55.8</v>
      </c>
      <c r="FQ42" s="976">
        <v>58.9</v>
      </c>
      <c r="FR42" s="976">
        <v>58.9</v>
      </c>
      <c r="FS42" s="976">
        <v>59.6</v>
      </c>
      <c r="FT42" s="976">
        <v>59.5</v>
      </c>
      <c r="FU42" s="976">
        <v>58.9</v>
      </c>
      <c r="FV42" s="976">
        <v>58.2</v>
      </c>
      <c r="FW42" s="976">
        <v>58</v>
      </c>
      <c r="FX42" s="976">
        <v>57.7</v>
      </c>
      <c r="FY42" s="976">
        <v>56.5</v>
      </c>
      <c r="FZ42" s="976">
        <v>55.5</v>
      </c>
      <c r="GA42" s="976">
        <v>55.9</v>
      </c>
      <c r="GB42" s="976">
        <v>57.2</v>
      </c>
      <c r="GC42" s="976">
        <v>58.1</v>
      </c>
      <c r="GD42" s="976">
        <v>60.1</v>
      </c>
      <c r="GE42" s="976">
        <v>61.8</v>
      </c>
      <c r="GF42" s="976">
        <v>62.5</v>
      </c>
      <c r="GG42" s="976">
        <v>60.4</v>
      </c>
      <c r="GH42" s="976">
        <v>58.9</v>
      </c>
      <c r="GI42" s="976">
        <v>57.6</v>
      </c>
      <c r="GJ42" s="976">
        <v>61.3</v>
      </c>
      <c r="GK42" s="976">
        <v>59.4</v>
      </c>
      <c r="GL42" s="976">
        <v>57.6</v>
      </c>
      <c r="GM42" s="976">
        <v>57.2</v>
      </c>
      <c r="GN42" s="976">
        <v>57.3</v>
      </c>
      <c r="GO42" s="976">
        <v>78.900000000000006</v>
      </c>
      <c r="GP42" s="976">
        <v>70.7</v>
      </c>
      <c r="GQ42" s="976">
        <v>60.5</v>
      </c>
      <c r="GR42" s="976">
        <v>81.400000000000006</v>
      </c>
      <c r="GS42" s="976">
        <v>80.5</v>
      </c>
      <c r="GT42" s="976">
        <v>74.5</v>
      </c>
      <c r="GU42" s="976">
        <v>1085.9000000000001</v>
      </c>
      <c r="GV42" s="976">
        <v>1212.9000000000001</v>
      </c>
      <c r="GW42" s="976">
        <v>609.79999999999995</v>
      </c>
      <c r="GX42" s="976">
        <v>402.7</v>
      </c>
    </row>
    <row r="43" spans="1:206">
      <c r="A43" s="976" t="s">
        <v>255</v>
      </c>
      <c r="B43" s="976">
        <v>0</v>
      </c>
      <c r="C43" s="976">
        <v>0</v>
      </c>
      <c r="D43" s="976">
        <v>0</v>
      </c>
      <c r="E43" s="976">
        <v>0</v>
      </c>
      <c r="F43" s="976">
        <v>0</v>
      </c>
      <c r="G43" s="976">
        <v>0</v>
      </c>
      <c r="H43" s="976">
        <v>0</v>
      </c>
      <c r="I43" s="976">
        <v>0</v>
      </c>
      <c r="J43" s="976">
        <v>0</v>
      </c>
      <c r="K43" s="976">
        <v>0.1</v>
      </c>
      <c r="L43" s="976">
        <v>0.1</v>
      </c>
      <c r="M43" s="976">
        <v>0.1</v>
      </c>
      <c r="N43" s="976">
        <v>0.1</v>
      </c>
      <c r="O43" s="976">
        <v>0.1</v>
      </c>
      <c r="P43" s="976">
        <v>0.1</v>
      </c>
      <c r="Q43" s="976">
        <v>0.1</v>
      </c>
      <c r="R43" s="976">
        <v>0.1</v>
      </c>
      <c r="S43" s="976">
        <v>0.1</v>
      </c>
      <c r="T43" s="976">
        <v>0.1</v>
      </c>
      <c r="U43" s="976">
        <v>0.1</v>
      </c>
      <c r="V43" s="976">
        <v>0.1</v>
      </c>
      <c r="W43" s="976">
        <v>0.2</v>
      </c>
      <c r="X43" s="976">
        <v>0.2</v>
      </c>
      <c r="Y43" s="976">
        <v>0.2</v>
      </c>
      <c r="Z43" s="976">
        <v>0.2</v>
      </c>
      <c r="AA43" s="976">
        <v>0.2</v>
      </c>
      <c r="AB43" s="976">
        <v>0.2</v>
      </c>
      <c r="AC43" s="976">
        <v>0.2</v>
      </c>
      <c r="AD43" s="976">
        <v>0.2</v>
      </c>
      <c r="AE43" s="976">
        <v>0.2</v>
      </c>
      <c r="AF43" s="976">
        <v>0.2</v>
      </c>
      <c r="AG43" s="976">
        <v>0.2</v>
      </c>
      <c r="AH43" s="976">
        <v>0.2</v>
      </c>
      <c r="AI43" s="976">
        <v>0.2</v>
      </c>
      <c r="AJ43" s="976">
        <v>0.2</v>
      </c>
      <c r="AK43" s="976">
        <v>0.3</v>
      </c>
      <c r="AL43" s="976">
        <v>0.3</v>
      </c>
      <c r="AM43" s="976">
        <v>0.3</v>
      </c>
      <c r="AN43" s="976">
        <v>0.3</v>
      </c>
      <c r="AO43" s="976">
        <v>0.3</v>
      </c>
      <c r="AP43" s="976">
        <v>0.3</v>
      </c>
      <c r="AQ43" s="976">
        <v>0.3</v>
      </c>
      <c r="AR43" s="976">
        <v>0.4</v>
      </c>
      <c r="AS43" s="976">
        <v>0.4</v>
      </c>
      <c r="AT43" s="976">
        <v>0.4</v>
      </c>
      <c r="AU43" s="976">
        <v>0.4</v>
      </c>
      <c r="AV43" s="976">
        <v>0.4</v>
      </c>
      <c r="AW43" s="976">
        <v>0.4</v>
      </c>
      <c r="AX43" s="976">
        <v>0.4</v>
      </c>
      <c r="AY43" s="976">
        <v>0.5</v>
      </c>
      <c r="AZ43" s="976">
        <v>0.5</v>
      </c>
      <c r="BA43" s="976">
        <v>0.5</v>
      </c>
      <c r="BB43" s="976">
        <v>0.5</v>
      </c>
      <c r="BC43" s="976">
        <v>0.4</v>
      </c>
      <c r="BD43" s="976">
        <v>0.4</v>
      </c>
      <c r="BE43" s="976">
        <v>0.4</v>
      </c>
      <c r="BF43" s="976">
        <v>0.4</v>
      </c>
      <c r="BG43" s="976">
        <v>0.4</v>
      </c>
      <c r="BH43" s="976">
        <v>0.4</v>
      </c>
      <c r="BI43" s="976">
        <v>0.4</v>
      </c>
      <c r="BJ43" s="976">
        <v>0.3</v>
      </c>
      <c r="BK43" s="976">
        <v>0.3</v>
      </c>
      <c r="BL43" s="976">
        <v>0.3</v>
      </c>
      <c r="BM43" s="976">
        <v>0.3</v>
      </c>
      <c r="BN43" s="976">
        <v>0.3</v>
      </c>
      <c r="BO43" s="976">
        <v>0.3</v>
      </c>
      <c r="BP43" s="976">
        <v>0.3</v>
      </c>
      <c r="BQ43" s="976">
        <v>0.3</v>
      </c>
      <c r="BR43" s="976">
        <v>0.3</v>
      </c>
      <c r="BS43" s="976">
        <v>0.3</v>
      </c>
      <c r="BT43" s="976">
        <v>0.3</v>
      </c>
      <c r="BU43" s="976">
        <v>0.3</v>
      </c>
      <c r="BV43" s="976">
        <v>0.3</v>
      </c>
      <c r="BW43" s="976">
        <v>0.3</v>
      </c>
      <c r="BX43" s="976">
        <v>0.4</v>
      </c>
      <c r="BY43" s="976">
        <v>0.4</v>
      </c>
      <c r="BZ43" s="976">
        <v>0.4</v>
      </c>
      <c r="CA43" s="976">
        <v>0.4</v>
      </c>
      <c r="CB43" s="976">
        <v>0.4</v>
      </c>
      <c r="CC43" s="976">
        <v>0.4</v>
      </c>
      <c r="CD43" s="976">
        <v>0.4</v>
      </c>
      <c r="CE43" s="976">
        <v>0.4</v>
      </c>
      <c r="CF43" s="976">
        <v>0.4</v>
      </c>
      <c r="CG43" s="976">
        <v>0.4</v>
      </c>
      <c r="CH43" s="976">
        <v>0.4</v>
      </c>
      <c r="CI43" s="976">
        <v>0.4</v>
      </c>
      <c r="CJ43" s="976">
        <v>0.4</v>
      </c>
      <c r="CK43" s="976">
        <v>0.4</v>
      </c>
      <c r="CL43" s="976">
        <v>0.4</v>
      </c>
      <c r="CM43" s="976">
        <v>0.4</v>
      </c>
      <c r="CN43" s="976">
        <v>0.4</v>
      </c>
      <c r="CO43" s="976">
        <v>0.4</v>
      </c>
      <c r="CP43" s="976">
        <v>0.4</v>
      </c>
      <c r="CQ43" s="976">
        <v>0.4</v>
      </c>
      <c r="CR43" s="976">
        <v>0.4</v>
      </c>
      <c r="CS43" s="976">
        <v>0.4</v>
      </c>
      <c r="CT43" s="976">
        <v>0.4</v>
      </c>
      <c r="CU43" s="976">
        <v>0.3</v>
      </c>
      <c r="CV43" s="976">
        <v>0.3</v>
      </c>
      <c r="CW43" s="976">
        <v>0.3</v>
      </c>
      <c r="CX43" s="976">
        <v>0.3</v>
      </c>
      <c r="CY43" s="976">
        <v>0.3</v>
      </c>
      <c r="CZ43" s="976">
        <v>0.3</v>
      </c>
      <c r="DA43" s="976">
        <v>0.3</v>
      </c>
      <c r="DB43" s="976">
        <v>0.3</v>
      </c>
      <c r="DC43" s="976">
        <v>0.3</v>
      </c>
      <c r="DD43" s="976">
        <v>0.3</v>
      </c>
      <c r="DE43" s="976">
        <v>0.4</v>
      </c>
      <c r="DF43" s="976">
        <v>0.4</v>
      </c>
      <c r="DG43" s="976">
        <v>0.4</v>
      </c>
      <c r="DH43" s="976">
        <v>0.4</v>
      </c>
      <c r="DI43" s="976">
        <v>0.5</v>
      </c>
      <c r="DJ43" s="976">
        <v>0.5</v>
      </c>
      <c r="DK43" s="976">
        <v>0.5</v>
      </c>
      <c r="DL43" s="976">
        <v>0.4</v>
      </c>
      <c r="DM43" s="976">
        <v>0.4</v>
      </c>
      <c r="DN43" s="976">
        <v>0.4</v>
      </c>
      <c r="DO43" s="976">
        <v>0.4</v>
      </c>
      <c r="DP43" s="976">
        <v>0.4</v>
      </c>
      <c r="DQ43" s="976">
        <v>0.4</v>
      </c>
      <c r="DR43" s="976">
        <v>0.5</v>
      </c>
      <c r="DS43" s="976">
        <v>0.5</v>
      </c>
      <c r="DT43" s="976">
        <v>0.6</v>
      </c>
      <c r="DU43" s="976">
        <v>0.6</v>
      </c>
      <c r="DV43" s="976">
        <v>8</v>
      </c>
      <c r="DW43" s="976">
        <v>14.4</v>
      </c>
      <c r="DX43" s="976">
        <v>4.8</v>
      </c>
      <c r="DY43" s="976">
        <v>3.4</v>
      </c>
      <c r="DZ43" s="976">
        <v>1.8</v>
      </c>
      <c r="EA43" s="976">
        <v>0.6</v>
      </c>
      <c r="EB43" s="976">
        <v>1.7</v>
      </c>
      <c r="EC43" s="976">
        <v>-0.4</v>
      </c>
      <c r="ED43" s="976">
        <v>0.1</v>
      </c>
      <c r="EE43" s="976">
        <v>0.3</v>
      </c>
      <c r="EF43" s="976">
        <v>-1</v>
      </c>
      <c r="EG43" s="976">
        <v>0.9</v>
      </c>
      <c r="EH43" s="976">
        <v>0.4</v>
      </c>
      <c r="EI43" s="976">
        <v>0.4</v>
      </c>
      <c r="EJ43" s="976">
        <v>0.4</v>
      </c>
      <c r="EK43" s="976">
        <v>0.4</v>
      </c>
      <c r="EL43" s="976">
        <v>0.4</v>
      </c>
      <c r="EM43" s="976">
        <v>0.4</v>
      </c>
      <c r="EN43" s="976">
        <v>0.4</v>
      </c>
      <c r="EO43" s="976">
        <v>0.4</v>
      </c>
      <c r="EP43" s="976">
        <v>0.4</v>
      </c>
      <c r="EQ43" s="976">
        <v>0.4</v>
      </c>
      <c r="ER43" s="976">
        <v>0.4</v>
      </c>
      <c r="ES43" s="976">
        <v>0.4</v>
      </c>
      <c r="ET43" s="976">
        <v>1.9</v>
      </c>
      <c r="EU43" s="976">
        <v>10.7</v>
      </c>
      <c r="EV43" s="976">
        <v>8.8000000000000007</v>
      </c>
      <c r="EW43" s="976">
        <v>7.2</v>
      </c>
      <c r="EX43" s="976">
        <v>4</v>
      </c>
      <c r="EY43" s="976">
        <v>2.9</v>
      </c>
      <c r="EZ43" s="976">
        <v>2.2000000000000002</v>
      </c>
      <c r="FA43" s="976">
        <v>2.8</v>
      </c>
      <c r="FB43" s="976">
        <v>2</v>
      </c>
      <c r="FC43" s="976">
        <v>1.2</v>
      </c>
      <c r="FD43" s="976">
        <v>1.2</v>
      </c>
      <c r="FE43" s="976">
        <v>1.2</v>
      </c>
      <c r="FF43" s="976">
        <v>1.6</v>
      </c>
      <c r="FG43" s="976">
        <v>2.1</v>
      </c>
      <c r="FH43" s="976">
        <v>1.6</v>
      </c>
      <c r="FI43" s="976">
        <v>1</v>
      </c>
      <c r="FJ43" s="976">
        <v>0.9</v>
      </c>
      <c r="FK43" s="976">
        <v>0.4</v>
      </c>
      <c r="FL43" s="976">
        <v>0.4</v>
      </c>
      <c r="FM43" s="976">
        <v>0.4</v>
      </c>
      <c r="FN43" s="976">
        <v>0.5</v>
      </c>
      <c r="FO43" s="976">
        <v>0.5</v>
      </c>
      <c r="FP43" s="976">
        <v>0.5</v>
      </c>
      <c r="FQ43" s="976">
        <v>0.5</v>
      </c>
      <c r="FR43" s="976">
        <v>0.5</v>
      </c>
      <c r="FS43" s="976">
        <v>0.5</v>
      </c>
      <c r="FT43" s="976">
        <v>0.5</v>
      </c>
      <c r="FU43" s="976">
        <v>0.5</v>
      </c>
      <c r="FV43" s="976">
        <v>0.5</v>
      </c>
      <c r="FW43" s="976">
        <v>0.5</v>
      </c>
      <c r="FX43" s="976">
        <v>0.5</v>
      </c>
      <c r="FY43" s="976">
        <v>0.5</v>
      </c>
      <c r="FZ43" s="976">
        <v>0.5</v>
      </c>
      <c r="GA43" s="976">
        <v>0.5</v>
      </c>
      <c r="GB43" s="976">
        <v>0.5</v>
      </c>
      <c r="GC43" s="976">
        <v>0.5</v>
      </c>
      <c r="GD43" s="976">
        <v>0.5</v>
      </c>
      <c r="GE43" s="976">
        <v>0.5</v>
      </c>
      <c r="GF43" s="976">
        <v>0.5</v>
      </c>
      <c r="GG43" s="976">
        <v>0.5</v>
      </c>
      <c r="GH43" s="976">
        <v>0.5</v>
      </c>
      <c r="GI43" s="976">
        <v>0.6</v>
      </c>
      <c r="GJ43" s="976">
        <v>0.6</v>
      </c>
      <c r="GK43" s="976">
        <v>0.6</v>
      </c>
      <c r="GL43" s="976">
        <v>0.6</v>
      </c>
      <c r="GM43" s="976">
        <v>0.6</v>
      </c>
      <c r="GN43" s="976">
        <v>0.6</v>
      </c>
      <c r="GO43" s="976">
        <v>0.6</v>
      </c>
      <c r="GP43" s="976">
        <v>0.6</v>
      </c>
      <c r="GQ43" s="976">
        <v>0.6</v>
      </c>
      <c r="GR43" s="976">
        <v>0.6</v>
      </c>
      <c r="GS43" s="976">
        <v>0.6</v>
      </c>
      <c r="GT43" s="976">
        <v>0.6</v>
      </c>
      <c r="GU43" s="976">
        <v>0.6</v>
      </c>
      <c r="GV43" s="976">
        <v>0.6</v>
      </c>
      <c r="GW43" s="976">
        <v>0.6</v>
      </c>
      <c r="GX43" s="976">
        <v>2.5</v>
      </c>
    </row>
    <row r="44" spans="1:206">
      <c r="A44" s="976" t="s">
        <v>256</v>
      </c>
      <c r="B44" s="976">
        <v>4.7</v>
      </c>
      <c r="C44" s="976">
        <v>4.8</v>
      </c>
      <c r="D44" s="976">
        <v>4.7</v>
      </c>
      <c r="E44" s="976">
        <v>4.8</v>
      </c>
      <c r="F44" s="976">
        <v>4.8</v>
      </c>
      <c r="G44" s="976">
        <v>4.8</v>
      </c>
      <c r="H44" s="976">
        <v>4.5</v>
      </c>
      <c r="I44" s="976">
        <v>4.5999999999999996</v>
      </c>
      <c r="J44" s="976">
        <v>6.1</v>
      </c>
      <c r="K44" s="976">
        <v>6.2</v>
      </c>
      <c r="L44" s="976">
        <v>7.2</v>
      </c>
      <c r="M44" s="976">
        <v>7.1</v>
      </c>
      <c r="N44" s="976">
        <v>5.9</v>
      </c>
      <c r="O44" s="976">
        <v>5.7</v>
      </c>
      <c r="P44" s="976">
        <v>4.7</v>
      </c>
      <c r="Q44" s="976">
        <v>4.5999999999999996</v>
      </c>
      <c r="R44" s="976">
        <v>3.6</v>
      </c>
      <c r="S44" s="976">
        <v>2.9</v>
      </c>
      <c r="T44" s="976">
        <v>3.2</v>
      </c>
      <c r="U44" s="976">
        <v>3.6</v>
      </c>
      <c r="V44" s="976">
        <v>4.2</v>
      </c>
      <c r="W44" s="976">
        <v>4.3</v>
      </c>
      <c r="X44" s="976">
        <v>4.5999999999999996</v>
      </c>
      <c r="Y44" s="976">
        <v>4.9000000000000004</v>
      </c>
      <c r="Z44" s="976">
        <v>5.0999999999999996</v>
      </c>
      <c r="AA44" s="976">
        <v>4.8</v>
      </c>
      <c r="AB44" s="976">
        <v>5.0999999999999996</v>
      </c>
      <c r="AC44" s="976">
        <v>5.5</v>
      </c>
      <c r="AD44" s="976">
        <v>5.8</v>
      </c>
      <c r="AE44" s="976">
        <v>5.9</v>
      </c>
      <c r="AF44" s="976">
        <v>6.4</v>
      </c>
      <c r="AG44" s="976">
        <v>10.3</v>
      </c>
      <c r="AH44" s="976">
        <v>8.6999999999999993</v>
      </c>
      <c r="AI44" s="976">
        <v>8.4</v>
      </c>
      <c r="AJ44" s="976">
        <v>8.3000000000000007</v>
      </c>
      <c r="AK44" s="976">
        <v>10.4</v>
      </c>
      <c r="AL44" s="976">
        <v>8.4</v>
      </c>
      <c r="AM44" s="976">
        <v>8.8000000000000007</v>
      </c>
      <c r="AN44" s="976">
        <v>8.1</v>
      </c>
      <c r="AO44" s="976">
        <v>8.9</v>
      </c>
      <c r="AP44" s="976">
        <v>9.1999999999999993</v>
      </c>
      <c r="AQ44" s="976">
        <v>9.6</v>
      </c>
      <c r="AR44" s="976">
        <v>10.1</v>
      </c>
      <c r="AS44" s="976">
        <v>10.3</v>
      </c>
      <c r="AT44" s="976">
        <v>10.6</v>
      </c>
      <c r="AU44" s="976">
        <v>10.7</v>
      </c>
      <c r="AV44" s="976">
        <v>11.1</v>
      </c>
      <c r="AW44" s="976">
        <v>13.5</v>
      </c>
      <c r="AX44" s="976">
        <v>14</v>
      </c>
      <c r="AY44" s="976">
        <v>13.6</v>
      </c>
      <c r="AZ44" s="976">
        <v>13</v>
      </c>
      <c r="BA44" s="976">
        <v>19.399999999999999</v>
      </c>
      <c r="BB44" s="976">
        <v>19.899999999999999</v>
      </c>
      <c r="BC44" s="976">
        <v>21.6</v>
      </c>
      <c r="BD44" s="976">
        <v>22.2</v>
      </c>
      <c r="BE44" s="976">
        <v>21.5</v>
      </c>
      <c r="BF44" s="976">
        <v>21.2</v>
      </c>
      <c r="BG44" s="976">
        <v>21</v>
      </c>
      <c r="BH44" s="976">
        <v>20.9</v>
      </c>
      <c r="BI44" s="976">
        <v>21.2</v>
      </c>
      <c r="BJ44" s="976">
        <v>21.1</v>
      </c>
      <c r="BK44" s="976">
        <v>21</v>
      </c>
      <c r="BL44" s="976">
        <v>21.3</v>
      </c>
      <c r="BM44" s="976">
        <v>22</v>
      </c>
      <c r="BN44" s="976">
        <v>23.1</v>
      </c>
      <c r="BO44" s="976">
        <v>24.2</v>
      </c>
      <c r="BP44" s="976">
        <v>25.5</v>
      </c>
      <c r="BQ44" s="976">
        <v>26.8</v>
      </c>
      <c r="BR44" s="976">
        <v>28.3</v>
      </c>
      <c r="BS44" s="976">
        <v>30.4</v>
      </c>
      <c r="BT44" s="976">
        <v>31.3</v>
      </c>
      <c r="BU44" s="976">
        <v>31.1</v>
      </c>
      <c r="BV44" s="976">
        <v>30.4</v>
      </c>
      <c r="BW44" s="976">
        <v>29.8</v>
      </c>
      <c r="BX44" s="976">
        <v>29.2</v>
      </c>
      <c r="BY44" s="976">
        <v>28.6</v>
      </c>
      <c r="BZ44" s="976">
        <v>28</v>
      </c>
      <c r="CA44" s="976">
        <v>27.4</v>
      </c>
      <c r="CB44" s="976">
        <v>27.1</v>
      </c>
      <c r="CC44" s="976">
        <v>27.3</v>
      </c>
      <c r="CD44" s="976">
        <v>27.1</v>
      </c>
      <c r="CE44" s="976">
        <v>27</v>
      </c>
      <c r="CF44" s="976">
        <v>26.9</v>
      </c>
      <c r="CG44" s="976">
        <v>27</v>
      </c>
      <c r="CH44" s="976">
        <v>27.1</v>
      </c>
      <c r="CI44" s="976">
        <v>27.2</v>
      </c>
      <c r="CJ44" s="976">
        <v>27.5</v>
      </c>
      <c r="CK44" s="976">
        <v>28.1</v>
      </c>
      <c r="CL44" s="976">
        <v>28.6</v>
      </c>
      <c r="CM44" s="976">
        <v>29.2</v>
      </c>
      <c r="CN44" s="976">
        <v>30.4</v>
      </c>
      <c r="CO44" s="976">
        <v>32.200000000000003</v>
      </c>
      <c r="CP44" s="976">
        <v>35.5</v>
      </c>
      <c r="CQ44" s="976">
        <v>37.6</v>
      </c>
      <c r="CR44" s="976">
        <v>37.700000000000003</v>
      </c>
      <c r="CS44" s="976">
        <v>36</v>
      </c>
      <c r="CT44" s="976">
        <v>33.6</v>
      </c>
      <c r="CU44" s="976">
        <v>32.4</v>
      </c>
      <c r="CV44" s="976">
        <v>31.9</v>
      </c>
      <c r="CW44" s="976">
        <v>32.200000000000003</v>
      </c>
      <c r="CX44" s="976">
        <v>34</v>
      </c>
      <c r="CY44" s="976">
        <v>34.6</v>
      </c>
      <c r="CZ44" s="976">
        <v>35.1</v>
      </c>
      <c r="DA44" s="976">
        <v>35.5</v>
      </c>
      <c r="DB44" s="976">
        <v>35.5</v>
      </c>
      <c r="DC44" s="976">
        <v>35.4</v>
      </c>
      <c r="DD44" s="976">
        <v>35.200000000000003</v>
      </c>
      <c r="DE44" s="976">
        <v>34.799999999999997</v>
      </c>
      <c r="DF44" s="976">
        <v>34.4</v>
      </c>
      <c r="DG44" s="976">
        <v>33.6</v>
      </c>
      <c r="DH44" s="976">
        <v>33.4</v>
      </c>
      <c r="DI44" s="976">
        <v>33.799999999999997</v>
      </c>
      <c r="DJ44" s="976">
        <v>33.799999999999997</v>
      </c>
      <c r="DK44" s="976">
        <v>35</v>
      </c>
      <c r="DL44" s="976">
        <v>36.799999999999997</v>
      </c>
      <c r="DM44" s="976">
        <v>39.9</v>
      </c>
      <c r="DN44" s="976">
        <v>42.4</v>
      </c>
      <c r="DO44" s="976">
        <v>45</v>
      </c>
      <c r="DP44" s="976">
        <v>46.4</v>
      </c>
      <c r="DQ44" s="976">
        <v>46.9</v>
      </c>
      <c r="DR44" s="976">
        <v>45.1</v>
      </c>
      <c r="DS44" s="976">
        <v>45.5</v>
      </c>
      <c r="DT44" s="976">
        <v>45.8</v>
      </c>
      <c r="DU44" s="976">
        <v>47</v>
      </c>
      <c r="DV44" s="976">
        <v>55.2</v>
      </c>
      <c r="DW44" s="976">
        <v>62</v>
      </c>
      <c r="DX44" s="976">
        <v>71.2</v>
      </c>
      <c r="DY44" s="976">
        <v>46.4</v>
      </c>
      <c r="DZ44" s="976">
        <v>42.6</v>
      </c>
      <c r="EA44" s="976">
        <v>39.799999999999997</v>
      </c>
      <c r="EB44" s="976">
        <v>41.3</v>
      </c>
      <c r="EC44" s="976">
        <v>41.9</v>
      </c>
      <c r="ED44" s="976">
        <v>47.1</v>
      </c>
      <c r="EE44" s="976">
        <v>57.1</v>
      </c>
      <c r="EF44" s="976">
        <v>45.9</v>
      </c>
      <c r="EG44" s="976">
        <v>46</v>
      </c>
      <c r="EH44" s="976">
        <v>44.2</v>
      </c>
      <c r="EI44" s="976">
        <v>43.7</v>
      </c>
      <c r="EJ44" s="976">
        <v>45.4</v>
      </c>
      <c r="EK44" s="976">
        <v>52.3</v>
      </c>
      <c r="EL44" s="976">
        <v>56.7</v>
      </c>
      <c r="EM44" s="976">
        <v>60.7</v>
      </c>
      <c r="EN44" s="976">
        <v>62</v>
      </c>
      <c r="EO44" s="976">
        <v>64.2</v>
      </c>
      <c r="EP44" s="976">
        <v>55.7</v>
      </c>
      <c r="EQ44" s="976">
        <v>51.5</v>
      </c>
      <c r="ER44" s="976">
        <v>49.9</v>
      </c>
      <c r="ES44" s="976">
        <v>48.7</v>
      </c>
      <c r="ET44" s="976">
        <v>49.5</v>
      </c>
      <c r="EU44" s="976">
        <v>58.2</v>
      </c>
      <c r="EV44" s="976">
        <v>55.9</v>
      </c>
      <c r="EW44" s="976">
        <v>54.7</v>
      </c>
      <c r="EX44" s="976">
        <v>51.9</v>
      </c>
      <c r="EY44" s="976">
        <v>51.7</v>
      </c>
      <c r="EZ44" s="976">
        <v>52</v>
      </c>
      <c r="FA44" s="976">
        <v>54.6</v>
      </c>
      <c r="FB44" s="976">
        <v>55.4</v>
      </c>
      <c r="FC44" s="976">
        <v>55.5</v>
      </c>
      <c r="FD44" s="976">
        <v>67.099999999999994</v>
      </c>
      <c r="FE44" s="976">
        <v>55.5</v>
      </c>
      <c r="FF44" s="976">
        <v>54.8</v>
      </c>
      <c r="FG44" s="976">
        <v>55.5</v>
      </c>
      <c r="FH44" s="976">
        <v>56</v>
      </c>
      <c r="FI44" s="976">
        <v>56.9</v>
      </c>
      <c r="FJ44" s="976">
        <v>58.9</v>
      </c>
      <c r="FK44" s="976">
        <v>59.9</v>
      </c>
      <c r="FL44" s="976">
        <v>60.2</v>
      </c>
      <c r="FM44" s="976">
        <v>61.1</v>
      </c>
      <c r="FN44" s="976">
        <v>58.4</v>
      </c>
      <c r="FO44" s="976">
        <v>58.1</v>
      </c>
      <c r="FP44" s="976">
        <v>56.3</v>
      </c>
      <c r="FQ44" s="976">
        <v>59.4</v>
      </c>
      <c r="FR44" s="976">
        <v>59.4</v>
      </c>
      <c r="FS44" s="976">
        <v>60.1</v>
      </c>
      <c r="FT44" s="976">
        <v>60</v>
      </c>
      <c r="FU44" s="976">
        <v>59.4</v>
      </c>
      <c r="FV44" s="976">
        <v>58.7</v>
      </c>
      <c r="FW44" s="976">
        <v>58.5</v>
      </c>
      <c r="FX44" s="976">
        <v>58.2</v>
      </c>
      <c r="FY44" s="976">
        <v>57</v>
      </c>
      <c r="FZ44" s="976">
        <v>56</v>
      </c>
      <c r="GA44" s="976">
        <v>56.4</v>
      </c>
      <c r="GB44" s="976">
        <v>57.7</v>
      </c>
      <c r="GC44" s="976">
        <v>58.7</v>
      </c>
      <c r="GD44" s="976">
        <v>60.7</v>
      </c>
      <c r="GE44" s="976">
        <v>62.4</v>
      </c>
      <c r="GF44" s="976">
        <v>63</v>
      </c>
      <c r="GG44" s="976">
        <v>61</v>
      </c>
      <c r="GH44" s="976">
        <v>59.5</v>
      </c>
      <c r="GI44" s="976">
        <v>58.1</v>
      </c>
      <c r="GJ44" s="976">
        <v>61.9</v>
      </c>
      <c r="GK44" s="976">
        <v>60</v>
      </c>
      <c r="GL44" s="976">
        <v>58.2</v>
      </c>
      <c r="GM44" s="976">
        <v>57.8</v>
      </c>
      <c r="GN44" s="976">
        <v>57.9</v>
      </c>
      <c r="GO44" s="976">
        <v>79.5</v>
      </c>
      <c r="GP44" s="976">
        <v>71.3</v>
      </c>
      <c r="GQ44" s="976">
        <v>61.1</v>
      </c>
      <c r="GR44" s="976">
        <v>82</v>
      </c>
      <c r="GS44" s="976">
        <v>81.099999999999994</v>
      </c>
      <c r="GT44" s="976">
        <v>75.099999999999994</v>
      </c>
      <c r="GU44" s="976">
        <v>1086.5</v>
      </c>
      <c r="GV44" s="976">
        <v>1213.5</v>
      </c>
      <c r="GW44" s="976">
        <v>610.4</v>
      </c>
      <c r="GX44" s="976">
        <v>405.3</v>
      </c>
    </row>
    <row r="45" spans="1:206">
      <c r="A45" s="976" t="s">
        <v>257</v>
      </c>
      <c r="GU45" s="976">
        <v>1078.0999999999999</v>
      </c>
      <c r="GV45" s="976">
        <v>15.6</v>
      </c>
      <c r="GW45" s="976">
        <v>5</v>
      </c>
      <c r="GX45" s="976">
        <v>1933.7</v>
      </c>
    </row>
    <row r="46" spans="1:206">
      <c r="A46" s="976" t="s">
        <v>258</v>
      </c>
      <c r="GU46" s="976">
        <v>9.6999999999999993</v>
      </c>
      <c r="GV46" s="976">
        <v>14.8</v>
      </c>
      <c r="GW46" s="976">
        <v>15.1</v>
      </c>
      <c r="GX46" s="976">
        <v>15.5</v>
      </c>
    </row>
    <row r="47" spans="1:206">
      <c r="A47" s="976" t="s">
        <v>259</v>
      </c>
      <c r="GU47" s="976">
        <v>19.100000000000001</v>
      </c>
      <c r="GV47" s="976">
        <v>27</v>
      </c>
      <c r="GW47" s="976">
        <v>10.8</v>
      </c>
      <c r="GX47" s="976">
        <v>10.8</v>
      </c>
    </row>
    <row r="48" spans="1:206">
      <c r="A48" s="976" t="s">
        <v>260</v>
      </c>
      <c r="GU48" s="976">
        <v>160.9</v>
      </c>
      <c r="GV48" s="976">
        <v>58.4</v>
      </c>
      <c r="GW48" s="976">
        <v>34.5</v>
      </c>
      <c r="GX48" s="976">
        <v>43</v>
      </c>
    </row>
    <row r="49" spans="1:206">
      <c r="A49" s="976" t="s">
        <v>261</v>
      </c>
      <c r="GU49" s="976">
        <v>609.29999999999995</v>
      </c>
      <c r="GV49" s="976">
        <v>865.6</v>
      </c>
      <c r="GW49" s="976">
        <v>260.3</v>
      </c>
      <c r="GX49" s="976">
        <v>184.6</v>
      </c>
    </row>
    <row r="50" spans="1:206">
      <c r="A50" s="976" t="s">
        <v>262</v>
      </c>
      <c r="GU50" s="976">
        <v>63.8</v>
      </c>
      <c r="GV50" s="976">
        <v>15</v>
      </c>
      <c r="GW50" s="976">
        <v>0.1</v>
      </c>
      <c r="GX50" s="976">
        <v>38</v>
      </c>
    </row>
    <row r="51" spans="1:206">
      <c r="A51" s="976" t="s">
        <v>263</v>
      </c>
      <c r="GU51" s="976">
        <v>73.3</v>
      </c>
      <c r="GV51" s="976">
        <v>73.3</v>
      </c>
      <c r="GW51" s="976">
        <v>73.3</v>
      </c>
      <c r="GX51" s="976">
        <v>73.3</v>
      </c>
    </row>
    <row r="52" spans="1:206">
      <c r="A52" s="976" t="s">
        <v>264</v>
      </c>
      <c r="GU52" s="976">
        <v>22</v>
      </c>
      <c r="GV52" s="976">
        <v>0</v>
      </c>
      <c r="GW52" s="976">
        <v>0</v>
      </c>
      <c r="GX52" s="976">
        <v>9.8000000000000007</v>
      </c>
    </row>
    <row r="53" spans="1:206">
      <c r="A53" s="976" t="s">
        <v>265</v>
      </c>
      <c r="GU53" s="976">
        <v>16.899999999999999</v>
      </c>
      <c r="GV53" s="976">
        <v>18.399999999999999</v>
      </c>
      <c r="GW53" s="976">
        <v>46.2</v>
      </c>
      <c r="GX53" s="976">
        <v>0.9</v>
      </c>
    </row>
    <row r="54" spans="1:206">
      <c r="A54" s="976" t="s">
        <v>266</v>
      </c>
      <c r="GU54" s="976">
        <v>96.6</v>
      </c>
      <c r="GV54" s="976">
        <v>35.1</v>
      </c>
      <c r="GW54" s="976">
        <v>20.7</v>
      </c>
      <c r="GX54" s="976">
        <v>25.7</v>
      </c>
    </row>
    <row r="55" spans="1:206">
      <c r="A55" s="976" t="s">
        <v>267</v>
      </c>
      <c r="GU55" s="976">
        <v>140</v>
      </c>
      <c r="GV55" s="976">
        <v>140</v>
      </c>
      <c r="GW55" s="976">
        <v>140</v>
      </c>
      <c r="GX55" s="976">
        <v>8</v>
      </c>
    </row>
    <row r="56" spans="1:206">
      <c r="A56" s="976" t="s">
        <v>1</v>
      </c>
      <c r="GU56" s="976">
        <v>597.9</v>
      </c>
      <c r="GV56" s="976">
        <v>0</v>
      </c>
      <c r="GW56" s="976">
        <v>0</v>
      </c>
      <c r="GX56" s="976">
        <v>0</v>
      </c>
    </row>
    <row r="57" spans="1:206">
      <c r="A57" s="976" t="s">
        <v>2</v>
      </c>
      <c r="GU57" s="976">
        <v>28.4</v>
      </c>
      <c r="GV57" s="976">
        <v>15.8</v>
      </c>
      <c r="GW57" s="976">
        <v>15.2</v>
      </c>
      <c r="GX57" s="976">
        <v>28.9</v>
      </c>
    </row>
    <row r="58" spans="1:206">
      <c r="A58" s="976" t="s">
        <v>3</v>
      </c>
      <c r="GU58" s="976">
        <v>64.400000000000006</v>
      </c>
      <c r="GV58" s="976">
        <v>23.4</v>
      </c>
      <c r="GW58" s="976">
        <v>13.8</v>
      </c>
      <c r="GX58" s="976">
        <v>17.100000000000001</v>
      </c>
    </row>
    <row r="59" spans="1:206">
      <c r="A59" s="976" t="s">
        <v>211</v>
      </c>
      <c r="GU59" s="976">
        <v>7.2</v>
      </c>
      <c r="GV59" s="976">
        <v>23.9</v>
      </c>
      <c r="GW59" s="976">
        <v>63.6</v>
      </c>
      <c r="GX59" s="976">
        <v>74.099999999999994</v>
      </c>
    </row>
    <row r="60" spans="1:206">
      <c r="A60" s="976" t="s">
        <v>212</v>
      </c>
      <c r="GU60" s="976">
        <v>101.5</v>
      </c>
      <c r="GV60" s="976">
        <v>156.1</v>
      </c>
      <c r="GW60" s="976">
        <v>110.3</v>
      </c>
      <c r="GX60" s="976">
        <v>97.2</v>
      </c>
    </row>
    <row r="61" spans="1:206">
      <c r="A61" s="976" t="s">
        <v>213</v>
      </c>
      <c r="GU61" s="976">
        <v>679.2</v>
      </c>
      <c r="GV61" s="976">
        <v>373.1</v>
      </c>
      <c r="GW61" s="976">
        <v>13.6</v>
      </c>
      <c r="GX61" s="976">
        <v>283.60000000000002</v>
      </c>
    </row>
    <row r="62" spans="1:206">
      <c r="A62" s="976" t="s">
        <v>268</v>
      </c>
      <c r="GU62" s="976">
        <v>788</v>
      </c>
      <c r="GV62" s="976">
        <v>556.20000000000005</v>
      </c>
      <c r="GW62" s="976">
        <v>198.5</v>
      </c>
      <c r="GX62" s="976">
        <v>473.5</v>
      </c>
    </row>
    <row r="63" spans="1:206">
      <c r="A63" s="976" t="s">
        <v>210</v>
      </c>
      <c r="GV63" s="976">
        <v>3.1</v>
      </c>
      <c r="GW63" s="976">
        <v>11</v>
      </c>
      <c r="GX63" s="976">
        <v>18.600000000000001</v>
      </c>
    </row>
    <row r="64" spans="1:206">
      <c r="A64" s="976" t="s">
        <v>214</v>
      </c>
      <c r="GV64" s="976">
        <v>106.2</v>
      </c>
      <c r="GW64" s="976">
        <v>35.9</v>
      </c>
      <c r="GX64" s="976">
        <v>1.6</v>
      </c>
    </row>
    <row r="65" spans="1:206">
      <c r="A65" s="976" t="s">
        <v>739</v>
      </c>
      <c r="B65" s="976">
        <v>5.7</v>
      </c>
      <c r="C65" s="976">
        <v>5.4</v>
      </c>
      <c r="D65" s="976">
        <v>4.9000000000000004</v>
      </c>
      <c r="E65" s="976">
        <v>5.0999999999999996</v>
      </c>
      <c r="F65" s="976">
        <v>5.6</v>
      </c>
      <c r="G65" s="976">
        <v>6.4</v>
      </c>
      <c r="H65" s="976">
        <v>5.9</v>
      </c>
      <c r="I65" s="976">
        <v>5.8</v>
      </c>
      <c r="J65" s="976">
        <v>5.9</v>
      </c>
      <c r="K65" s="976">
        <v>5.5</v>
      </c>
      <c r="L65" s="976">
        <v>7</v>
      </c>
      <c r="M65" s="976">
        <v>5.9</v>
      </c>
      <c r="N65" s="976">
        <v>5.9</v>
      </c>
      <c r="O65" s="976">
        <v>6.4</v>
      </c>
      <c r="P65" s="976">
        <v>5.5</v>
      </c>
      <c r="Q65" s="976">
        <v>6.1</v>
      </c>
      <c r="R65" s="976">
        <v>8</v>
      </c>
      <c r="S65" s="976">
        <v>8.8000000000000007</v>
      </c>
      <c r="T65" s="976">
        <v>6.7</v>
      </c>
      <c r="U65" s="976">
        <v>8.1</v>
      </c>
      <c r="V65" s="976">
        <v>9</v>
      </c>
      <c r="W65" s="976">
        <v>8.1</v>
      </c>
      <c r="X65" s="976">
        <v>11.1</v>
      </c>
      <c r="Y65" s="976">
        <v>10.7</v>
      </c>
      <c r="Z65" s="976">
        <v>10.3</v>
      </c>
      <c r="AA65" s="976">
        <v>10</v>
      </c>
      <c r="AB65" s="976">
        <v>10.8</v>
      </c>
      <c r="AC65" s="976">
        <v>11.3</v>
      </c>
      <c r="AD65" s="976">
        <v>10.9</v>
      </c>
      <c r="AE65" s="976">
        <v>10.9</v>
      </c>
      <c r="AF65" s="976">
        <v>12.1</v>
      </c>
      <c r="AG65" s="976">
        <v>10.9</v>
      </c>
      <c r="AH65" s="976">
        <v>11.2</v>
      </c>
      <c r="AI65" s="976">
        <v>11.8</v>
      </c>
      <c r="AJ65" s="976">
        <v>12.2</v>
      </c>
      <c r="AK65" s="976">
        <v>12.8</v>
      </c>
      <c r="AL65" s="976">
        <v>13.9</v>
      </c>
      <c r="AM65" s="976">
        <v>13.4</v>
      </c>
      <c r="AN65" s="976">
        <v>14.7</v>
      </c>
      <c r="AO65" s="976">
        <v>16.100000000000001</v>
      </c>
      <c r="AP65" s="976">
        <v>16.7</v>
      </c>
      <c r="AQ65" s="976">
        <v>16.899999999999999</v>
      </c>
      <c r="AR65" s="976">
        <v>16.3</v>
      </c>
      <c r="AS65" s="976">
        <v>17.100000000000001</v>
      </c>
      <c r="AT65" s="976">
        <v>16.399999999999999</v>
      </c>
      <c r="AU65" s="976">
        <v>16</v>
      </c>
      <c r="AV65" s="976">
        <v>15.1</v>
      </c>
      <c r="AW65" s="976">
        <v>15.4</v>
      </c>
      <c r="AX65" s="976">
        <v>14.2</v>
      </c>
      <c r="AY65" s="976">
        <v>14.9</v>
      </c>
      <c r="AZ65" s="976">
        <v>14.8</v>
      </c>
      <c r="BA65" s="976">
        <v>14.7</v>
      </c>
      <c r="BB65" s="976">
        <v>16.100000000000001</v>
      </c>
      <c r="BC65" s="976">
        <v>14.3</v>
      </c>
      <c r="BD65" s="976">
        <v>16</v>
      </c>
      <c r="BE65" s="976">
        <v>15.9</v>
      </c>
      <c r="BF65" s="976">
        <v>16.7</v>
      </c>
      <c r="BG65" s="976">
        <v>17.3</v>
      </c>
      <c r="BH65" s="976">
        <v>18.2</v>
      </c>
      <c r="BI65" s="976">
        <v>18.899999999999999</v>
      </c>
      <c r="BJ65" s="976">
        <v>17.2</v>
      </c>
      <c r="BK65" s="976">
        <v>19.600000000000001</v>
      </c>
      <c r="BL65" s="976">
        <v>20.2</v>
      </c>
      <c r="BM65" s="976">
        <v>21.3</v>
      </c>
      <c r="BN65" s="976">
        <v>19.8</v>
      </c>
      <c r="BO65" s="976">
        <v>20.7</v>
      </c>
      <c r="BP65" s="976">
        <v>21.4</v>
      </c>
      <c r="BQ65" s="976">
        <v>18.399999999999999</v>
      </c>
      <c r="BR65" s="976">
        <v>18.899999999999999</v>
      </c>
      <c r="BS65" s="976">
        <v>19.7</v>
      </c>
      <c r="BT65" s="976">
        <v>19</v>
      </c>
      <c r="BU65" s="976">
        <v>18.8</v>
      </c>
      <c r="BV65" s="976">
        <v>19.100000000000001</v>
      </c>
      <c r="BW65" s="976">
        <v>20</v>
      </c>
      <c r="BX65" s="976">
        <v>20.5</v>
      </c>
      <c r="BY65" s="976">
        <v>19.399999999999999</v>
      </c>
      <c r="BZ65" s="976">
        <v>20.3</v>
      </c>
      <c r="CA65" s="976">
        <v>20.100000000000001</v>
      </c>
      <c r="CB65" s="976">
        <v>19</v>
      </c>
      <c r="CC65" s="976">
        <v>21.5</v>
      </c>
      <c r="CD65" s="976">
        <v>22.3</v>
      </c>
      <c r="CE65" s="976">
        <v>20.3</v>
      </c>
      <c r="CF65" s="976">
        <v>20.7</v>
      </c>
      <c r="CG65" s="976">
        <v>49.5</v>
      </c>
      <c r="CH65" s="976">
        <v>26</v>
      </c>
      <c r="CI65" s="976">
        <v>22.2</v>
      </c>
      <c r="CJ65" s="976">
        <v>37.1</v>
      </c>
      <c r="CK65" s="976">
        <v>20.8</v>
      </c>
      <c r="CL65" s="976">
        <v>21.6</v>
      </c>
      <c r="CM65" s="976">
        <v>23.2</v>
      </c>
      <c r="CN65" s="976">
        <v>22.5</v>
      </c>
      <c r="CO65" s="976">
        <v>23.2</v>
      </c>
      <c r="CP65" s="976">
        <v>24.4</v>
      </c>
      <c r="CQ65" s="976">
        <v>22.6</v>
      </c>
      <c r="CR65" s="976">
        <v>25.3</v>
      </c>
      <c r="CS65" s="976">
        <v>24.9</v>
      </c>
      <c r="CT65" s="976">
        <v>23.8</v>
      </c>
      <c r="CU65" s="976">
        <v>27.5</v>
      </c>
      <c r="CV65" s="976">
        <v>26.2</v>
      </c>
      <c r="CW65" s="976">
        <v>26.7</v>
      </c>
      <c r="CX65" s="976">
        <v>27.9</v>
      </c>
      <c r="CY65" s="976">
        <v>28.2</v>
      </c>
      <c r="CZ65" s="976">
        <v>28.4</v>
      </c>
      <c r="DA65" s="976">
        <v>27</v>
      </c>
      <c r="DB65" s="976">
        <v>29.3</v>
      </c>
      <c r="DC65" s="976">
        <v>28.1</v>
      </c>
      <c r="DD65" s="976">
        <v>27.3</v>
      </c>
      <c r="DE65" s="976">
        <v>28.9</v>
      </c>
      <c r="DF65" s="976">
        <v>28.6</v>
      </c>
      <c r="DG65" s="976">
        <v>29.5</v>
      </c>
      <c r="DH65" s="976">
        <v>29.7</v>
      </c>
      <c r="DI65" s="976">
        <v>29</v>
      </c>
      <c r="DJ65" s="976">
        <v>27.3</v>
      </c>
      <c r="DK65" s="976">
        <v>27.5</v>
      </c>
      <c r="DL65" s="976">
        <v>29.4</v>
      </c>
      <c r="DM65" s="976">
        <v>31.5</v>
      </c>
      <c r="DN65" s="976">
        <v>29.2</v>
      </c>
      <c r="DO65" s="976">
        <v>33.9</v>
      </c>
      <c r="DP65" s="976">
        <v>35.9</v>
      </c>
      <c r="DQ65" s="976">
        <v>56.3</v>
      </c>
      <c r="DR65" s="976">
        <v>38</v>
      </c>
      <c r="DS65" s="976">
        <v>37.9</v>
      </c>
      <c r="DT65" s="976">
        <v>39.4</v>
      </c>
      <c r="DU65" s="976">
        <v>49.6</v>
      </c>
      <c r="DV65" s="976">
        <v>40.9</v>
      </c>
      <c r="DW65" s="976">
        <v>43.8</v>
      </c>
      <c r="DX65" s="976">
        <v>44.3</v>
      </c>
      <c r="DY65" s="976">
        <v>45.3</v>
      </c>
      <c r="DZ65" s="976">
        <v>59.6</v>
      </c>
      <c r="EA65" s="976">
        <v>47.2</v>
      </c>
      <c r="EB65" s="976">
        <v>43.2</v>
      </c>
      <c r="EC65" s="976">
        <v>63.5</v>
      </c>
      <c r="ED65" s="976">
        <v>65.7</v>
      </c>
      <c r="EE65" s="976">
        <v>75.5</v>
      </c>
      <c r="EF65" s="976">
        <v>71.5</v>
      </c>
      <c r="EG65" s="976">
        <v>66.400000000000006</v>
      </c>
      <c r="EH65" s="976">
        <v>75.3</v>
      </c>
      <c r="EI65" s="976">
        <v>65.2</v>
      </c>
      <c r="EJ65" s="976">
        <v>74.7</v>
      </c>
      <c r="EK65" s="976">
        <v>70.2</v>
      </c>
      <c r="EL65" s="976">
        <v>90.6</v>
      </c>
      <c r="EM65" s="976">
        <v>75</v>
      </c>
      <c r="EN65" s="976">
        <v>141.5</v>
      </c>
      <c r="EO65" s="976">
        <v>82.9</v>
      </c>
      <c r="EP65" s="976">
        <v>80.5</v>
      </c>
      <c r="EQ65" s="976">
        <v>77.5</v>
      </c>
      <c r="ER65" s="976">
        <v>74.8</v>
      </c>
      <c r="ES65" s="976">
        <v>73.900000000000006</v>
      </c>
      <c r="ET65" s="976">
        <v>90.3</v>
      </c>
      <c r="EU65" s="976">
        <v>86.5</v>
      </c>
      <c r="EV65" s="976">
        <v>86.3</v>
      </c>
      <c r="EW65" s="976">
        <v>80.400000000000006</v>
      </c>
      <c r="EX65" s="976">
        <v>87</v>
      </c>
      <c r="EY65" s="976">
        <v>81.400000000000006</v>
      </c>
      <c r="EZ65" s="976">
        <v>91.2</v>
      </c>
      <c r="FA65" s="976">
        <v>348.6</v>
      </c>
      <c r="FB65" s="976">
        <v>301.2</v>
      </c>
      <c r="FC65" s="976">
        <v>226</v>
      </c>
      <c r="FD65" s="976">
        <v>144.9</v>
      </c>
      <c r="FE65" s="976">
        <v>178.4</v>
      </c>
      <c r="FF65" s="976">
        <v>164.3</v>
      </c>
      <c r="FG65" s="976">
        <v>195.8</v>
      </c>
      <c r="FH65" s="976">
        <v>122.5</v>
      </c>
      <c r="FI65" s="976">
        <v>110</v>
      </c>
      <c r="FJ65" s="976">
        <v>110.2</v>
      </c>
      <c r="FK65" s="976">
        <v>142.19999999999999</v>
      </c>
      <c r="FL65" s="976">
        <v>122.8</v>
      </c>
      <c r="FM65" s="976">
        <v>149.69999999999999</v>
      </c>
      <c r="FN65" s="976">
        <v>110.8</v>
      </c>
      <c r="FO65" s="976">
        <v>93</v>
      </c>
      <c r="FP65" s="976">
        <v>90.7</v>
      </c>
      <c r="FQ65" s="976">
        <v>125.3</v>
      </c>
      <c r="FR65" s="976">
        <v>91.2</v>
      </c>
      <c r="FS65" s="976">
        <v>84.4</v>
      </c>
      <c r="FT65" s="976">
        <v>85.3</v>
      </c>
      <c r="FU65" s="976">
        <v>79.7</v>
      </c>
      <c r="FV65" s="976">
        <v>86.8</v>
      </c>
      <c r="FW65" s="976">
        <v>84.1</v>
      </c>
      <c r="FX65" s="976">
        <v>83</v>
      </c>
      <c r="FY65" s="976">
        <v>80.8</v>
      </c>
      <c r="FZ65" s="976">
        <v>83.2</v>
      </c>
      <c r="GA65" s="976">
        <v>77.099999999999994</v>
      </c>
      <c r="GB65" s="976">
        <v>83.9</v>
      </c>
      <c r="GC65" s="976">
        <v>76.400000000000006</v>
      </c>
      <c r="GD65" s="976">
        <v>81.7</v>
      </c>
      <c r="GE65" s="976">
        <v>77.2</v>
      </c>
      <c r="GF65" s="976">
        <v>79.2</v>
      </c>
      <c r="GG65" s="976">
        <v>84.2</v>
      </c>
      <c r="GH65" s="976">
        <v>84.3</v>
      </c>
      <c r="GI65" s="976">
        <v>84.8</v>
      </c>
      <c r="GJ65" s="976">
        <v>115.8</v>
      </c>
      <c r="GK65" s="976">
        <v>80</v>
      </c>
      <c r="GL65" s="976">
        <v>79.2</v>
      </c>
      <c r="GM65" s="976">
        <v>85.2</v>
      </c>
      <c r="GN65" s="976">
        <v>83.6</v>
      </c>
      <c r="GO65" s="976">
        <v>80.8</v>
      </c>
      <c r="GP65" s="976">
        <v>85.3</v>
      </c>
      <c r="GQ65" s="976">
        <v>77.599999999999994</v>
      </c>
      <c r="GR65" s="976">
        <v>80</v>
      </c>
      <c r="GS65" s="976">
        <v>86.1</v>
      </c>
      <c r="GT65" s="976">
        <v>92.4</v>
      </c>
      <c r="GU65" s="976">
        <v>85.1</v>
      </c>
      <c r="GV65" s="976">
        <v>87.9</v>
      </c>
      <c r="GW65" s="976">
        <v>86.2</v>
      </c>
      <c r="GX65" s="976">
        <v>290.7</v>
      </c>
    </row>
    <row r="66" spans="1:206">
      <c r="A66" s="976" t="s">
        <v>644</v>
      </c>
      <c r="B66" s="976">
        <v>0.58399999999999996</v>
      </c>
      <c r="C66" s="976">
        <v>0.98</v>
      </c>
      <c r="D66" s="976">
        <v>1.256</v>
      </c>
      <c r="E66" s="976">
        <v>1.5920000000000001</v>
      </c>
      <c r="F66" s="976">
        <v>1.62</v>
      </c>
      <c r="G66" s="976">
        <v>1.6</v>
      </c>
      <c r="H66" s="976">
        <v>1.7</v>
      </c>
      <c r="I66" s="976">
        <v>1.8720000000000001</v>
      </c>
      <c r="J66" s="976">
        <v>1.8320000000000001</v>
      </c>
      <c r="K66" s="976">
        <v>1.8240000000000001</v>
      </c>
      <c r="L66" s="976">
        <v>2.1080000000000001</v>
      </c>
      <c r="M66" s="976">
        <v>2.1560000000000001</v>
      </c>
      <c r="N66" s="976">
        <v>2.1560000000000001</v>
      </c>
      <c r="O66" s="976">
        <v>2.1440000000000001</v>
      </c>
      <c r="P66" s="976">
        <v>2.2480000000000002</v>
      </c>
      <c r="Q66" s="976">
        <v>2.2879999999999998</v>
      </c>
      <c r="R66" s="976">
        <v>3.0640000000000001</v>
      </c>
      <c r="S66" s="976">
        <v>3.16</v>
      </c>
      <c r="T66" s="976">
        <v>3.62</v>
      </c>
      <c r="U66" s="976">
        <v>3.8879999999999999</v>
      </c>
      <c r="V66" s="976">
        <v>4.3639999999999999</v>
      </c>
      <c r="W66" s="976">
        <v>4.5119999999999996</v>
      </c>
      <c r="X66" s="976">
        <v>4.8319999999999999</v>
      </c>
      <c r="Y66" s="976">
        <v>4.68</v>
      </c>
      <c r="Z66" s="976">
        <v>4.7679999999999998</v>
      </c>
      <c r="AA66" s="976">
        <v>4.6760000000000002</v>
      </c>
      <c r="AB66" s="976">
        <v>4.4160000000000004</v>
      </c>
      <c r="AC66" s="976">
        <v>4.532</v>
      </c>
      <c r="AD66" s="976">
        <v>4.4960000000000004</v>
      </c>
      <c r="AE66" s="976">
        <v>4.3159999999999998</v>
      </c>
      <c r="AF66" s="976">
        <v>4.38</v>
      </c>
      <c r="AG66" s="976">
        <v>4.3840000000000003</v>
      </c>
      <c r="AH66" s="976">
        <v>4.5839999999999996</v>
      </c>
      <c r="AI66" s="976">
        <v>4.4880000000000004</v>
      </c>
      <c r="AJ66" s="976">
        <v>4.6719999999999997</v>
      </c>
      <c r="AK66" s="976">
        <v>4.5960000000000001</v>
      </c>
      <c r="AL66" s="976">
        <v>5.4240000000000004</v>
      </c>
      <c r="AM66" s="976">
        <v>5.78</v>
      </c>
      <c r="AN66" s="976">
        <v>6.88</v>
      </c>
      <c r="AO66" s="976">
        <v>7.2439999999999998</v>
      </c>
      <c r="AP66" s="976">
        <v>7.7640000000000002</v>
      </c>
      <c r="AQ66" s="976">
        <v>8.14</v>
      </c>
      <c r="AR66" s="976">
        <v>8.44</v>
      </c>
      <c r="AS66" s="976">
        <v>8.5120000000000005</v>
      </c>
      <c r="AT66" s="976">
        <v>10.144</v>
      </c>
      <c r="AU66" s="976">
        <v>10.272</v>
      </c>
      <c r="AV66" s="976">
        <v>10.16</v>
      </c>
      <c r="AW66" s="976">
        <v>9.6839999999999993</v>
      </c>
      <c r="AX66" s="976">
        <v>9.2959999999999994</v>
      </c>
      <c r="AY66" s="976">
        <v>9.4320000000000004</v>
      </c>
      <c r="AZ66" s="976">
        <v>9.6760000000000002</v>
      </c>
      <c r="BA66" s="976">
        <v>11.18</v>
      </c>
      <c r="BB66" s="976">
        <v>11.288</v>
      </c>
      <c r="BC66" s="976">
        <v>11.124000000000001</v>
      </c>
      <c r="BD66" s="976">
        <v>10.964</v>
      </c>
      <c r="BE66" s="976">
        <v>10.888</v>
      </c>
      <c r="BF66" s="976">
        <v>10.8</v>
      </c>
      <c r="BG66" s="976">
        <v>10.624000000000001</v>
      </c>
      <c r="BH66" s="976">
        <v>10.432</v>
      </c>
      <c r="BI66" s="976">
        <v>10.82</v>
      </c>
      <c r="BJ66" s="976">
        <v>10.784000000000001</v>
      </c>
      <c r="BK66" s="976">
        <v>10.72</v>
      </c>
      <c r="BL66" s="976">
        <v>10.612</v>
      </c>
      <c r="BM66" s="976">
        <v>10.644</v>
      </c>
      <c r="BN66" s="976">
        <v>10.488</v>
      </c>
      <c r="BO66" s="976">
        <v>10.564</v>
      </c>
      <c r="BP66" s="976">
        <v>10.576000000000001</v>
      </c>
      <c r="BQ66" s="976">
        <v>10.584</v>
      </c>
      <c r="BR66" s="976">
        <v>10.54</v>
      </c>
      <c r="BS66" s="976">
        <v>10.488</v>
      </c>
      <c r="BT66" s="976">
        <v>10.311999999999999</v>
      </c>
      <c r="BU66" s="976">
        <v>11.087999999999999</v>
      </c>
      <c r="BV66" s="976">
        <v>11.176</v>
      </c>
      <c r="BW66" s="976">
        <v>11.132</v>
      </c>
      <c r="BX66" s="976">
        <v>11.052</v>
      </c>
      <c r="BY66" s="976">
        <v>11.492000000000001</v>
      </c>
      <c r="BZ66" s="976">
        <v>11.656000000000001</v>
      </c>
      <c r="CA66" s="976">
        <v>11.712</v>
      </c>
      <c r="CB66" s="976">
        <v>11.784000000000001</v>
      </c>
      <c r="CC66" s="976">
        <v>14.148</v>
      </c>
      <c r="CD66" s="976">
        <v>13.984</v>
      </c>
      <c r="CE66" s="976">
        <v>14.215999999999999</v>
      </c>
      <c r="CF66" s="976">
        <v>14.404</v>
      </c>
      <c r="CG66" s="976">
        <v>16.36</v>
      </c>
      <c r="CH66" s="976">
        <v>16.995999999999999</v>
      </c>
      <c r="CI66" s="976">
        <v>17.635999999999999</v>
      </c>
      <c r="CJ66" s="976">
        <v>18.091999999999999</v>
      </c>
      <c r="CK66" s="976">
        <v>20.332000000000001</v>
      </c>
      <c r="CL66" s="976">
        <v>20.596</v>
      </c>
      <c r="CM66" s="976">
        <v>20.931999999999999</v>
      </c>
      <c r="CN66" s="976">
        <v>21.792000000000002</v>
      </c>
      <c r="CO66" s="976">
        <v>21.86</v>
      </c>
      <c r="CP66" s="976">
        <v>21.82</v>
      </c>
      <c r="CQ66" s="976">
        <v>22.14</v>
      </c>
      <c r="CR66" s="976">
        <v>22.204000000000001</v>
      </c>
      <c r="CS66" s="976">
        <v>22.68</v>
      </c>
      <c r="CT66" s="976">
        <v>23.06</v>
      </c>
      <c r="CU66" s="976">
        <v>22.58</v>
      </c>
      <c r="CV66" s="976">
        <v>22.504000000000001</v>
      </c>
      <c r="CW66" s="976">
        <v>23.224</v>
      </c>
      <c r="CX66" s="976">
        <v>22.716000000000001</v>
      </c>
      <c r="CY66" s="976">
        <v>22.384</v>
      </c>
      <c r="CZ66" s="976">
        <v>22.052</v>
      </c>
      <c r="DA66" s="976">
        <v>22.635999999999999</v>
      </c>
      <c r="DB66" s="976">
        <v>22.564</v>
      </c>
      <c r="DC66" s="976">
        <v>22.236000000000001</v>
      </c>
      <c r="DD66" s="976">
        <v>21.852</v>
      </c>
      <c r="DE66" s="976">
        <v>21.16</v>
      </c>
      <c r="DF66" s="976">
        <v>20.04</v>
      </c>
      <c r="DG66" s="976">
        <v>19.076000000000001</v>
      </c>
      <c r="DH66" s="976">
        <v>18.143999999999998</v>
      </c>
      <c r="DI66" s="976">
        <v>17.667999999999999</v>
      </c>
      <c r="DJ66" s="976">
        <v>17.123999999999999</v>
      </c>
      <c r="DK66" s="976">
        <v>16.579999999999998</v>
      </c>
      <c r="DL66" s="976">
        <v>15.976000000000001</v>
      </c>
      <c r="DM66" s="976">
        <v>16.18</v>
      </c>
      <c r="DN66" s="976">
        <v>15.788</v>
      </c>
      <c r="DO66" s="976">
        <v>15.464</v>
      </c>
      <c r="DP66" s="976">
        <v>15.284000000000001</v>
      </c>
      <c r="DQ66" s="976">
        <v>15.356</v>
      </c>
      <c r="DR66" s="976">
        <v>13.616</v>
      </c>
      <c r="DS66" s="976">
        <v>14.896000000000001</v>
      </c>
      <c r="DT66" s="976">
        <v>14.84</v>
      </c>
      <c r="DU66" s="976">
        <v>14.907999999999999</v>
      </c>
      <c r="DV66" s="976">
        <v>15.1</v>
      </c>
      <c r="DW66" s="976">
        <v>15.536</v>
      </c>
      <c r="DX66" s="976">
        <v>15.996</v>
      </c>
      <c r="DY66" s="976">
        <v>17.236000000000001</v>
      </c>
      <c r="DZ66" s="976">
        <v>17.898</v>
      </c>
      <c r="EA66" s="976">
        <v>18.222000000000001</v>
      </c>
      <c r="EB66" s="976">
        <v>18.484999999999999</v>
      </c>
      <c r="EC66" s="976">
        <v>19.841999999999999</v>
      </c>
      <c r="ED66" s="976">
        <v>20.652000000000001</v>
      </c>
      <c r="EE66" s="976">
        <v>21.759</v>
      </c>
      <c r="EF66" s="976">
        <v>22.788</v>
      </c>
      <c r="EG66" s="976">
        <v>23.298999999999999</v>
      </c>
      <c r="EH66" s="976">
        <v>24.085999999999999</v>
      </c>
      <c r="EI66" s="976">
        <v>24.969000000000001</v>
      </c>
      <c r="EJ66" s="976">
        <v>25.888000000000002</v>
      </c>
      <c r="EK66" s="976">
        <v>28.838999999999999</v>
      </c>
      <c r="EL66" s="976">
        <v>27.844000000000001</v>
      </c>
      <c r="EM66" s="976">
        <v>28.236999999999998</v>
      </c>
      <c r="EN66" s="976">
        <v>29.613</v>
      </c>
      <c r="EO66" s="976">
        <v>32.274000000000001</v>
      </c>
      <c r="EP66" s="976">
        <v>29.234999999999999</v>
      </c>
      <c r="EQ66" s="976">
        <v>29.263999999999999</v>
      </c>
      <c r="ER66" s="976">
        <v>29.344000000000001</v>
      </c>
      <c r="ES66" s="976">
        <v>29.716999999999999</v>
      </c>
      <c r="ET66" s="976">
        <v>30</v>
      </c>
      <c r="EU66" s="976">
        <v>30.391999999999999</v>
      </c>
      <c r="EV66" s="976">
        <v>30.74</v>
      </c>
      <c r="EW66" s="976">
        <v>32.552999999999997</v>
      </c>
      <c r="EX66" s="976">
        <v>33.466000000000001</v>
      </c>
      <c r="EY66" s="976">
        <v>34.606999999999999</v>
      </c>
      <c r="EZ66" s="976">
        <v>37.1</v>
      </c>
      <c r="FA66" s="976">
        <v>42.963999999999999</v>
      </c>
      <c r="FB66" s="976">
        <v>44.63</v>
      </c>
      <c r="FC66" s="976">
        <v>55.540999999999997</v>
      </c>
      <c r="FD66" s="976">
        <v>58.195</v>
      </c>
      <c r="FE66" s="976">
        <v>60.683</v>
      </c>
      <c r="FF66" s="976">
        <v>63.749000000000002</v>
      </c>
      <c r="FG66" s="976">
        <v>65.742999999999995</v>
      </c>
      <c r="FH66" s="976">
        <v>67.739999999999995</v>
      </c>
      <c r="FI66" s="976">
        <v>68.828000000000003</v>
      </c>
      <c r="FJ66" s="976">
        <v>71.063000000000002</v>
      </c>
      <c r="FK66" s="976">
        <v>72.828999999999994</v>
      </c>
      <c r="FL66" s="976">
        <v>73.527000000000001</v>
      </c>
      <c r="FM66" s="976">
        <v>73.492000000000004</v>
      </c>
      <c r="FN66" s="976">
        <v>74.054000000000002</v>
      </c>
      <c r="FO66" s="976">
        <v>74.347999999999999</v>
      </c>
      <c r="FP66" s="976">
        <v>75.343000000000004</v>
      </c>
      <c r="FQ66" s="976">
        <v>75.66</v>
      </c>
      <c r="FR66" s="976">
        <v>75.959999999999994</v>
      </c>
      <c r="FS66" s="976">
        <v>76.039000000000001</v>
      </c>
      <c r="FT66" s="976">
        <v>75.213999999999999</v>
      </c>
      <c r="FU66" s="976">
        <v>71.414000000000001</v>
      </c>
      <c r="FV66" s="976">
        <v>69.317999999999998</v>
      </c>
      <c r="FW66" s="976">
        <v>69.353999999999999</v>
      </c>
      <c r="FX66" s="976">
        <v>68.644999999999996</v>
      </c>
      <c r="FY66" s="976">
        <v>70.316999999999993</v>
      </c>
      <c r="FZ66" s="976">
        <v>69.766999999999996</v>
      </c>
      <c r="GA66" s="976">
        <v>69.164000000000001</v>
      </c>
      <c r="GB66" s="976">
        <v>68.382000000000005</v>
      </c>
      <c r="GC66" s="976">
        <v>67.638000000000005</v>
      </c>
      <c r="GD66" s="976">
        <v>67.364000000000004</v>
      </c>
      <c r="GE66" s="976">
        <v>65.472999999999999</v>
      </c>
      <c r="GF66" s="976">
        <v>64.787999999999997</v>
      </c>
      <c r="GG66" s="976">
        <v>64.382999999999996</v>
      </c>
      <c r="GH66" s="976">
        <v>63.712000000000003</v>
      </c>
      <c r="GI66" s="976">
        <v>62.381</v>
      </c>
      <c r="GJ66" s="976">
        <v>63.762999999999998</v>
      </c>
      <c r="GK66" s="976">
        <v>67.036000000000001</v>
      </c>
      <c r="GL66" s="976">
        <v>59.857999999999997</v>
      </c>
      <c r="GM66" s="976">
        <v>58.529000000000003</v>
      </c>
      <c r="GN66" s="976">
        <v>57.25</v>
      </c>
      <c r="GO66" s="976">
        <v>56.915999999999997</v>
      </c>
      <c r="GP66" s="976">
        <v>56.061</v>
      </c>
      <c r="GQ66" s="976">
        <v>54.670999999999999</v>
      </c>
      <c r="GR66" s="976">
        <v>54.125</v>
      </c>
      <c r="GS66" s="976">
        <v>53.887999999999998</v>
      </c>
      <c r="GT66" s="976">
        <v>56.811</v>
      </c>
      <c r="GU66" s="976">
        <v>123.988</v>
      </c>
      <c r="GV66" s="976">
        <v>138.57</v>
      </c>
      <c r="GW66" s="976">
        <v>133.13900000000001</v>
      </c>
      <c r="GX66" s="976">
        <v>148.81299999999999</v>
      </c>
    </row>
    <row r="67" spans="1:206">
      <c r="A67" s="976" t="s">
        <v>740</v>
      </c>
      <c r="B67" s="976">
        <v>38.1</v>
      </c>
      <c r="C67" s="976">
        <v>38.633333333333297</v>
      </c>
      <c r="D67" s="976">
        <v>39.033333333333303</v>
      </c>
      <c r="E67" s="976">
        <v>39.6</v>
      </c>
      <c r="F67" s="976">
        <v>39.933333333333302</v>
      </c>
      <c r="G67" s="976">
        <v>40.299999999999997</v>
      </c>
      <c r="H67" s="976">
        <v>40.700000000000003</v>
      </c>
      <c r="I67" s="976">
        <v>41</v>
      </c>
      <c r="J67" s="976">
        <v>41.3333333333333</v>
      </c>
      <c r="K67" s="976">
        <v>41.6</v>
      </c>
      <c r="L67" s="976">
        <v>41.933333333333302</v>
      </c>
      <c r="M67" s="976">
        <v>42.366666666666703</v>
      </c>
      <c r="N67" s="976">
        <v>43.033333333333303</v>
      </c>
      <c r="O67" s="976">
        <v>43.933333333333302</v>
      </c>
      <c r="P67" s="976">
        <v>44.8</v>
      </c>
      <c r="Q67" s="976">
        <v>45.933333333333302</v>
      </c>
      <c r="R67" s="976">
        <v>47.3</v>
      </c>
      <c r="S67" s="976">
        <v>48.566666666666698</v>
      </c>
      <c r="T67" s="976">
        <v>49.933333333333302</v>
      </c>
      <c r="U67" s="976">
        <v>51.466666666666697</v>
      </c>
      <c r="V67" s="976">
        <v>52.566666666666698</v>
      </c>
      <c r="W67" s="976">
        <v>53.2</v>
      </c>
      <c r="X67" s="976">
        <v>54.266666666666701</v>
      </c>
      <c r="Y67" s="976">
        <v>55.266666666666701</v>
      </c>
      <c r="Z67" s="976">
        <v>55.9</v>
      </c>
      <c r="AA67" s="976">
        <v>56.4</v>
      </c>
      <c r="AB67" s="976">
        <v>57.3</v>
      </c>
      <c r="AC67" s="976">
        <v>58.133333333333297</v>
      </c>
      <c r="AD67" s="976">
        <v>59.2</v>
      </c>
      <c r="AE67" s="976">
        <v>60.233333333333299</v>
      </c>
      <c r="AF67" s="976">
        <v>61.066666666666698</v>
      </c>
      <c r="AG67" s="976">
        <v>61.966666666666697</v>
      </c>
      <c r="AH67" s="976">
        <v>63.033333333333303</v>
      </c>
      <c r="AI67" s="976">
        <v>64.466666666666697</v>
      </c>
      <c r="AJ67" s="976">
        <v>65.966666666666697</v>
      </c>
      <c r="AK67" s="976">
        <v>67.5</v>
      </c>
      <c r="AL67" s="976">
        <v>69.2</v>
      </c>
      <c r="AM67" s="976">
        <v>71.400000000000006</v>
      </c>
      <c r="AN67" s="976">
        <v>73.7</v>
      </c>
      <c r="AO67" s="976">
        <v>76.033333333333303</v>
      </c>
      <c r="AP67" s="976">
        <v>79.033333333333303</v>
      </c>
      <c r="AQ67" s="976">
        <v>81.7</v>
      </c>
      <c r="AR67" s="976">
        <v>83.233333333333306</v>
      </c>
      <c r="AS67" s="976">
        <v>85.566666666666706</v>
      </c>
      <c r="AT67" s="976">
        <v>87.933333333333294</v>
      </c>
      <c r="AU67" s="976">
        <v>89.766666666666694</v>
      </c>
      <c r="AV67" s="976">
        <v>92.266666666666694</v>
      </c>
      <c r="AW67" s="976">
        <v>93.766666666666694</v>
      </c>
      <c r="AX67" s="976">
        <v>94.6</v>
      </c>
      <c r="AY67" s="976">
        <v>95.966666666666697</v>
      </c>
      <c r="AZ67" s="976">
        <v>97.633333333333297</v>
      </c>
      <c r="BA67" s="976">
        <v>97.933333333333294</v>
      </c>
      <c r="BB67" s="976">
        <v>98</v>
      </c>
      <c r="BC67" s="976">
        <v>99.133333333333297</v>
      </c>
      <c r="BD67" s="976">
        <v>100.1</v>
      </c>
      <c r="BE67" s="976">
        <v>101.1</v>
      </c>
      <c r="BF67" s="976">
        <v>102.533333333333</v>
      </c>
      <c r="BG67" s="976">
        <v>103.5</v>
      </c>
      <c r="BH67" s="976">
        <v>104.4</v>
      </c>
      <c r="BI67" s="976">
        <v>105.3</v>
      </c>
      <c r="BJ67" s="976">
        <v>106.26666666666701</v>
      </c>
      <c r="BK67" s="976">
        <v>107.23333333333299</v>
      </c>
      <c r="BL67" s="976">
        <v>107.9</v>
      </c>
      <c r="BM67" s="976">
        <v>109</v>
      </c>
      <c r="BN67" s="976">
        <v>109.566666666667</v>
      </c>
      <c r="BO67" s="976">
        <v>109.033333333333</v>
      </c>
      <c r="BP67" s="976">
        <v>109.7</v>
      </c>
      <c r="BQ67" s="976">
        <v>110.466666666667</v>
      </c>
      <c r="BR67" s="976">
        <v>111.8</v>
      </c>
      <c r="BS67" s="976">
        <v>113.066666666667</v>
      </c>
      <c r="BT67" s="976">
        <v>114.26666666666701</v>
      </c>
      <c r="BU67" s="976">
        <v>115.333333333333</v>
      </c>
      <c r="BV67" s="976">
        <v>116.23333333333299</v>
      </c>
      <c r="BW67" s="976">
        <v>117.566666666667</v>
      </c>
      <c r="BX67" s="976">
        <v>119</v>
      </c>
      <c r="BY67" s="976">
        <v>120.3</v>
      </c>
      <c r="BZ67" s="976">
        <v>121.666666666667</v>
      </c>
      <c r="CA67" s="976">
        <v>123.633333333333</v>
      </c>
      <c r="CB67" s="976">
        <v>124.6</v>
      </c>
      <c r="CC67" s="976">
        <v>125.866666666667</v>
      </c>
      <c r="CD67" s="976">
        <v>128.03333333333299</v>
      </c>
      <c r="CE67" s="976">
        <v>129.30000000000001</v>
      </c>
      <c r="CF67" s="976">
        <v>131.53333333333299</v>
      </c>
      <c r="CG67" s="976">
        <v>133.76666666666699</v>
      </c>
      <c r="CH67" s="976">
        <v>134.76666666666699</v>
      </c>
      <c r="CI67" s="976">
        <v>135.566666666667</v>
      </c>
      <c r="CJ67" s="976">
        <v>136.6</v>
      </c>
      <c r="CK67" s="976">
        <v>137.73333333333301</v>
      </c>
      <c r="CL67" s="976">
        <v>138.666666666667</v>
      </c>
      <c r="CM67" s="976">
        <v>139.73333333333301</v>
      </c>
      <c r="CN67" s="976">
        <v>140.80000000000001</v>
      </c>
      <c r="CO67" s="976">
        <v>142.03333333333299</v>
      </c>
      <c r="CP67" s="976">
        <v>143.066666666667</v>
      </c>
      <c r="CQ67" s="976">
        <v>144.1</v>
      </c>
      <c r="CR67" s="976">
        <v>144.76666666666699</v>
      </c>
      <c r="CS67" s="976">
        <v>145.96666666666701</v>
      </c>
      <c r="CT67" s="976">
        <v>146.69999999999999</v>
      </c>
      <c r="CU67" s="976">
        <v>147.53333333333299</v>
      </c>
      <c r="CV67" s="976">
        <v>148.9</v>
      </c>
      <c r="CW67" s="976">
        <v>149.76666666666699</v>
      </c>
      <c r="CX67" s="976">
        <v>150.86666666666699</v>
      </c>
      <c r="CY67" s="976">
        <v>152.1</v>
      </c>
      <c r="CZ67" s="976">
        <v>152.86666666666699</v>
      </c>
      <c r="DA67" s="976">
        <v>153.69999999999999</v>
      </c>
      <c r="DB67" s="976">
        <v>155.066666666667</v>
      </c>
      <c r="DC67" s="976">
        <v>156.4</v>
      </c>
      <c r="DD67" s="976">
        <v>157.30000000000001</v>
      </c>
      <c r="DE67" s="976">
        <v>158.666666666667</v>
      </c>
      <c r="DF67" s="976">
        <v>159.63333333333301</v>
      </c>
      <c r="DG67" s="976">
        <v>160</v>
      </c>
      <c r="DH67" s="976">
        <v>160.80000000000001</v>
      </c>
      <c r="DI67" s="976">
        <v>161.666666666667</v>
      </c>
      <c r="DJ67" s="976">
        <v>162</v>
      </c>
      <c r="DK67" s="976">
        <v>162.53333333333299</v>
      </c>
      <c r="DL67" s="976">
        <v>163.36666666666699</v>
      </c>
      <c r="DM67" s="976">
        <v>164.13333333333301</v>
      </c>
      <c r="DN67" s="976">
        <v>164.73333333333301</v>
      </c>
      <c r="DO67" s="976">
        <v>165.96666666666701</v>
      </c>
      <c r="DP67" s="976">
        <v>167.2</v>
      </c>
      <c r="DQ67" s="976">
        <v>168.433333333333</v>
      </c>
      <c r="DR67" s="976">
        <v>170.1</v>
      </c>
      <c r="DS67" s="976">
        <v>171.433333333333</v>
      </c>
      <c r="DT67" s="976">
        <v>173</v>
      </c>
      <c r="DU67" s="976">
        <v>174.23333333333301</v>
      </c>
      <c r="DV67" s="976">
        <v>175.9</v>
      </c>
      <c r="DW67" s="976">
        <v>177.13333333333301</v>
      </c>
      <c r="DX67" s="976">
        <v>177.63333333333301</v>
      </c>
      <c r="DY67" s="976">
        <v>177.5</v>
      </c>
      <c r="DZ67" s="976">
        <v>178.066666666667</v>
      </c>
      <c r="EA67" s="976">
        <v>179.46666666666701</v>
      </c>
      <c r="EB67" s="976">
        <v>180.433333333333</v>
      </c>
      <c r="EC67" s="976">
        <v>181.5</v>
      </c>
      <c r="ED67" s="976">
        <v>183.36666666666699</v>
      </c>
      <c r="EE67" s="976">
        <v>183.066666666667</v>
      </c>
      <c r="EF67" s="976">
        <v>184.433333333333</v>
      </c>
      <c r="EG67" s="976">
        <v>185.13333333333301</v>
      </c>
      <c r="EH67" s="976">
        <v>186.7</v>
      </c>
      <c r="EI67" s="976">
        <v>188.166666666667</v>
      </c>
      <c r="EJ67" s="976">
        <v>189.36666666666699</v>
      </c>
      <c r="EK67" s="976">
        <v>191.4</v>
      </c>
      <c r="EL67" s="976">
        <v>192.36666666666699</v>
      </c>
      <c r="EM67" s="976">
        <v>193.666666666667</v>
      </c>
      <c r="EN67" s="976">
        <v>196.6</v>
      </c>
      <c r="EO67" s="976">
        <v>198.433333333333</v>
      </c>
      <c r="EP67" s="976">
        <v>199.46666666666701</v>
      </c>
      <c r="EQ67" s="976">
        <v>201.26666666666699</v>
      </c>
      <c r="ER67" s="976">
        <v>203.166666666667</v>
      </c>
      <c r="ES67" s="976">
        <v>202.333333333333</v>
      </c>
      <c r="ET67" s="976">
        <v>204.31700000000001</v>
      </c>
      <c r="EU67" s="976">
        <v>206.631</v>
      </c>
      <c r="EV67" s="976">
        <v>207.93899999999999</v>
      </c>
      <c r="EW67" s="976">
        <v>210.48966666666701</v>
      </c>
      <c r="EX67" s="976">
        <v>212.76966666666701</v>
      </c>
      <c r="EY67" s="976">
        <v>215.53766666666701</v>
      </c>
      <c r="EZ67" s="976">
        <v>218.86099999999999</v>
      </c>
      <c r="FA67" s="976">
        <v>213.84866666666699</v>
      </c>
      <c r="FB67" s="976">
        <v>212.37766666666701</v>
      </c>
      <c r="FC67" s="976">
        <v>213.50700000000001</v>
      </c>
      <c r="FD67" s="976">
        <v>215.34399999999999</v>
      </c>
      <c r="FE67" s="976">
        <v>217.03</v>
      </c>
      <c r="FF67" s="976">
        <v>217.374</v>
      </c>
      <c r="FG67" s="976">
        <v>217.297333333333</v>
      </c>
      <c r="FH67" s="976">
        <v>217.934333333333</v>
      </c>
      <c r="FI67" s="976">
        <v>219.69900000000001</v>
      </c>
      <c r="FJ67" s="976">
        <v>222.04366666666701</v>
      </c>
      <c r="FK67" s="976">
        <v>224.56833333333299</v>
      </c>
      <c r="FL67" s="976">
        <v>226.03266666666701</v>
      </c>
      <c r="FM67" s="976">
        <v>227.047333333333</v>
      </c>
      <c r="FN67" s="976">
        <v>228.32599999999999</v>
      </c>
      <c r="FO67" s="976">
        <v>228.80799999999999</v>
      </c>
      <c r="FP67" s="976">
        <v>229.84100000000001</v>
      </c>
      <c r="FQ67" s="976">
        <v>231.369333333333</v>
      </c>
      <c r="FR67" s="976">
        <v>232.29933333333301</v>
      </c>
      <c r="FS67" s="976">
        <v>232.04499999999999</v>
      </c>
      <c r="FT67" s="976">
        <v>233.3</v>
      </c>
      <c r="FU67" s="976">
        <v>234.16266666666701</v>
      </c>
      <c r="FV67" s="976">
        <v>235.62100000000001</v>
      </c>
      <c r="FW67" s="976">
        <v>236.87233333333299</v>
      </c>
      <c r="FX67" s="976">
        <v>237.47833333333301</v>
      </c>
      <c r="FY67" s="976">
        <v>236.88833333333301</v>
      </c>
      <c r="FZ67" s="976">
        <v>235.35499999999999</v>
      </c>
      <c r="GA67" s="976">
        <v>236.96</v>
      </c>
      <c r="GB67" s="976">
        <v>237.85499999999999</v>
      </c>
      <c r="GC67" s="976">
        <v>237.83699999999999</v>
      </c>
      <c r="GD67" s="976">
        <v>237.689333333333</v>
      </c>
      <c r="GE67" s="976">
        <v>239.59033333333301</v>
      </c>
      <c r="GF67" s="976">
        <v>240.607333333333</v>
      </c>
      <c r="GG67" s="976">
        <v>242.13466666666699</v>
      </c>
      <c r="GH67" s="976">
        <v>243.75266666666701</v>
      </c>
      <c r="GI67" s="976">
        <v>244.18700000000001</v>
      </c>
      <c r="GJ67" s="976">
        <v>245.345333333333</v>
      </c>
      <c r="GK67" s="976">
        <v>247.25700000000001</v>
      </c>
      <c r="GL67" s="976">
        <v>249.17933333333301</v>
      </c>
      <c r="GM67" s="976">
        <v>250.737666666667</v>
      </c>
      <c r="GN67" s="976">
        <v>251.75433333333299</v>
      </c>
      <c r="GO67" s="976">
        <v>252.738</v>
      </c>
      <c r="GP67" s="976">
        <v>253.185666666667</v>
      </c>
      <c r="GQ67" s="976">
        <v>255.37333333333299</v>
      </c>
      <c r="GR67" s="976">
        <v>256.191666666667</v>
      </c>
      <c r="GS67" s="976">
        <v>257.85966666666701</v>
      </c>
      <c r="GT67" s="976">
        <v>258.5</v>
      </c>
      <c r="GU67" s="976">
        <v>256.47199999999998</v>
      </c>
      <c r="GV67" s="976">
        <v>259.421333333333</v>
      </c>
      <c r="GW67" s="976">
        <v>260.983</v>
      </c>
      <c r="GX67" s="976">
        <v>263.39499999999998</v>
      </c>
    </row>
    <row r="68" spans="1:206">
      <c r="A68" s="976" t="s">
        <v>270</v>
      </c>
      <c r="B68" s="976">
        <v>38.299999999999997</v>
      </c>
      <c r="C68" s="976">
        <v>38.8333333333333</v>
      </c>
      <c r="D68" s="976">
        <v>39.233333333333299</v>
      </c>
      <c r="E68" s="976">
        <v>39.799999999999997</v>
      </c>
      <c r="F68" s="976">
        <v>40.1666666666667</v>
      </c>
      <c r="G68" s="976">
        <v>40.533333333333303</v>
      </c>
      <c r="H68" s="976">
        <v>40.966666666666697</v>
      </c>
      <c r="I68" s="976">
        <v>41.233333333333299</v>
      </c>
      <c r="J68" s="976">
        <v>41.6</v>
      </c>
      <c r="K68" s="976">
        <v>41.8</v>
      </c>
      <c r="L68" s="976">
        <v>42.2</v>
      </c>
      <c r="M68" s="976">
        <v>42.633333333333297</v>
      </c>
      <c r="N68" s="976">
        <v>43.266666666666701</v>
      </c>
      <c r="O68" s="976">
        <v>44.1666666666667</v>
      </c>
      <c r="P68" s="976">
        <v>45.066666666666698</v>
      </c>
      <c r="Q68" s="976">
        <v>46.1666666666667</v>
      </c>
      <c r="R68" s="976">
        <v>47.566666666666698</v>
      </c>
      <c r="S68" s="976">
        <v>48.766666666666701</v>
      </c>
      <c r="T68" s="976">
        <v>50.233333333333299</v>
      </c>
      <c r="U68" s="976">
        <v>51.766666666666701</v>
      </c>
      <c r="V68" s="976">
        <v>52.866666666666703</v>
      </c>
      <c r="W68" s="976">
        <v>53.5</v>
      </c>
      <c r="X68" s="976">
        <v>54.566666666666698</v>
      </c>
      <c r="Y68" s="976">
        <v>55.566666666666698</v>
      </c>
      <c r="Z68" s="976">
        <v>56.233333333333299</v>
      </c>
      <c r="AA68" s="976">
        <v>56.733333333333299</v>
      </c>
      <c r="AB68" s="976">
        <v>57.6</v>
      </c>
      <c r="AC68" s="976">
        <v>58.433333333333302</v>
      </c>
      <c r="AD68" s="976">
        <v>59.533333333333303</v>
      </c>
      <c r="AE68" s="976">
        <v>60.6</v>
      </c>
      <c r="AF68" s="976">
        <v>61.433333333333302</v>
      </c>
      <c r="AG68" s="976">
        <v>62.266666666666701</v>
      </c>
      <c r="AH68" s="976">
        <v>63.366666666666703</v>
      </c>
      <c r="AI68" s="976">
        <v>64.766666666666694</v>
      </c>
      <c r="AJ68" s="976">
        <v>66.233333333333306</v>
      </c>
      <c r="AK68" s="976">
        <v>67.8333333333333</v>
      </c>
      <c r="AL68" s="976">
        <v>69.566666666666706</v>
      </c>
      <c r="AM68" s="976">
        <v>71.900000000000006</v>
      </c>
      <c r="AN68" s="976">
        <v>74.233333333333306</v>
      </c>
      <c r="AO68" s="976">
        <v>76.5</v>
      </c>
      <c r="AP68" s="976">
        <v>79.5</v>
      </c>
      <c r="AQ68" s="976">
        <v>82.2</v>
      </c>
      <c r="AR68" s="976">
        <v>83.733333333333306</v>
      </c>
      <c r="AS68" s="976">
        <v>86.1666666666667</v>
      </c>
      <c r="AT68" s="976">
        <v>88.466666666666697</v>
      </c>
      <c r="AU68" s="976">
        <v>90.233333333333306</v>
      </c>
      <c r="AV68" s="976">
        <v>92.733333333333306</v>
      </c>
      <c r="AW68" s="976">
        <v>94.1666666666667</v>
      </c>
      <c r="AX68" s="976">
        <v>94.966666666666697</v>
      </c>
      <c r="AY68" s="976">
        <v>96.233333333333306</v>
      </c>
      <c r="AZ68" s="976">
        <v>98</v>
      </c>
      <c r="BA68" s="976">
        <v>98.3333333333333</v>
      </c>
      <c r="BB68" s="976">
        <v>98.3</v>
      </c>
      <c r="BC68" s="976">
        <v>99.433333333333294</v>
      </c>
      <c r="BD68" s="976">
        <v>100.4</v>
      </c>
      <c r="BE68" s="976">
        <v>101.166666666667</v>
      </c>
      <c r="BF68" s="976">
        <v>101.933333333333</v>
      </c>
      <c r="BG68" s="976">
        <v>102.466666666667</v>
      </c>
      <c r="BH68" s="976">
        <v>103.933333333333</v>
      </c>
      <c r="BI68" s="976">
        <v>104.8</v>
      </c>
      <c r="BJ68" s="976">
        <v>105.666666666667</v>
      </c>
      <c r="BK68" s="976">
        <v>106.633333333333</v>
      </c>
      <c r="BL68" s="976">
        <v>107.133333333333</v>
      </c>
      <c r="BM68" s="976">
        <v>108.2</v>
      </c>
      <c r="BN68" s="976">
        <v>108.666666666667</v>
      </c>
      <c r="BO68" s="976">
        <v>107.933333333333</v>
      </c>
      <c r="BP68" s="976">
        <v>108.5</v>
      </c>
      <c r="BQ68" s="976">
        <v>109.2</v>
      </c>
      <c r="BR68" s="976">
        <v>110.666666666667</v>
      </c>
      <c r="BS68" s="976">
        <v>111.966666666667</v>
      </c>
      <c r="BT68" s="976">
        <v>113.166666666667</v>
      </c>
      <c r="BU68" s="976">
        <v>114.166666666667</v>
      </c>
      <c r="BV68" s="976">
        <v>114.933333333333</v>
      </c>
      <c r="BW68" s="976">
        <v>116.2</v>
      </c>
      <c r="BX68" s="976">
        <v>117.73333333333299</v>
      </c>
      <c r="BY68" s="976">
        <v>118.933333333333</v>
      </c>
      <c r="BZ68" s="976">
        <v>120.366666666667</v>
      </c>
      <c r="CA68" s="976">
        <v>122.4</v>
      </c>
      <c r="CB68" s="976">
        <v>123.26666666666701</v>
      </c>
      <c r="CC68" s="976">
        <v>124.4</v>
      </c>
      <c r="CD68" s="976">
        <v>126.566666666667</v>
      </c>
      <c r="CE68" s="976">
        <v>127.666666666667</v>
      </c>
      <c r="CF68" s="976">
        <v>129.86666666666699</v>
      </c>
      <c r="CG68" s="976">
        <v>132.1</v>
      </c>
      <c r="CH68" s="976">
        <v>132.933333333333</v>
      </c>
      <c r="CI68" s="976">
        <v>133.73333333333301</v>
      </c>
      <c r="CJ68" s="976">
        <v>134.63333333333301</v>
      </c>
      <c r="CK68" s="976">
        <v>135.73333333333301</v>
      </c>
      <c r="CL68" s="976">
        <v>136.53333333333299</v>
      </c>
      <c r="CM68" s="976">
        <v>137.566666666667</v>
      </c>
      <c r="CN68" s="976">
        <v>138.69999999999999</v>
      </c>
      <c r="CO68" s="976">
        <v>139.80000000000001</v>
      </c>
      <c r="CP68" s="976">
        <v>140.76666666666699</v>
      </c>
      <c r="CQ68" s="976">
        <v>141.73333333333301</v>
      </c>
      <c r="CR68" s="976">
        <v>142.333333333333</v>
      </c>
      <c r="CS68" s="976">
        <v>143.433333333333</v>
      </c>
      <c r="CT68" s="976">
        <v>144.03333333333299</v>
      </c>
      <c r="CU68" s="976">
        <v>144.86666666666699</v>
      </c>
      <c r="CV68" s="976">
        <v>146.4</v>
      </c>
      <c r="CW68" s="976">
        <v>147.26666666666699</v>
      </c>
      <c r="CX68" s="976">
        <v>148.333333333333</v>
      </c>
      <c r="CY68" s="976">
        <v>149.5</v>
      </c>
      <c r="CZ68" s="976">
        <v>150.166666666667</v>
      </c>
      <c r="DA68" s="976">
        <v>151</v>
      </c>
      <c r="DB68" s="976">
        <v>152.4</v>
      </c>
      <c r="DC68" s="976">
        <v>153.73333333333301</v>
      </c>
      <c r="DD68" s="976">
        <v>154.566666666667</v>
      </c>
      <c r="DE68" s="976">
        <v>155.86666666666699</v>
      </c>
      <c r="DF68" s="976">
        <v>156.80000000000001</v>
      </c>
      <c r="DG68" s="976">
        <v>157.1</v>
      </c>
      <c r="DH68" s="976">
        <v>157.80000000000001</v>
      </c>
      <c r="DI68" s="976">
        <v>158.53333333333299</v>
      </c>
      <c r="DJ68" s="976">
        <v>158.73333333333301</v>
      </c>
      <c r="DK68" s="976">
        <v>159.19999999999999</v>
      </c>
      <c r="DL68" s="976">
        <v>159.96666666666701</v>
      </c>
      <c r="DM68" s="976">
        <v>160.76666666666699</v>
      </c>
      <c r="DN68" s="976">
        <v>161.36666666666699</v>
      </c>
      <c r="DO68" s="976">
        <v>162.53333333333299</v>
      </c>
      <c r="DP68" s="976">
        <v>163.9</v>
      </c>
      <c r="DQ68" s="976">
        <v>165.2</v>
      </c>
      <c r="DR68" s="976">
        <v>166.833333333333</v>
      </c>
      <c r="DS68" s="976">
        <v>168.166666666667</v>
      </c>
      <c r="DT68" s="976">
        <v>169.7</v>
      </c>
      <c r="DU68" s="976">
        <v>170.833333333333</v>
      </c>
      <c r="DV68" s="976">
        <v>172.433333333333</v>
      </c>
      <c r="DW68" s="976">
        <v>173.73333333333301</v>
      </c>
      <c r="DX68" s="976">
        <v>174.1</v>
      </c>
      <c r="DY68" s="976">
        <v>173.666666666667</v>
      </c>
      <c r="DZ68" s="976">
        <v>174.03333333333299</v>
      </c>
      <c r="EA68" s="976">
        <v>175.53333333333299</v>
      </c>
      <c r="EB68" s="976">
        <v>176.5</v>
      </c>
      <c r="EC68" s="976">
        <v>177.46666666666701</v>
      </c>
      <c r="ED68" s="976">
        <v>179.46666666666701</v>
      </c>
      <c r="EE68" s="976">
        <v>178.933333333333</v>
      </c>
      <c r="EF68" s="976">
        <v>180.2</v>
      </c>
      <c r="EG68" s="976">
        <v>180.73333333333301</v>
      </c>
      <c r="EH68" s="976">
        <v>182.333333333333</v>
      </c>
      <c r="EI68" s="976">
        <v>183.666666666667</v>
      </c>
      <c r="EJ68" s="976">
        <v>184.86666666666699</v>
      </c>
      <c r="EK68" s="976">
        <v>187.066666666667</v>
      </c>
      <c r="EL68" s="976">
        <v>187.933333333333</v>
      </c>
      <c r="EM68" s="976">
        <v>189.23333333333301</v>
      </c>
      <c r="EN68" s="976">
        <v>192.566666666667</v>
      </c>
      <c r="EO68" s="976">
        <v>194.2</v>
      </c>
      <c r="EP68" s="976">
        <v>195.13333333333301</v>
      </c>
      <c r="EQ68" s="976">
        <v>196.933333333333</v>
      </c>
      <c r="ER68" s="976">
        <v>198.8</v>
      </c>
      <c r="ES68" s="976">
        <v>197.566666666667</v>
      </c>
      <c r="ET68" s="976">
        <v>199.553</v>
      </c>
      <c r="EU68" s="976">
        <v>202.077</v>
      </c>
      <c r="EV68" s="976">
        <v>203.37</v>
      </c>
      <c r="EW68" s="976">
        <v>206.08566666666701</v>
      </c>
      <c r="EX68" s="976">
        <v>208.51599999999999</v>
      </c>
      <c r="EY68" s="976">
        <v>211.50266666666701</v>
      </c>
      <c r="EZ68" s="976">
        <v>215.13</v>
      </c>
      <c r="FA68" s="976">
        <v>208.838666666667</v>
      </c>
      <c r="FB68" s="976">
        <v>206.94333333333299</v>
      </c>
      <c r="FC68" s="976">
        <v>208.39033333333299</v>
      </c>
      <c r="FD68" s="976">
        <v>210.69499999999999</v>
      </c>
      <c r="FE68" s="976">
        <v>212.63266666666701</v>
      </c>
      <c r="FF68" s="976">
        <v>213.23699999999999</v>
      </c>
      <c r="FG68" s="976">
        <v>213.15066666666701</v>
      </c>
      <c r="FH68" s="976">
        <v>213.82</v>
      </c>
      <c r="FI68" s="976">
        <v>215.76400000000001</v>
      </c>
      <c r="FJ68" s="976">
        <v>218.41566666666699</v>
      </c>
      <c r="FK68" s="976">
        <v>221.28766666666701</v>
      </c>
      <c r="FL68" s="976">
        <v>222.738</v>
      </c>
      <c r="FM68" s="976">
        <v>223.774666666667</v>
      </c>
      <c r="FN68" s="976">
        <v>225.08733333333299</v>
      </c>
      <c r="FO68" s="976">
        <v>225.45933333333301</v>
      </c>
      <c r="FP68" s="976">
        <v>226.357</v>
      </c>
      <c r="FQ68" s="976">
        <v>227.97166666666701</v>
      </c>
      <c r="FR68" s="976">
        <v>228.83666666666701</v>
      </c>
      <c r="FS68" s="976">
        <v>228.40966666666699</v>
      </c>
      <c r="FT68" s="976">
        <v>229.589</v>
      </c>
      <c r="FU68" s="976">
        <v>230.43366666666699</v>
      </c>
      <c r="FV68" s="976">
        <v>231.95</v>
      </c>
      <c r="FW68" s="976">
        <v>233.101333333333</v>
      </c>
      <c r="FX68" s="976">
        <v>233.494333333333</v>
      </c>
      <c r="FY68" s="976">
        <v>232.43100000000001</v>
      </c>
      <c r="FZ68" s="976">
        <v>230.23666666666699</v>
      </c>
      <c r="GA68" s="976">
        <v>231.957666666667</v>
      </c>
      <c r="GB68" s="976">
        <v>232.69333333333299</v>
      </c>
      <c r="GC68" s="976">
        <v>232.280333333333</v>
      </c>
      <c r="GD68" s="976">
        <v>231.78100000000001</v>
      </c>
      <c r="GE68" s="976">
        <v>233.774</v>
      </c>
      <c r="GF68" s="976">
        <v>234.59666666666701</v>
      </c>
      <c r="GG68" s="976">
        <v>236.14066666666699</v>
      </c>
      <c r="GH68" s="976">
        <v>237.75</v>
      </c>
      <c r="GI68" s="976">
        <v>238.030666666667</v>
      </c>
      <c r="GJ68" s="976">
        <v>239.2</v>
      </c>
      <c r="GK68" s="976">
        <v>241.303666666667</v>
      </c>
      <c r="GL68" s="976">
        <v>243.274333333333</v>
      </c>
      <c r="GM68" s="976">
        <v>244.81299999999999</v>
      </c>
      <c r="GN68" s="976">
        <v>245.79300000000001</v>
      </c>
      <c r="GO68" s="976">
        <v>246.68100000000001</v>
      </c>
      <c r="GP68" s="976">
        <v>246.76499999999999</v>
      </c>
      <c r="GQ68" s="976">
        <v>249.00766666666701</v>
      </c>
      <c r="GR68" s="976">
        <v>249.66499999999999</v>
      </c>
      <c r="GS68" s="976">
        <v>251.42533333333299</v>
      </c>
      <c r="GT68" s="976">
        <v>251.88533333333299</v>
      </c>
      <c r="GU68" s="976">
        <v>249.57599999999999</v>
      </c>
      <c r="GV68" s="976">
        <v>253.01366666666701</v>
      </c>
      <c r="GW68" s="976">
        <v>254.68033333333301</v>
      </c>
      <c r="GX68" s="976">
        <v>257.350666666667</v>
      </c>
    </row>
    <row r="69" spans="1:206">
      <c r="A69" s="976" t="s">
        <v>271</v>
      </c>
      <c r="B69" s="976">
        <v>4940.7</v>
      </c>
      <c r="C69" s="976">
        <v>4982</v>
      </c>
      <c r="D69" s="976">
        <v>5021.8999999999996</v>
      </c>
      <c r="E69" s="976">
        <v>5060.8</v>
      </c>
      <c r="F69" s="976">
        <v>5099.8999999999996</v>
      </c>
      <c r="G69" s="976">
        <v>5139.7</v>
      </c>
      <c r="H69" s="976">
        <v>5180</v>
      </c>
      <c r="I69" s="976">
        <v>5221</v>
      </c>
      <c r="J69" s="976">
        <v>5262.8</v>
      </c>
      <c r="K69" s="976">
        <v>5305.2</v>
      </c>
      <c r="L69" s="976">
        <v>5348.2</v>
      </c>
      <c r="M69" s="976">
        <v>5391.9</v>
      </c>
      <c r="N69" s="976">
        <v>5436.6</v>
      </c>
      <c r="O69" s="976">
        <v>5483.5</v>
      </c>
      <c r="P69" s="976">
        <v>5530.8</v>
      </c>
      <c r="Q69" s="976">
        <v>5579.2</v>
      </c>
      <c r="R69" s="976">
        <v>5628.2</v>
      </c>
      <c r="S69" s="976">
        <v>5677.5</v>
      </c>
      <c r="T69" s="976">
        <v>5726.2</v>
      </c>
      <c r="U69" s="976">
        <v>5774.2</v>
      </c>
      <c r="V69" s="976">
        <v>5820.9</v>
      </c>
      <c r="W69" s="976">
        <v>5866.7</v>
      </c>
      <c r="X69" s="976">
        <v>5912</v>
      </c>
      <c r="Y69" s="976">
        <v>5957.4</v>
      </c>
      <c r="Z69" s="976">
        <v>6002.8</v>
      </c>
      <c r="AA69" s="976">
        <v>6048.9</v>
      </c>
      <c r="AB69" s="976">
        <v>6096.4</v>
      </c>
      <c r="AC69" s="976">
        <v>6144.7</v>
      </c>
      <c r="AD69" s="976">
        <v>6194.5</v>
      </c>
      <c r="AE69" s="976">
        <v>6245.6</v>
      </c>
      <c r="AF69" s="976">
        <v>6297.4</v>
      </c>
      <c r="AG69" s="976">
        <v>6350.6</v>
      </c>
      <c r="AH69" s="976">
        <v>6405.2</v>
      </c>
      <c r="AI69" s="976">
        <v>6460.8</v>
      </c>
      <c r="AJ69" s="976">
        <v>6518</v>
      </c>
      <c r="AK69" s="976">
        <v>6576.2</v>
      </c>
      <c r="AL69" s="976">
        <v>6636</v>
      </c>
      <c r="AM69" s="976">
        <v>6693.8</v>
      </c>
      <c r="AN69" s="976">
        <v>6748.7</v>
      </c>
      <c r="AO69" s="976">
        <v>6800.2</v>
      </c>
      <c r="AP69" s="976">
        <v>6847.6</v>
      </c>
      <c r="AQ69" s="976">
        <v>6890.3</v>
      </c>
      <c r="AR69" s="976">
        <v>6928.3</v>
      </c>
      <c r="AS69" s="976">
        <v>6968.3</v>
      </c>
      <c r="AT69" s="976">
        <v>7012.5</v>
      </c>
      <c r="AU69" s="976">
        <v>7059.7</v>
      </c>
      <c r="AV69" s="976">
        <v>7109.5</v>
      </c>
      <c r="AW69" s="976">
        <v>7161.9</v>
      </c>
      <c r="AX69" s="976">
        <v>7216.2</v>
      </c>
      <c r="AY69" s="976">
        <v>7271.9</v>
      </c>
      <c r="AZ69" s="976">
        <v>7328.5</v>
      </c>
      <c r="BA69" s="976">
        <v>7386.2</v>
      </c>
      <c r="BB69" s="976">
        <v>7443.9</v>
      </c>
      <c r="BC69" s="976">
        <v>7502.9</v>
      </c>
      <c r="BD69" s="976">
        <v>7563.6</v>
      </c>
      <c r="BE69" s="976">
        <v>7626.8</v>
      </c>
      <c r="BF69" s="976">
        <v>7692.5</v>
      </c>
      <c r="BG69" s="976">
        <v>7760.5</v>
      </c>
      <c r="BH69" s="976">
        <v>7830.2</v>
      </c>
      <c r="BI69" s="976">
        <v>7901.2</v>
      </c>
      <c r="BJ69" s="976">
        <v>7972.5</v>
      </c>
      <c r="BK69" s="976">
        <v>8044.2</v>
      </c>
      <c r="BL69" s="976">
        <v>8115.9</v>
      </c>
      <c r="BM69" s="976">
        <v>8187.2</v>
      </c>
      <c r="BN69" s="976">
        <v>8257.9</v>
      </c>
      <c r="BO69" s="976">
        <v>8328.2999999999993</v>
      </c>
      <c r="BP69" s="976">
        <v>8398.5</v>
      </c>
      <c r="BQ69" s="976">
        <v>8468.4</v>
      </c>
      <c r="BR69" s="976">
        <v>8537.9</v>
      </c>
      <c r="BS69" s="976">
        <v>8606.7000000000007</v>
      </c>
      <c r="BT69" s="976">
        <v>8675.1</v>
      </c>
      <c r="BU69" s="976">
        <v>8743.5</v>
      </c>
      <c r="BV69" s="976">
        <v>8811.2000000000007</v>
      </c>
      <c r="BW69" s="976">
        <v>8878.9</v>
      </c>
      <c r="BX69" s="976">
        <v>8946.2999999999993</v>
      </c>
      <c r="BY69" s="976">
        <v>9013.7000000000007</v>
      </c>
      <c r="BZ69" s="976">
        <v>9080.7000000000007</v>
      </c>
      <c r="CA69" s="976">
        <v>9147.6</v>
      </c>
      <c r="CB69" s="976">
        <v>9214.2000000000007</v>
      </c>
      <c r="CC69" s="976">
        <v>9280.7000000000007</v>
      </c>
      <c r="CD69" s="976">
        <v>9346.4</v>
      </c>
      <c r="CE69" s="976">
        <v>9411.5</v>
      </c>
      <c r="CF69" s="976">
        <v>9475.2999999999993</v>
      </c>
      <c r="CG69" s="976">
        <v>9537.7999999999993</v>
      </c>
      <c r="CH69" s="976">
        <v>9599.2000000000007</v>
      </c>
      <c r="CI69" s="976">
        <v>9659.6</v>
      </c>
      <c r="CJ69" s="976">
        <v>9719.4</v>
      </c>
      <c r="CK69" s="976">
        <v>9779.4</v>
      </c>
      <c r="CL69" s="976">
        <v>9839.7000000000007</v>
      </c>
      <c r="CM69" s="976">
        <v>9900.9</v>
      </c>
      <c r="CN69" s="976">
        <v>9963.6</v>
      </c>
      <c r="CO69" s="976">
        <v>10027.200000000001</v>
      </c>
      <c r="CP69" s="976">
        <v>10091.799999999999</v>
      </c>
      <c r="CQ69" s="976">
        <v>10158.1</v>
      </c>
      <c r="CR69" s="976">
        <v>10225.200000000001</v>
      </c>
      <c r="CS69" s="976">
        <v>10293.299999999999</v>
      </c>
      <c r="CT69" s="976">
        <v>10362.200000000001</v>
      </c>
      <c r="CU69" s="976">
        <v>10431.5</v>
      </c>
      <c r="CV69" s="976">
        <v>10502</v>
      </c>
      <c r="CW69" s="976">
        <v>10573.5</v>
      </c>
      <c r="CX69" s="976">
        <v>10645.4</v>
      </c>
      <c r="CY69" s="976">
        <v>10718.4</v>
      </c>
      <c r="CZ69" s="976">
        <v>10792</v>
      </c>
      <c r="DA69" s="976">
        <v>10867.2</v>
      </c>
      <c r="DB69" s="976">
        <v>10943.8</v>
      </c>
      <c r="DC69" s="976">
        <v>11025.2</v>
      </c>
      <c r="DD69" s="976">
        <v>11112.4</v>
      </c>
      <c r="DE69" s="976">
        <v>11205.1</v>
      </c>
      <c r="DF69" s="976">
        <v>11303.2</v>
      </c>
      <c r="DG69" s="976">
        <v>11406</v>
      </c>
      <c r="DH69" s="976">
        <v>11513.8</v>
      </c>
      <c r="DI69" s="976">
        <v>11625.6</v>
      </c>
      <c r="DJ69" s="976">
        <v>11741</v>
      </c>
      <c r="DK69" s="976">
        <v>11860</v>
      </c>
      <c r="DL69" s="976">
        <v>11981.4</v>
      </c>
      <c r="DM69" s="976">
        <v>12105</v>
      </c>
      <c r="DN69" s="976">
        <v>12231.2</v>
      </c>
      <c r="DO69" s="976">
        <v>12359</v>
      </c>
      <c r="DP69" s="976">
        <v>12488.9</v>
      </c>
      <c r="DQ69" s="976">
        <v>12621</v>
      </c>
      <c r="DR69" s="976">
        <v>12754.4</v>
      </c>
      <c r="DS69" s="976">
        <v>12885.1</v>
      </c>
      <c r="DT69" s="976">
        <v>13011.4</v>
      </c>
      <c r="DU69" s="976">
        <v>13131.9</v>
      </c>
      <c r="DV69" s="976">
        <v>13247.1</v>
      </c>
      <c r="DW69" s="976">
        <v>13356.2</v>
      </c>
      <c r="DX69" s="976">
        <v>13459.7</v>
      </c>
      <c r="DY69" s="976">
        <v>13557.8</v>
      </c>
      <c r="DZ69" s="976">
        <v>13651.1</v>
      </c>
      <c r="EA69" s="976">
        <v>13741.2</v>
      </c>
      <c r="EB69" s="976">
        <v>13829.2</v>
      </c>
      <c r="EC69" s="976">
        <v>13916</v>
      </c>
      <c r="ED69" s="976">
        <v>14002.4</v>
      </c>
      <c r="EE69" s="976">
        <v>14089.7</v>
      </c>
      <c r="EF69" s="976">
        <v>14177.4</v>
      </c>
      <c r="EG69" s="976">
        <v>14266.5</v>
      </c>
      <c r="EH69" s="976">
        <v>14357.5</v>
      </c>
      <c r="EI69" s="976">
        <v>14450.4</v>
      </c>
      <c r="EJ69" s="976">
        <v>14545.5</v>
      </c>
      <c r="EK69" s="976">
        <v>14642.1</v>
      </c>
      <c r="EL69" s="976">
        <v>14737.1</v>
      </c>
      <c r="EM69" s="976">
        <v>14829.4</v>
      </c>
      <c r="EN69" s="976">
        <v>14920.2</v>
      </c>
      <c r="EO69" s="976">
        <v>15008.9</v>
      </c>
      <c r="EP69" s="976">
        <v>15095.2</v>
      </c>
      <c r="EQ69" s="976">
        <v>15179.4</v>
      </c>
      <c r="ER69" s="976">
        <v>15259.8</v>
      </c>
      <c r="ES69" s="976">
        <v>15336.4</v>
      </c>
      <c r="ET69" s="976">
        <v>15412.4</v>
      </c>
      <c r="EU69" s="976">
        <v>15488</v>
      </c>
      <c r="EV69" s="976">
        <v>15563.8</v>
      </c>
      <c r="EW69" s="976">
        <v>15638.8</v>
      </c>
      <c r="EX69" s="976">
        <v>15712.6</v>
      </c>
      <c r="EY69" s="976">
        <v>15783.7</v>
      </c>
      <c r="EZ69" s="976">
        <v>15850.9</v>
      </c>
      <c r="FA69" s="976">
        <v>15913.8</v>
      </c>
      <c r="FB69" s="976">
        <v>15971.4</v>
      </c>
      <c r="FC69" s="976">
        <v>16025</v>
      </c>
      <c r="FD69" s="976">
        <v>16075.4</v>
      </c>
      <c r="FE69" s="976">
        <v>16124.4</v>
      </c>
      <c r="FF69" s="976">
        <v>16173.6</v>
      </c>
      <c r="FG69" s="976">
        <v>16224.4</v>
      </c>
      <c r="FH69" s="976">
        <v>16277.7</v>
      </c>
      <c r="FI69" s="976">
        <v>16333.2</v>
      </c>
      <c r="FJ69" s="976">
        <v>16390.900000000001</v>
      </c>
      <c r="FK69" s="976">
        <v>16450.900000000001</v>
      </c>
      <c r="FL69" s="976">
        <v>16513.3</v>
      </c>
      <c r="FM69" s="976">
        <v>16577.3</v>
      </c>
      <c r="FN69" s="976">
        <v>16642.900000000001</v>
      </c>
      <c r="FO69" s="976">
        <v>16710.5</v>
      </c>
      <c r="FP69" s="976">
        <v>16779.7</v>
      </c>
      <c r="FQ69" s="976">
        <v>16850.099999999999</v>
      </c>
      <c r="FR69" s="976">
        <v>16921.8</v>
      </c>
      <c r="FS69" s="976">
        <v>16994.900000000001</v>
      </c>
      <c r="FT69" s="976">
        <v>17068.599999999999</v>
      </c>
      <c r="FU69" s="976">
        <v>17143.400000000001</v>
      </c>
      <c r="FV69" s="976">
        <v>17219.3</v>
      </c>
      <c r="FW69" s="976">
        <v>17296.2</v>
      </c>
      <c r="FX69" s="976">
        <v>17374.2</v>
      </c>
      <c r="FY69" s="976">
        <v>17453</v>
      </c>
      <c r="FZ69" s="976">
        <v>17532.099999999999</v>
      </c>
      <c r="GA69" s="976">
        <v>17611.2</v>
      </c>
      <c r="GB69" s="976">
        <v>17689.599999999999</v>
      </c>
      <c r="GC69" s="976">
        <v>17766.8</v>
      </c>
      <c r="GD69" s="976">
        <v>17843.2</v>
      </c>
      <c r="GE69" s="976">
        <v>17918.2</v>
      </c>
      <c r="GF69" s="976">
        <v>17992</v>
      </c>
      <c r="GG69" s="976">
        <v>18065.099999999999</v>
      </c>
      <c r="GH69" s="976">
        <v>18137.7</v>
      </c>
      <c r="GI69" s="976">
        <v>18211.099999999999</v>
      </c>
      <c r="GJ69" s="976">
        <v>18287.099999999999</v>
      </c>
      <c r="GK69" s="976">
        <v>18365.3</v>
      </c>
      <c r="GL69" s="976">
        <v>18446.400000000001</v>
      </c>
      <c r="GM69" s="976">
        <v>18530.5</v>
      </c>
      <c r="GN69" s="976">
        <v>18617.400000000001</v>
      </c>
      <c r="GO69" s="976">
        <v>18705.5</v>
      </c>
      <c r="GP69" s="976">
        <v>18794.8</v>
      </c>
      <c r="GQ69" s="976">
        <v>18885.5</v>
      </c>
      <c r="GR69" s="976">
        <v>18976.5</v>
      </c>
      <c r="GS69" s="976">
        <v>19065.599999999999</v>
      </c>
      <c r="GT69" s="976">
        <v>19154</v>
      </c>
      <c r="GU69" s="976">
        <v>19242</v>
      </c>
      <c r="GV69" s="976">
        <v>19327.3</v>
      </c>
      <c r="GW69" s="976">
        <v>19414.2</v>
      </c>
      <c r="GX69" s="976">
        <v>19502.8</v>
      </c>
    </row>
    <row r="70" spans="1:206">
      <c r="A70" s="976" t="s">
        <v>272</v>
      </c>
      <c r="B70" s="976">
        <v>1052.0999999999999</v>
      </c>
      <c r="C70" s="976">
        <v>1075.7</v>
      </c>
      <c r="D70" s="976">
        <v>1093.2</v>
      </c>
      <c r="E70" s="976">
        <v>1116.2</v>
      </c>
      <c r="F70" s="976">
        <v>1142</v>
      </c>
      <c r="G70" s="976">
        <v>1165.9000000000001</v>
      </c>
      <c r="H70" s="976">
        <v>1187.0999999999999</v>
      </c>
      <c r="I70" s="976">
        <v>1206.4000000000001</v>
      </c>
      <c r="J70" s="976">
        <v>1234.5999999999999</v>
      </c>
      <c r="K70" s="976">
        <v>1252.3</v>
      </c>
      <c r="L70" s="976">
        <v>1274.5</v>
      </c>
      <c r="M70" s="976">
        <v>1301.3</v>
      </c>
      <c r="N70" s="976">
        <v>1327.2</v>
      </c>
      <c r="O70" s="976">
        <v>1359.2</v>
      </c>
      <c r="P70" s="976">
        <v>1397.6</v>
      </c>
      <c r="Q70" s="976">
        <v>1437.9</v>
      </c>
      <c r="R70" s="976">
        <v>1477.9</v>
      </c>
      <c r="S70" s="976">
        <v>1526.2</v>
      </c>
      <c r="T70" s="976">
        <v>1584.3</v>
      </c>
      <c r="U70" s="976">
        <v>1644.6</v>
      </c>
      <c r="V70" s="976">
        <v>1695.5</v>
      </c>
      <c r="W70" s="976">
        <v>1734.3</v>
      </c>
      <c r="X70" s="976">
        <v>1778.6</v>
      </c>
      <c r="Y70" s="976">
        <v>1822.2</v>
      </c>
      <c r="Z70" s="976">
        <v>1855.5</v>
      </c>
      <c r="AA70" s="976">
        <v>1888.6</v>
      </c>
      <c r="AB70" s="976">
        <v>1928.1</v>
      </c>
      <c r="AC70" s="976">
        <v>1978.1</v>
      </c>
      <c r="AD70" s="976">
        <v>2026.2</v>
      </c>
      <c r="AE70" s="976">
        <v>2071.8000000000002</v>
      </c>
      <c r="AF70" s="976">
        <v>2114.4</v>
      </c>
      <c r="AG70" s="976">
        <v>2178.3000000000002</v>
      </c>
      <c r="AH70" s="976">
        <v>2229</v>
      </c>
      <c r="AI70" s="976">
        <v>2291.3000000000002</v>
      </c>
      <c r="AJ70" s="976">
        <v>2350.9</v>
      </c>
      <c r="AK70" s="976">
        <v>2420.4</v>
      </c>
      <c r="AL70" s="976">
        <v>2486.9</v>
      </c>
      <c r="AM70" s="976">
        <v>2570</v>
      </c>
      <c r="AN70" s="976">
        <v>2647.8</v>
      </c>
      <c r="AO70" s="976">
        <v>2717.5</v>
      </c>
      <c r="AP70" s="976">
        <v>2793.9</v>
      </c>
      <c r="AQ70" s="976">
        <v>2878.2</v>
      </c>
      <c r="AR70" s="976">
        <v>2958.8</v>
      </c>
      <c r="AS70" s="976">
        <v>3053.4</v>
      </c>
      <c r="AT70" s="976">
        <v>3153.6</v>
      </c>
      <c r="AU70" s="976">
        <v>3237.8</v>
      </c>
      <c r="AV70" s="976">
        <v>3322</v>
      </c>
      <c r="AW70" s="976">
        <v>3404.3</v>
      </c>
      <c r="AX70" s="976">
        <v>3477.3</v>
      </c>
      <c r="AY70" s="976">
        <v>3549.7</v>
      </c>
      <c r="AZ70" s="976">
        <v>3628</v>
      </c>
      <c r="BA70" s="976">
        <v>3694.6</v>
      </c>
      <c r="BB70" s="976">
        <v>3751.5</v>
      </c>
      <c r="BC70" s="976">
        <v>3809.3</v>
      </c>
      <c r="BD70" s="976">
        <v>3881</v>
      </c>
      <c r="BE70" s="976">
        <v>3943</v>
      </c>
      <c r="BF70" s="976">
        <v>4017.3</v>
      </c>
      <c r="BG70" s="976">
        <v>4087.5</v>
      </c>
      <c r="BH70" s="976">
        <v>4160.8999999999996</v>
      </c>
      <c r="BI70" s="976">
        <v>4230</v>
      </c>
      <c r="BJ70" s="976">
        <v>4310.3999999999996</v>
      </c>
      <c r="BK70" s="976">
        <v>4377.1000000000004</v>
      </c>
      <c r="BL70" s="976">
        <v>4442.8</v>
      </c>
      <c r="BM70" s="976">
        <v>4506.8</v>
      </c>
      <c r="BN70" s="976">
        <v>4568.3999999999996</v>
      </c>
      <c r="BO70" s="976">
        <v>4624.7</v>
      </c>
      <c r="BP70" s="976">
        <v>4682.8999999999996</v>
      </c>
      <c r="BQ70" s="976">
        <v>4747.5</v>
      </c>
      <c r="BR70" s="976">
        <v>4817</v>
      </c>
      <c r="BS70" s="976">
        <v>4889.3999999999996</v>
      </c>
      <c r="BT70" s="976">
        <v>4965.6000000000004</v>
      </c>
      <c r="BU70" s="976">
        <v>5044.5</v>
      </c>
      <c r="BV70" s="976">
        <v>5123.5</v>
      </c>
      <c r="BW70" s="976">
        <v>5213.1000000000004</v>
      </c>
      <c r="BX70" s="976">
        <v>5315.4</v>
      </c>
      <c r="BY70" s="976">
        <v>5401.8</v>
      </c>
      <c r="BZ70" s="976">
        <v>5498.7</v>
      </c>
      <c r="CA70" s="976">
        <v>5598.2</v>
      </c>
      <c r="CB70" s="976">
        <v>5680.2</v>
      </c>
      <c r="CC70" s="976">
        <v>5761.9</v>
      </c>
      <c r="CD70" s="976">
        <v>5865.2</v>
      </c>
      <c r="CE70" s="976">
        <v>5972.2</v>
      </c>
      <c r="CF70" s="976">
        <v>6064.3</v>
      </c>
      <c r="CG70" s="976">
        <v>6149.7</v>
      </c>
      <c r="CH70" s="976">
        <v>6249.9</v>
      </c>
      <c r="CI70" s="976">
        <v>6335.5</v>
      </c>
      <c r="CJ70" s="976">
        <v>6424.4</v>
      </c>
      <c r="CK70" s="976">
        <v>6502.4</v>
      </c>
      <c r="CL70" s="976">
        <v>6566.9</v>
      </c>
      <c r="CM70" s="976">
        <v>6647.5</v>
      </c>
      <c r="CN70" s="976">
        <v>6722.2</v>
      </c>
      <c r="CO70" s="976">
        <v>6811.7</v>
      </c>
      <c r="CP70" s="976">
        <v>6894</v>
      </c>
      <c r="CQ70" s="976">
        <v>6980.6</v>
      </c>
      <c r="CR70" s="976">
        <v>7068.5</v>
      </c>
      <c r="CS70" s="976">
        <v>7154.3</v>
      </c>
      <c r="CT70" s="976">
        <v>7236.6</v>
      </c>
      <c r="CU70" s="976">
        <v>7320.2</v>
      </c>
      <c r="CV70" s="976">
        <v>7412</v>
      </c>
      <c r="CW70" s="976">
        <v>7502.9</v>
      </c>
      <c r="CX70" s="976">
        <v>7595</v>
      </c>
      <c r="CY70" s="976">
        <v>7683.7</v>
      </c>
      <c r="CZ70" s="976">
        <v>7774.5</v>
      </c>
      <c r="DA70" s="976">
        <v>7866.5</v>
      </c>
      <c r="DB70" s="976">
        <v>7960.1</v>
      </c>
      <c r="DC70" s="976">
        <v>8052.5</v>
      </c>
      <c r="DD70" s="976">
        <v>8142.7</v>
      </c>
      <c r="DE70" s="976">
        <v>8254.6</v>
      </c>
      <c r="DF70" s="976">
        <v>8376.4</v>
      </c>
      <c r="DG70" s="976">
        <v>8469.7000000000007</v>
      </c>
      <c r="DH70" s="976">
        <v>8586.9</v>
      </c>
      <c r="DI70" s="976">
        <v>8698.7000000000007</v>
      </c>
      <c r="DJ70" s="976">
        <v>8797.9</v>
      </c>
      <c r="DK70" s="976">
        <v>8908.1</v>
      </c>
      <c r="DL70" s="976">
        <v>9038</v>
      </c>
      <c r="DM70" s="976">
        <v>9156.2999999999993</v>
      </c>
      <c r="DN70" s="976">
        <v>9286.7000000000007</v>
      </c>
      <c r="DO70" s="976">
        <v>9417.7999999999993</v>
      </c>
      <c r="DP70" s="976">
        <v>9549.2999999999993</v>
      </c>
      <c r="DQ70" s="976">
        <v>9702.1</v>
      </c>
      <c r="DR70" s="976">
        <v>9871.5</v>
      </c>
      <c r="DS70" s="976">
        <v>10033</v>
      </c>
      <c r="DT70" s="976">
        <v>10189</v>
      </c>
      <c r="DU70" s="976">
        <v>10337.799999999999</v>
      </c>
      <c r="DV70" s="976">
        <v>10492.2</v>
      </c>
      <c r="DW70" s="976">
        <v>10642.6</v>
      </c>
      <c r="DX70" s="976">
        <v>10768.3</v>
      </c>
      <c r="DY70" s="976">
        <v>10882.5</v>
      </c>
      <c r="DZ70" s="976">
        <v>10993.6</v>
      </c>
      <c r="EA70" s="976">
        <v>11105.7</v>
      </c>
      <c r="EB70" s="976">
        <v>11228.4</v>
      </c>
      <c r="EC70" s="976">
        <v>11363</v>
      </c>
      <c r="ED70" s="976">
        <v>11485.5</v>
      </c>
      <c r="EE70" s="976">
        <v>11591.1</v>
      </c>
      <c r="EF70" s="976">
        <v>11726.4</v>
      </c>
      <c r="EG70" s="976">
        <v>11869.8</v>
      </c>
      <c r="EH70" s="976">
        <v>12034.5</v>
      </c>
      <c r="EI70" s="976">
        <v>12211.2</v>
      </c>
      <c r="EJ70" s="976">
        <v>12371.8</v>
      </c>
      <c r="EK70" s="976">
        <v>12550</v>
      </c>
      <c r="EL70" s="976">
        <v>12731.5</v>
      </c>
      <c r="EM70" s="976">
        <v>12901</v>
      </c>
      <c r="EN70" s="976">
        <v>13097.4</v>
      </c>
      <c r="EO70" s="976">
        <v>13281.3</v>
      </c>
      <c r="EP70" s="976">
        <v>13450.8</v>
      </c>
      <c r="EQ70" s="976">
        <v>13639</v>
      </c>
      <c r="ER70" s="976">
        <v>13807.3</v>
      </c>
      <c r="ES70" s="976">
        <v>13927.8</v>
      </c>
      <c r="ET70" s="976">
        <v>14134.4</v>
      </c>
      <c r="EU70" s="976">
        <v>14295.6</v>
      </c>
      <c r="EV70" s="976">
        <v>14439.6</v>
      </c>
      <c r="EW70" s="976">
        <v>14566.7</v>
      </c>
      <c r="EX70" s="976">
        <v>14689.5</v>
      </c>
      <c r="EY70" s="976">
        <v>14835.1</v>
      </c>
      <c r="EZ70" s="976">
        <v>15009.3</v>
      </c>
      <c r="FA70" s="976">
        <v>15116</v>
      </c>
      <c r="FB70" s="976">
        <v>15169.1</v>
      </c>
      <c r="FC70" s="976">
        <v>15197.8</v>
      </c>
      <c r="FD70" s="976">
        <v>15261.7</v>
      </c>
      <c r="FE70" s="976">
        <v>15359.8</v>
      </c>
      <c r="FF70" s="976">
        <v>15445.7</v>
      </c>
      <c r="FG70" s="976">
        <v>15566.2</v>
      </c>
      <c r="FH70" s="976">
        <v>15662.7</v>
      </c>
      <c r="FI70" s="976">
        <v>15804.5</v>
      </c>
      <c r="FJ70" s="976">
        <v>15945.5</v>
      </c>
      <c r="FK70" s="976">
        <v>16109</v>
      </c>
      <c r="FL70" s="976">
        <v>16274.4</v>
      </c>
      <c r="FM70" s="976">
        <v>16362.2</v>
      </c>
      <c r="FN70" s="976">
        <v>16529.8</v>
      </c>
      <c r="FO70" s="976">
        <v>16662.5</v>
      </c>
      <c r="FP70" s="976">
        <v>16817.400000000001</v>
      </c>
      <c r="FQ70" s="976">
        <v>16974.5</v>
      </c>
      <c r="FR70" s="976">
        <v>17114.599999999999</v>
      </c>
      <c r="FS70" s="976">
        <v>17238</v>
      </c>
      <c r="FT70" s="976">
        <v>17395.8</v>
      </c>
      <c r="FU70" s="976">
        <v>17575</v>
      </c>
      <c r="FV70" s="976">
        <v>17725.099999999999</v>
      </c>
      <c r="FW70" s="976">
        <v>17903.5</v>
      </c>
      <c r="FX70" s="976">
        <v>18061.8</v>
      </c>
      <c r="FY70" s="976">
        <v>18172.7</v>
      </c>
      <c r="FZ70" s="976">
        <v>18238.8</v>
      </c>
      <c r="GA70" s="976">
        <v>18420.599999999999</v>
      </c>
      <c r="GB70" s="976">
        <v>18561</v>
      </c>
      <c r="GC70" s="976">
        <v>18643.900000000001</v>
      </c>
      <c r="GD70" s="976">
        <v>18711.2</v>
      </c>
      <c r="GE70" s="976">
        <v>18920.099999999999</v>
      </c>
      <c r="GF70" s="976">
        <v>19062.5</v>
      </c>
      <c r="GG70" s="976">
        <v>19233.7</v>
      </c>
      <c r="GH70" s="976">
        <v>19409</v>
      </c>
      <c r="GI70" s="976">
        <v>19547.7</v>
      </c>
      <c r="GJ70" s="976">
        <v>19726.8</v>
      </c>
      <c r="GK70" s="976">
        <v>19944.400000000001</v>
      </c>
      <c r="GL70" s="976">
        <v>20150.3</v>
      </c>
      <c r="GM70" s="976">
        <v>20416.2</v>
      </c>
      <c r="GN70" s="976">
        <v>20593.400000000001</v>
      </c>
      <c r="GO70" s="976">
        <v>20789.5</v>
      </c>
      <c r="GP70" s="976">
        <v>20942.099999999999</v>
      </c>
      <c r="GQ70" s="976">
        <v>21178.400000000001</v>
      </c>
      <c r="GR70" s="976">
        <v>21354.400000000001</v>
      </c>
      <c r="GS70" s="976">
        <v>21534.6</v>
      </c>
      <c r="GT70" s="976">
        <v>21723.5</v>
      </c>
      <c r="GU70" s="976">
        <v>21708.2</v>
      </c>
      <c r="GV70" s="976">
        <v>22002.3</v>
      </c>
      <c r="GW70" s="976">
        <v>22146</v>
      </c>
      <c r="GX70" s="976">
        <v>22361.5</v>
      </c>
    </row>
    <row r="71" spans="1:206">
      <c r="A71" s="976" t="s">
        <v>273</v>
      </c>
      <c r="B71" s="976">
        <v>1</v>
      </c>
      <c r="C71" s="976">
        <v>1</v>
      </c>
      <c r="D71" s="976">
        <v>1</v>
      </c>
      <c r="E71" s="976">
        <v>1</v>
      </c>
      <c r="F71" s="976">
        <v>-1</v>
      </c>
      <c r="G71" s="976">
        <v>-1</v>
      </c>
      <c r="H71" s="976">
        <v>-1</v>
      </c>
      <c r="I71" s="976">
        <v>-1</v>
      </c>
      <c r="J71" s="976">
        <v>-1</v>
      </c>
      <c r="K71" s="976">
        <v>-1</v>
      </c>
      <c r="L71" s="976">
        <v>-1</v>
      </c>
      <c r="M71" s="976">
        <v>-1</v>
      </c>
      <c r="N71" s="976">
        <v>-1</v>
      </c>
      <c r="O71" s="976">
        <v>-1</v>
      </c>
      <c r="P71" s="976">
        <v>-1</v>
      </c>
      <c r="Q71" s="976">
        <v>1</v>
      </c>
      <c r="R71" s="976">
        <v>1</v>
      </c>
      <c r="S71" s="976">
        <v>1</v>
      </c>
      <c r="T71" s="976">
        <v>1</v>
      </c>
      <c r="U71" s="976">
        <v>1</v>
      </c>
      <c r="V71" s="976">
        <v>1</v>
      </c>
      <c r="W71" s="976">
        <v>-1</v>
      </c>
      <c r="X71" s="976">
        <v>-1</v>
      </c>
      <c r="Y71" s="976">
        <v>-1</v>
      </c>
      <c r="Z71" s="976">
        <v>-1</v>
      </c>
      <c r="AA71" s="976">
        <v>-1</v>
      </c>
      <c r="AB71" s="976">
        <v>-1</v>
      </c>
      <c r="AC71" s="976">
        <v>-1</v>
      </c>
      <c r="AD71" s="976">
        <v>-1</v>
      </c>
      <c r="AE71" s="976">
        <v>-1</v>
      </c>
      <c r="AF71" s="976">
        <v>-1</v>
      </c>
      <c r="AG71" s="976">
        <v>-1</v>
      </c>
      <c r="AH71" s="976">
        <v>-1</v>
      </c>
      <c r="AI71" s="976">
        <v>-1</v>
      </c>
      <c r="AJ71" s="976">
        <v>-1</v>
      </c>
      <c r="AK71" s="976">
        <v>-1</v>
      </c>
      <c r="AL71" s="976">
        <v>-1</v>
      </c>
      <c r="AM71" s="976">
        <v>-1</v>
      </c>
      <c r="AN71" s="976">
        <v>-1</v>
      </c>
      <c r="AO71" s="976">
        <v>-1</v>
      </c>
      <c r="AP71" s="976">
        <v>1</v>
      </c>
      <c r="AQ71" s="976">
        <v>1</v>
      </c>
      <c r="AR71" s="976">
        <v>1</v>
      </c>
      <c r="AS71" s="976">
        <v>-1</v>
      </c>
      <c r="AT71" s="976">
        <v>-1</v>
      </c>
      <c r="AU71" s="976">
        <v>-1</v>
      </c>
      <c r="AV71" s="976">
        <v>1</v>
      </c>
      <c r="AW71" s="976">
        <v>1</v>
      </c>
      <c r="AX71" s="976">
        <v>1</v>
      </c>
      <c r="AY71" s="976">
        <v>1</v>
      </c>
      <c r="AZ71" s="976">
        <v>1</v>
      </c>
      <c r="BA71" s="976">
        <v>1</v>
      </c>
      <c r="BB71" s="976">
        <v>-1</v>
      </c>
      <c r="BC71" s="976">
        <v>-1</v>
      </c>
      <c r="BD71" s="976">
        <v>-1</v>
      </c>
      <c r="BE71" s="976">
        <v>-1</v>
      </c>
      <c r="BF71" s="976">
        <v>-1</v>
      </c>
      <c r="BG71" s="976">
        <v>-1</v>
      </c>
      <c r="BH71" s="976">
        <v>-1</v>
      </c>
      <c r="BI71" s="976">
        <v>-1</v>
      </c>
      <c r="BJ71" s="976">
        <v>-1</v>
      </c>
      <c r="BK71" s="976">
        <v>-1</v>
      </c>
      <c r="BL71" s="976">
        <v>-1</v>
      </c>
      <c r="BM71" s="976">
        <v>-1</v>
      </c>
      <c r="BN71" s="976">
        <v>-1</v>
      </c>
      <c r="BO71" s="976">
        <v>-1</v>
      </c>
      <c r="BP71" s="976">
        <v>-1</v>
      </c>
      <c r="BQ71" s="976">
        <v>-1</v>
      </c>
      <c r="BR71" s="976">
        <v>-1</v>
      </c>
      <c r="BS71" s="976">
        <v>-1</v>
      </c>
      <c r="BT71" s="976">
        <v>-1</v>
      </c>
      <c r="BU71" s="976">
        <v>-1</v>
      </c>
      <c r="BV71" s="976">
        <v>-1</v>
      </c>
      <c r="BW71" s="976">
        <v>-1</v>
      </c>
      <c r="BX71" s="976">
        <v>-1</v>
      </c>
      <c r="BY71" s="976">
        <v>-1</v>
      </c>
      <c r="BZ71" s="976">
        <v>-1</v>
      </c>
      <c r="CA71" s="976">
        <v>-1</v>
      </c>
      <c r="CB71" s="976">
        <v>-1</v>
      </c>
      <c r="CC71" s="976">
        <v>-1</v>
      </c>
      <c r="CD71" s="976">
        <v>-1</v>
      </c>
      <c r="CE71" s="976">
        <v>-1</v>
      </c>
      <c r="CF71" s="976">
        <v>1</v>
      </c>
      <c r="CG71" s="976">
        <v>1</v>
      </c>
      <c r="CH71" s="976">
        <v>1</v>
      </c>
      <c r="CI71" s="976">
        <v>-1</v>
      </c>
      <c r="CJ71" s="976">
        <v>-1</v>
      </c>
      <c r="CK71" s="976">
        <v>-1</v>
      </c>
      <c r="CL71" s="976">
        <v>-1</v>
      </c>
      <c r="CM71" s="976">
        <v>-1</v>
      </c>
      <c r="CN71" s="976">
        <v>-1</v>
      </c>
      <c r="CO71" s="976">
        <v>-1</v>
      </c>
      <c r="CP71" s="976">
        <v>-1</v>
      </c>
      <c r="CQ71" s="976">
        <v>-1</v>
      </c>
      <c r="CR71" s="976">
        <v>-1</v>
      </c>
      <c r="CS71" s="976">
        <v>-1</v>
      </c>
      <c r="CT71" s="976">
        <v>-1</v>
      </c>
      <c r="CU71" s="976">
        <v>-1</v>
      </c>
      <c r="CV71" s="976">
        <v>-1</v>
      </c>
      <c r="CW71" s="976">
        <v>-1</v>
      </c>
      <c r="CX71" s="976">
        <v>-1</v>
      </c>
      <c r="CY71" s="976">
        <v>-1</v>
      </c>
      <c r="CZ71" s="976">
        <v>-1</v>
      </c>
      <c r="DA71" s="976">
        <v>-1</v>
      </c>
      <c r="DB71" s="976">
        <v>-1</v>
      </c>
      <c r="DC71" s="976">
        <v>-1</v>
      </c>
      <c r="DD71" s="976">
        <v>-1</v>
      </c>
      <c r="DE71" s="976">
        <v>-1</v>
      </c>
      <c r="DF71" s="976">
        <v>-1</v>
      </c>
      <c r="DG71" s="976">
        <v>-1</v>
      </c>
      <c r="DH71" s="976">
        <v>-1</v>
      </c>
      <c r="DI71" s="976">
        <v>-1</v>
      </c>
      <c r="DJ71" s="976">
        <v>-1</v>
      </c>
      <c r="DK71" s="976">
        <v>-1</v>
      </c>
      <c r="DL71" s="976">
        <v>-1</v>
      </c>
      <c r="DM71" s="976">
        <v>-1</v>
      </c>
      <c r="DN71" s="976">
        <v>-1</v>
      </c>
      <c r="DO71" s="976">
        <v>-1</v>
      </c>
      <c r="DP71" s="976">
        <v>-1</v>
      </c>
      <c r="DQ71" s="976">
        <v>-1</v>
      </c>
      <c r="DR71" s="976">
        <v>-1</v>
      </c>
      <c r="DS71" s="976">
        <v>-1</v>
      </c>
      <c r="DT71" s="976">
        <v>-1</v>
      </c>
      <c r="DU71" s="976">
        <v>-1</v>
      </c>
      <c r="DV71" s="976">
        <v>1</v>
      </c>
      <c r="DW71" s="976">
        <v>1</v>
      </c>
      <c r="DX71" s="976">
        <v>1</v>
      </c>
      <c r="DY71" s="976">
        <v>1</v>
      </c>
      <c r="DZ71" s="976">
        <v>-1</v>
      </c>
      <c r="EA71" s="976">
        <v>-1</v>
      </c>
      <c r="EB71" s="976">
        <v>-1</v>
      </c>
      <c r="EC71" s="976">
        <v>-1</v>
      </c>
      <c r="ED71" s="976">
        <v>-1</v>
      </c>
      <c r="EE71" s="976">
        <v>-1</v>
      </c>
      <c r="EF71" s="976">
        <v>-1</v>
      </c>
      <c r="EG71" s="976">
        <v>-1</v>
      </c>
      <c r="EH71" s="976">
        <v>-1</v>
      </c>
      <c r="EI71" s="976">
        <v>-1</v>
      </c>
      <c r="EJ71" s="976">
        <v>-1</v>
      </c>
      <c r="EK71" s="976">
        <v>-1</v>
      </c>
      <c r="EL71" s="976">
        <v>-1</v>
      </c>
      <c r="EM71" s="976">
        <v>-1</v>
      </c>
      <c r="EN71" s="976">
        <v>-1</v>
      </c>
      <c r="EO71" s="976">
        <v>-1</v>
      </c>
      <c r="EP71" s="976">
        <v>-1</v>
      </c>
      <c r="EQ71" s="976">
        <v>-1</v>
      </c>
      <c r="ER71" s="976">
        <v>-1</v>
      </c>
      <c r="ES71" s="976">
        <v>-1</v>
      </c>
      <c r="ET71" s="976">
        <v>-1</v>
      </c>
      <c r="EU71" s="976">
        <v>-1</v>
      </c>
      <c r="EV71" s="976">
        <v>-1</v>
      </c>
      <c r="EW71" s="976">
        <v>1</v>
      </c>
      <c r="EX71" s="976">
        <v>1</v>
      </c>
      <c r="EY71" s="976">
        <v>1</v>
      </c>
      <c r="EZ71" s="976">
        <v>1</v>
      </c>
      <c r="FA71" s="976">
        <v>1</v>
      </c>
      <c r="FB71" s="976">
        <v>1</v>
      </c>
      <c r="FC71" s="976">
        <v>1</v>
      </c>
      <c r="FD71" s="976">
        <v>-1</v>
      </c>
      <c r="FE71" s="976">
        <v>-1</v>
      </c>
      <c r="FF71" s="976">
        <v>-1</v>
      </c>
      <c r="FG71" s="976">
        <v>-1</v>
      </c>
      <c r="FH71" s="976">
        <v>-1</v>
      </c>
      <c r="FI71" s="976">
        <v>-1</v>
      </c>
      <c r="FJ71" s="976">
        <v>-1</v>
      </c>
      <c r="FK71" s="976">
        <v>-1</v>
      </c>
      <c r="FL71" s="976">
        <v>-1</v>
      </c>
      <c r="FM71" s="976">
        <v>-1</v>
      </c>
      <c r="FN71" s="976">
        <v>-1</v>
      </c>
      <c r="FO71" s="976">
        <v>-1</v>
      </c>
      <c r="FP71" s="976">
        <v>-1</v>
      </c>
      <c r="FQ71" s="976">
        <v>-1</v>
      </c>
      <c r="FR71" s="976">
        <v>-1</v>
      </c>
      <c r="FS71" s="976">
        <v>-1</v>
      </c>
      <c r="FT71" s="976">
        <v>-1</v>
      </c>
      <c r="FU71" s="976">
        <v>-1</v>
      </c>
      <c r="FV71" s="976">
        <v>-1</v>
      </c>
      <c r="FW71" s="976">
        <v>-1</v>
      </c>
      <c r="FX71" s="976">
        <v>-1</v>
      </c>
      <c r="FY71" s="976">
        <v>-1</v>
      </c>
      <c r="FZ71" s="976">
        <v>-1</v>
      </c>
      <c r="GA71" s="976">
        <v>-1</v>
      </c>
      <c r="GB71" s="976">
        <v>-1</v>
      </c>
      <c r="GC71" s="976">
        <v>-1</v>
      </c>
      <c r="GD71" s="976">
        <v>-1</v>
      </c>
      <c r="GE71" s="976">
        <v>-1</v>
      </c>
      <c r="GF71" s="976">
        <v>-1</v>
      </c>
      <c r="GG71" s="976">
        <v>-1</v>
      </c>
      <c r="GH71" s="976">
        <v>-1</v>
      </c>
      <c r="GI71" s="976">
        <v>-1</v>
      </c>
      <c r="GJ71" s="976">
        <v>-1</v>
      </c>
      <c r="GK71" s="976">
        <v>-1</v>
      </c>
      <c r="GL71" s="976">
        <v>-1</v>
      </c>
      <c r="GM71" s="976">
        <v>-1</v>
      </c>
      <c r="GN71" s="976">
        <v>-1</v>
      </c>
      <c r="GO71" s="976">
        <v>-1</v>
      </c>
      <c r="GP71" s="976">
        <v>-1</v>
      </c>
      <c r="GQ71" s="976">
        <v>-1</v>
      </c>
      <c r="GR71" s="976">
        <v>-1</v>
      </c>
      <c r="GS71" s="976">
        <v>1</v>
      </c>
      <c r="GT71" s="976">
        <v>1</v>
      </c>
      <c r="GU71" s="976">
        <v>1</v>
      </c>
      <c r="GV71" s="976">
        <v>1</v>
      </c>
      <c r="GW71" s="976">
        <v>1</v>
      </c>
      <c r="GX71" s="976">
        <v>1</v>
      </c>
    </row>
    <row r="72" spans="1:206">
      <c r="A72" s="976" t="s">
        <v>274</v>
      </c>
      <c r="B72" s="976">
        <v>2613.3333333333298</v>
      </c>
      <c r="C72" s="976">
        <v>2648.3333333333298</v>
      </c>
      <c r="D72" s="976">
        <v>2681.6666666666702</v>
      </c>
      <c r="E72" s="976">
        <v>2716.3333333333298</v>
      </c>
      <c r="F72" s="976">
        <v>2719.3333333333298</v>
      </c>
      <c r="G72" s="976">
        <v>2739.6666666666702</v>
      </c>
      <c r="H72" s="976">
        <v>2751.6666666666702</v>
      </c>
      <c r="I72" s="976">
        <v>2781</v>
      </c>
      <c r="J72" s="976">
        <v>2815</v>
      </c>
      <c r="K72" s="976">
        <v>2849</v>
      </c>
      <c r="L72" s="976">
        <v>2874</v>
      </c>
      <c r="M72" s="976">
        <v>2901.3333333333298</v>
      </c>
      <c r="N72" s="976">
        <v>2899.6666666666702</v>
      </c>
      <c r="O72" s="976">
        <v>2911.6666666666702</v>
      </c>
      <c r="P72" s="976">
        <v>2926.3333333333298</v>
      </c>
      <c r="Q72" s="976">
        <v>2953.3333333333298</v>
      </c>
      <c r="R72" s="976">
        <v>2988.6666666666702</v>
      </c>
      <c r="S72" s="976">
        <v>3018</v>
      </c>
      <c r="T72" s="976">
        <v>3048.3333333333298</v>
      </c>
      <c r="U72" s="976">
        <v>3099</v>
      </c>
      <c r="V72" s="976">
        <v>3161.6666666666702</v>
      </c>
      <c r="W72" s="976">
        <v>3177.3333333333298</v>
      </c>
      <c r="X72" s="976">
        <v>3178</v>
      </c>
      <c r="Y72" s="976">
        <v>3197.3333333333298</v>
      </c>
      <c r="Z72" s="976">
        <v>3214.3333333333298</v>
      </c>
      <c r="AA72" s="976">
        <v>3241.6666666666702</v>
      </c>
      <c r="AB72" s="976">
        <v>3290.6666666666702</v>
      </c>
      <c r="AC72" s="976">
        <v>3342</v>
      </c>
      <c r="AD72" s="976">
        <v>3341.3333333333298</v>
      </c>
      <c r="AE72" s="976">
        <v>3374.6666666666702</v>
      </c>
      <c r="AF72" s="976">
        <v>3385</v>
      </c>
      <c r="AG72" s="976">
        <v>3404.6666666666702</v>
      </c>
      <c r="AH72" s="976">
        <v>3442.3333333333298</v>
      </c>
      <c r="AI72" s="976">
        <v>3479</v>
      </c>
      <c r="AJ72" s="976">
        <v>3477.3333333333298</v>
      </c>
      <c r="AK72" s="976">
        <v>3494</v>
      </c>
      <c r="AL72" s="976">
        <v>3504.3333333333298</v>
      </c>
      <c r="AM72" s="976">
        <v>3518</v>
      </c>
      <c r="AN72" s="976">
        <v>3560.6666666666702</v>
      </c>
      <c r="AO72" s="976">
        <v>3579.3333333333298</v>
      </c>
      <c r="AP72" s="976">
        <v>3582</v>
      </c>
      <c r="AQ72" s="976">
        <v>3602.6666666666702</v>
      </c>
      <c r="AR72" s="976">
        <v>3624</v>
      </c>
      <c r="AS72" s="976">
        <v>3630.6666666666702</v>
      </c>
      <c r="AT72" s="976">
        <v>3636</v>
      </c>
      <c r="AU72" s="976">
        <v>3631.6666666666702</v>
      </c>
      <c r="AV72" s="976">
        <v>3640</v>
      </c>
      <c r="AW72" s="976">
        <v>3653</v>
      </c>
      <c r="AX72" s="976">
        <v>3645.6666666666702</v>
      </c>
      <c r="AY72" s="976">
        <v>3647.3333333333298</v>
      </c>
      <c r="AZ72" s="976">
        <v>3625.6666666666702</v>
      </c>
      <c r="BA72" s="976">
        <v>3640.3333333333298</v>
      </c>
      <c r="BB72" s="976">
        <v>3650.3333333333298</v>
      </c>
      <c r="BC72" s="976">
        <v>3656</v>
      </c>
      <c r="BD72" s="976">
        <v>3671.3333333333298</v>
      </c>
      <c r="BE72" s="976">
        <v>3671.6666666666702</v>
      </c>
      <c r="BF72" s="976">
        <v>3687</v>
      </c>
      <c r="BG72" s="976">
        <v>3720</v>
      </c>
      <c r="BH72" s="976">
        <v>3758</v>
      </c>
      <c r="BI72" s="976">
        <v>3773</v>
      </c>
      <c r="BJ72" s="976">
        <v>3798.3333333333298</v>
      </c>
      <c r="BK72" s="976">
        <v>3819.3333333333298</v>
      </c>
      <c r="BL72" s="976">
        <v>3844.3333333333298</v>
      </c>
      <c r="BM72" s="976">
        <v>3864.3333333333298</v>
      </c>
      <c r="BN72" s="976">
        <v>3872.3333333333298</v>
      </c>
      <c r="BO72" s="976">
        <v>3883</v>
      </c>
      <c r="BP72" s="976">
        <v>3889.3333333333298</v>
      </c>
      <c r="BQ72" s="976">
        <v>3926.6666666666702</v>
      </c>
      <c r="BR72" s="976">
        <v>3943.6666666666702</v>
      </c>
      <c r="BS72" s="976">
        <v>3953</v>
      </c>
      <c r="BT72" s="976">
        <v>3969</v>
      </c>
      <c r="BU72" s="976">
        <v>4000.6666666666702</v>
      </c>
      <c r="BV72" s="976">
        <v>4030.6666666666702</v>
      </c>
      <c r="BW72" s="976">
        <v>4065.3333333333298</v>
      </c>
      <c r="BX72" s="976">
        <v>4094.3333333333298</v>
      </c>
      <c r="BY72" s="976">
        <v>4114.6666666666697</v>
      </c>
      <c r="BZ72" s="976">
        <v>4135.6666666666697</v>
      </c>
      <c r="CA72" s="976">
        <v>4169</v>
      </c>
      <c r="CB72" s="976">
        <v>4201.3333333333303</v>
      </c>
      <c r="CC72" s="976">
        <v>4221</v>
      </c>
      <c r="CD72" s="976">
        <v>4258</v>
      </c>
      <c r="CE72" s="976">
        <v>4295.6666666666697</v>
      </c>
      <c r="CF72" s="976">
        <v>4322.6666666666697</v>
      </c>
      <c r="CG72" s="976">
        <v>4342.6666666666697</v>
      </c>
      <c r="CH72" s="976">
        <v>4358</v>
      </c>
      <c r="CI72" s="976">
        <v>4362.3333333333303</v>
      </c>
      <c r="CJ72" s="976">
        <v>4345</v>
      </c>
      <c r="CK72" s="976">
        <v>4354.3333333333303</v>
      </c>
      <c r="CL72" s="976">
        <v>4372</v>
      </c>
      <c r="CM72" s="976">
        <v>4395.6666666666697</v>
      </c>
      <c r="CN72" s="976">
        <v>4425.3333333333303</v>
      </c>
      <c r="CO72" s="976">
        <v>4438</v>
      </c>
      <c r="CP72" s="976">
        <v>4456</v>
      </c>
      <c r="CQ72" s="976">
        <v>4478</v>
      </c>
      <c r="CR72" s="976">
        <v>4496</v>
      </c>
      <c r="CS72" s="976">
        <v>4515</v>
      </c>
      <c r="CT72" s="976">
        <v>4523.6666666666697</v>
      </c>
      <c r="CU72" s="976">
        <v>4555.3333333333303</v>
      </c>
      <c r="CV72" s="976">
        <v>4600</v>
      </c>
      <c r="CW72" s="976">
        <v>4626.3333333333303</v>
      </c>
      <c r="CX72" s="976">
        <v>4649.6666666666697</v>
      </c>
      <c r="CY72" s="976">
        <v>4643</v>
      </c>
      <c r="CZ72" s="976">
        <v>4623.6666666666697</v>
      </c>
      <c r="DA72" s="976">
        <v>4624.6666666666697</v>
      </c>
      <c r="DB72" s="976">
        <v>4621.3333333333303</v>
      </c>
      <c r="DC72" s="976">
        <v>4618.3333333333303</v>
      </c>
      <c r="DD72" s="976">
        <v>4600.3333333333303</v>
      </c>
      <c r="DE72" s="976">
        <v>4581.3333333333303</v>
      </c>
      <c r="DF72" s="976">
        <v>4574.3333333333303</v>
      </c>
      <c r="DG72" s="976">
        <v>4577</v>
      </c>
      <c r="DH72" s="976">
        <v>4589</v>
      </c>
      <c r="DI72" s="976">
        <v>4583</v>
      </c>
      <c r="DJ72" s="976">
        <v>4578</v>
      </c>
      <c r="DK72" s="976">
        <v>4596.6666666666697</v>
      </c>
      <c r="DL72" s="976">
        <v>4631.6666666666697</v>
      </c>
      <c r="DM72" s="976">
        <v>4640.6666666666697</v>
      </c>
      <c r="DN72" s="976">
        <v>4669</v>
      </c>
      <c r="DO72" s="976">
        <v>4688.3333333333303</v>
      </c>
      <c r="DP72" s="976">
        <v>4717.3333333333303</v>
      </c>
      <c r="DQ72" s="976">
        <v>4757.3333333333303</v>
      </c>
      <c r="DR72" s="976">
        <v>4768</v>
      </c>
      <c r="DS72" s="976">
        <v>4779.3333333333303</v>
      </c>
      <c r="DT72" s="976">
        <v>4793.3333333333303</v>
      </c>
      <c r="DU72" s="976">
        <v>4809</v>
      </c>
      <c r="DV72" s="976">
        <v>4832</v>
      </c>
      <c r="DW72" s="976">
        <v>4877.6666666666697</v>
      </c>
      <c r="DX72" s="976">
        <v>4936.6666666666697</v>
      </c>
      <c r="DY72" s="976">
        <v>4977.3333333333303</v>
      </c>
      <c r="DZ72" s="976">
        <v>5004.3333333333303</v>
      </c>
      <c r="EA72" s="976">
        <v>5039</v>
      </c>
      <c r="EB72" s="976">
        <v>5052.6666666666697</v>
      </c>
      <c r="EC72" s="976">
        <v>5020.6666666666697</v>
      </c>
      <c r="ED72" s="976">
        <v>5029.3333333333303</v>
      </c>
      <c r="EE72" s="976">
        <v>5007.6666666666697</v>
      </c>
      <c r="EF72" s="976">
        <v>4978.6666666666697</v>
      </c>
      <c r="EG72" s="976">
        <v>4985.3333333333303</v>
      </c>
      <c r="EH72" s="976">
        <v>4968.3333333333303</v>
      </c>
      <c r="EI72" s="976">
        <v>4974</v>
      </c>
      <c r="EJ72" s="976">
        <v>4984</v>
      </c>
      <c r="EK72" s="976">
        <v>4995.3333333333303</v>
      </c>
      <c r="EL72" s="976">
        <v>5015.6666666666697</v>
      </c>
      <c r="EM72" s="976">
        <v>5023.3333333333303</v>
      </c>
      <c r="EN72" s="976">
        <v>5039.3333333333303</v>
      </c>
      <c r="EO72" s="976">
        <v>5047.6666666666697</v>
      </c>
      <c r="EP72" s="976">
        <v>5047</v>
      </c>
      <c r="EQ72" s="976">
        <v>5068.3333333333303</v>
      </c>
      <c r="ER72" s="976">
        <v>5086</v>
      </c>
      <c r="ES72" s="976">
        <v>5098.3333333333303</v>
      </c>
      <c r="ET72" s="976">
        <v>5106.3333333333303</v>
      </c>
      <c r="EU72" s="976">
        <v>5124.3333333333303</v>
      </c>
      <c r="EV72" s="976">
        <v>5122</v>
      </c>
      <c r="EW72" s="976">
        <v>5136</v>
      </c>
      <c r="EX72" s="976">
        <v>5148.6666666666697</v>
      </c>
      <c r="EY72" s="976">
        <v>5166</v>
      </c>
      <c r="EZ72" s="976">
        <v>5196.3333333333303</v>
      </c>
      <c r="FA72" s="976">
        <v>5189</v>
      </c>
      <c r="FB72" s="976">
        <v>5192</v>
      </c>
      <c r="FC72" s="976">
        <v>5181.6666666666697</v>
      </c>
      <c r="FD72" s="976">
        <v>5145.3333333333303</v>
      </c>
      <c r="FE72" s="976">
        <v>5153.3333333333303</v>
      </c>
      <c r="FF72" s="976">
        <v>5144</v>
      </c>
      <c r="FG72" s="976">
        <v>5136.6666666666697</v>
      </c>
      <c r="FH72" s="976">
        <v>5129.3333333333303</v>
      </c>
      <c r="FI72" s="976">
        <v>5137</v>
      </c>
      <c r="FJ72" s="976">
        <v>5113.3333333333303</v>
      </c>
      <c r="FK72" s="976">
        <v>5084.3333333333303</v>
      </c>
      <c r="FL72" s="976">
        <v>5069.6666666666697</v>
      </c>
      <c r="FM72" s="976">
        <v>5051</v>
      </c>
      <c r="FN72" s="976">
        <v>5048</v>
      </c>
      <c r="FO72" s="976">
        <v>5055.3333333333303</v>
      </c>
      <c r="FP72" s="976">
        <v>5064.6666666666697</v>
      </c>
      <c r="FQ72" s="976">
        <v>5051.6666666666697</v>
      </c>
      <c r="FR72" s="976">
        <v>5042</v>
      </c>
      <c r="FS72" s="976">
        <v>5044.6666666666697</v>
      </c>
      <c r="FT72" s="976">
        <v>5040</v>
      </c>
      <c r="FU72" s="976">
        <v>5055.3333333333303</v>
      </c>
      <c r="FV72" s="976">
        <v>5054.6666666666697</v>
      </c>
      <c r="FW72" s="976">
        <v>5054.6666666666697</v>
      </c>
      <c r="FX72" s="976">
        <v>5030.6666666666697</v>
      </c>
      <c r="FY72" s="976">
        <v>5052.6666666666697</v>
      </c>
      <c r="FZ72" s="976">
        <v>5067.6666666666697</v>
      </c>
      <c r="GA72" s="976">
        <v>5072.3333333333303</v>
      </c>
      <c r="GB72" s="976">
        <v>5077.6666666666697</v>
      </c>
      <c r="GC72" s="976">
        <v>5087.3333333333303</v>
      </c>
      <c r="GD72" s="976">
        <v>5089</v>
      </c>
      <c r="GE72" s="976">
        <v>5098.6666666666697</v>
      </c>
      <c r="GF72" s="976">
        <v>5126.6666666666697</v>
      </c>
      <c r="GG72" s="976">
        <v>5135.3333333333303</v>
      </c>
      <c r="GH72" s="976">
        <v>5158</v>
      </c>
      <c r="GI72" s="976">
        <v>5170.3333333333303</v>
      </c>
      <c r="GJ72" s="976">
        <v>5168.3333333333303</v>
      </c>
      <c r="GK72" s="976">
        <v>5160.3333333333303</v>
      </c>
      <c r="GL72" s="976">
        <v>5150.3333333333303</v>
      </c>
      <c r="GM72" s="976">
        <v>5173</v>
      </c>
      <c r="GN72" s="976">
        <v>5185.3333333333303</v>
      </c>
      <c r="GO72" s="976">
        <v>5177</v>
      </c>
      <c r="GP72" s="976">
        <v>5171.3333333333303</v>
      </c>
      <c r="GQ72" s="976">
        <v>5177.3333333333303</v>
      </c>
      <c r="GR72" s="976">
        <v>5218.3333333333303</v>
      </c>
      <c r="GS72" s="976">
        <v>5250.3333333333303</v>
      </c>
      <c r="GT72" s="976">
        <v>5276.3333333333303</v>
      </c>
      <c r="GU72" s="976">
        <v>5049.3333333333303</v>
      </c>
      <c r="GV72" s="976">
        <v>5036.3333333333303</v>
      </c>
      <c r="GW72" s="976">
        <v>4935.3333333333303</v>
      </c>
      <c r="GX72" s="976">
        <v>4976.6666666666697</v>
      </c>
    </row>
    <row r="73" spans="1:206">
      <c r="A73" s="976" t="s">
        <v>275</v>
      </c>
      <c r="B73" s="976">
        <v>7048.6666666666697</v>
      </c>
      <c r="C73" s="976">
        <v>7104.3333333333303</v>
      </c>
      <c r="D73" s="976">
        <v>7204.3333333333303</v>
      </c>
      <c r="E73" s="976">
        <v>7279.3333333333303</v>
      </c>
      <c r="F73" s="976">
        <v>7353.3333333333303</v>
      </c>
      <c r="G73" s="976">
        <v>7419.6666666666697</v>
      </c>
      <c r="H73" s="976">
        <v>7443.6666666666697</v>
      </c>
      <c r="I73" s="976">
        <v>7534</v>
      </c>
      <c r="J73" s="976">
        <v>7651.6666666666697</v>
      </c>
      <c r="K73" s="976">
        <v>7726.3333333333303</v>
      </c>
      <c r="L73" s="976">
        <v>7855</v>
      </c>
      <c r="M73" s="976">
        <v>7931.3333333333303</v>
      </c>
      <c r="N73" s="976">
        <v>8016</v>
      </c>
      <c r="O73" s="976">
        <v>8115</v>
      </c>
      <c r="P73" s="976">
        <v>8183.6666666666697</v>
      </c>
      <c r="Q73" s="976">
        <v>8272.3333333333303</v>
      </c>
      <c r="R73" s="976">
        <v>8307.6666666666697</v>
      </c>
      <c r="S73" s="976">
        <v>8346.3333333333303</v>
      </c>
      <c r="T73" s="976">
        <v>8424.6666666666697</v>
      </c>
      <c r="U73" s="976">
        <v>8551.3333333333303</v>
      </c>
      <c r="V73" s="976">
        <v>8673</v>
      </c>
      <c r="W73" s="976">
        <v>8751.3333333333303</v>
      </c>
      <c r="X73" s="976">
        <v>8786.3333333333303</v>
      </c>
      <c r="Y73" s="976">
        <v>8824.6666666666697</v>
      </c>
      <c r="Z73" s="976">
        <v>8883</v>
      </c>
      <c r="AA73" s="976">
        <v>8868.6666666666697</v>
      </c>
      <c r="AB73" s="976">
        <v>8845</v>
      </c>
      <c r="AC73" s="976">
        <v>8861</v>
      </c>
      <c r="AD73" s="976">
        <v>8860.6666666666697</v>
      </c>
      <c r="AE73" s="976">
        <v>8907.3333333333303</v>
      </c>
      <c r="AF73" s="976">
        <v>9099.3333333333303</v>
      </c>
      <c r="AG73" s="976">
        <v>9231</v>
      </c>
      <c r="AH73" s="976">
        <v>9348.3333333333303</v>
      </c>
      <c r="AI73" s="976">
        <v>9466</v>
      </c>
      <c r="AJ73" s="976">
        <v>9492.3333333333303</v>
      </c>
      <c r="AK73" s="976">
        <v>9482.6666666666697</v>
      </c>
      <c r="AL73" s="976">
        <v>9531.3333333333303</v>
      </c>
      <c r="AM73" s="976">
        <v>9604.3333333333303</v>
      </c>
      <c r="AN73" s="976">
        <v>9710.6666666666697</v>
      </c>
      <c r="AO73" s="976">
        <v>9697.3333333333303</v>
      </c>
      <c r="AP73" s="976">
        <v>9741.3333333333303</v>
      </c>
      <c r="AQ73" s="976">
        <v>9749.3333333333303</v>
      </c>
      <c r="AR73" s="976">
        <v>9782.3333333333303</v>
      </c>
      <c r="AS73" s="976">
        <v>9793</v>
      </c>
      <c r="AT73" s="976">
        <v>9750.3333333333303</v>
      </c>
      <c r="AU73" s="976">
        <v>9665</v>
      </c>
      <c r="AV73" s="976">
        <v>9547.6666666666697</v>
      </c>
      <c r="AW73" s="976">
        <v>9507</v>
      </c>
      <c r="AX73" s="976">
        <v>9484.3333333333303</v>
      </c>
      <c r="AY73" s="976">
        <v>9495.6666666666697</v>
      </c>
      <c r="AZ73" s="976">
        <v>9409.6666666666697</v>
      </c>
      <c r="BA73" s="976">
        <v>9437</v>
      </c>
      <c r="BB73" s="976">
        <v>9447.3333333333303</v>
      </c>
      <c r="BC73" s="976">
        <v>9445.3333333333303</v>
      </c>
      <c r="BD73" s="976">
        <v>9433</v>
      </c>
      <c r="BE73" s="976">
        <v>9401.6666666666697</v>
      </c>
      <c r="BF73" s="976">
        <v>9412</v>
      </c>
      <c r="BG73" s="976">
        <v>9445.3333333333303</v>
      </c>
      <c r="BH73" s="976">
        <v>9509</v>
      </c>
      <c r="BI73" s="976">
        <v>9555</v>
      </c>
      <c r="BJ73" s="976">
        <v>9595.6666666666697</v>
      </c>
      <c r="BK73" s="976">
        <v>9640.3333333333303</v>
      </c>
      <c r="BL73" s="976">
        <v>9746.6666666666697</v>
      </c>
      <c r="BM73" s="976">
        <v>9764.3333333333303</v>
      </c>
      <c r="BN73" s="976">
        <v>9815.3333333333303</v>
      </c>
      <c r="BO73" s="976">
        <v>9854.3333333333303</v>
      </c>
      <c r="BP73" s="976">
        <v>9906.6666666666697</v>
      </c>
      <c r="BQ73" s="976">
        <v>10024.333333333299</v>
      </c>
      <c r="BR73" s="976">
        <v>10039.333333333299</v>
      </c>
      <c r="BS73" s="976">
        <v>10083.333333333299</v>
      </c>
      <c r="BT73" s="976">
        <v>10092.333333333299</v>
      </c>
      <c r="BU73" s="976">
        <v>10184.666666666701</v>
      </c>
      <c r="BV73" s="976">
        <v>10250.666666666701</v>
      </c>
      <c r="BW73" s="976">
        <v>10315.333333333299</v>
      </c>
      <c r="BX73" s="976">
        <v>10341.666666666701</v>
      </c>
      <c r="BY73" s="976">
        <v>10446.666666666701</v>
      </c>
      <c r="BZ73" s="976">
        <v>10510.666666666701</v>
      </c>
      <c r="CA73" s="976">
        <v>10566.333333333299</v>
      </c>
      <c r="CB73" s="976">
        <v>10640.666666666701</v>
      </c>
      <c r="CC73" s="976">
        <v>10719.666666666701</v>
      </c>
      <c r="CD73" s="976">
        <v>10814</v>
      </c>
      <c r="CE73" s="976">
        <v>10873</v>
      </c>
      <c r="CF73" s="976">
        <v>10967.333333333299</v>
      </c>
      <c r="CG73" s="976">
        <v>11000.333333333299</v>
      </c>
      <c r="CH73" s="976">
        <v>11027</v>
      </c>
      <c r="CI73" s="976">
        <v>11057.333333333299</v>
      </c>
      <c r="CJ73" s="976">
        <v>11099.333333333299</v>
      </c>
      <c r="CK73" s="976">
        <v>11139.333333333299</v>
      </c>
      <c r="CL73" s="976">
        <v>11199</v>
      </c>
      <c r="CM73" s="976">
        <v>11238</v>
      </c>
      <c r="CN73" s="976">
        <v>11306.666666666701</v>
      </c>
      <c r="CO73" s="976">
        <v>11319.666666666701</v>
      </c>
      <c r="CP73" s="976">
        <v>11366.666666666701</v>
      </c>
      <c r="CQ73" s="976">
        <v>11407.666666666701</v>
      </c>
      <c r="CR73" s="976">
        <v>11483</v>
      </c>
      <c r="CS73" s="976">
        <v>11520.666666666701</v>
      </c>
      <c r="CT73" s="976">
        <v>11591.333333333299</v>
      </c>
      <c r="CU73" s="976">
        <v>11672.333333333299</v>
      </c>
      <c r="CV73" s="976">
        <v>11710.333333333299</v>
      </c>
      <c r="CW73" s="976">
        <v>11752</v>
      </c>
      <c r="CX73" s="976">
        <v>11791.333333333299</v>
      </c>
      <c r="CY73" s="976">
        <v>11828.666666666701</v>
      </c>
      <c r="CZ73" s="976">
        <v>11868</v>
      </c>
      <c r="DA73" s="976">
        <v>11923</v>
      </c>
      <c r="DB73" s="976">
        <v>11966</v>
      </c>
      <c r="DC73" s="976">
        <v>12017.333333333299</v>
      </c>
      <c r="DD73" s="976">
        <v>12067</v>
      </c>
      <c r="DE73" s="976">
        <v>12139</v>
      </c>
      <c r="DF73" s="976">
        <v>12185.666666666701</v>
      </c>
      <c r="DG73" s="976">
        <v>12229.666666666701</v>
      </c>
      <c r="DH73" s="976">
        <v>12296</v>
      </c>
      <c r="DI73" s="976">
        <v>12380</v>
      </c>
      <c r="DJ73" s="976">
        <v>12437.333333333299</v>
      </c>
      <c r="DK73" s="976">
        <v>12501.333333333299</v>
      </c>
      <c r="DL73" s="976">
        <v>12553.333333333299</v>
      </c>
      <c r="DM73" s="976">
        <v>12616.333333333299</v>
      </c>
      <c r="DN73" s="976">
        <v>12694.666666666701</v>
      </c>
      <c r="DO73" s="976">
        <v>12783.333333333299</v>
      </c>
      <c r="DP73" s="976">
        <v>12887.333333333299</v>
      </c>
      <c r="DQ73" s="976">
        <v>12972.333333333299</v>
      </c>
      <c r="DR73" s="976">
        <v>13050.333333333299</v>
      </c>
      <c r="DS73" s="976">
        <v>13113</v>
      </c>
      <c r="DT73" s="976">
        <v>13168</v>
      </c>
      <c r="DU73" s="976">
        <v>13220.666666666701</v>
      </c>
      <c r="DV73" s="976">
        <v>13310</v>
      </c>
      <c r="DW73" s="976">
        <v>13410.666666666701</v>
      </c>
      <c r="DX73" s="976">
        <v>13500.666666666701</v>
      </c>
      <c r="DY73" s="976">
        <v>13583.666666666701</v>
      </c>
      <c r="DZ73" s="976">
        <v>13639</v>
      </c>
      <c r="EA73" s="976">
        <v>13699.333333333299</v>
      </c>
      <c r="EB73" s="976">
        <v>13744.666666666701</v>
      </c>
      <c r="EC73" s="976">
        <v>13775</v>
      </c>
      <c r="ED73" s="976">
        <v>13801</v>
      </c>
      <c r="EE73" s="976">
        <v>13820</v>
      </c>
      <c r="EF73" s="976">
        <v>13832.333333333299</v>
      </c>
      <c r="EG73" s="976">
        <v>13824.333333333299</v>
      </c>
      <c r="EH73" s="976">
        <v>13859</v>
      </c>
      <c r="EI73" s="976">
        <v>13898</v>
      </c>
      <c r="EJ73" s="976">
        <v>13909.333333333299</v>
      </c>
      <c r="EK73" s="976">
        <v>13958.666666666701</v>
      </c>
      <c r="EL73" s="976">
        <v>13994.666666666701</v>
      </c>
      <c r="EM73" s="976">
        <v>14012</v>
      </c>
      <c r="EN73" s="976">
        <v>14085.333333333299</v>
      </c>
      <c r="EO73" s="976">
        <v>14072.333333333299</v>
      </c>
      <c r="EP73" s="976">
        <v>14098</v>
      </c>
      <c r="EQ73" s="976">
        <v>14119.666666666701</v>
      </c>
      <c r="ER73" s="976">
        <v>14201</v>
      </c>
      <c r="ES73" s="976">
        <v>14251.333333333299</v>
      </c>
      <c r="ET73" s="976">
        <v>14287.333333333299</v>
      </c>
      <c r="EU73" s="976">
        <v>14336</v>
      </c>
      <c r="EV73" s="976">
        <v>14369.333333333299</v>
      </c>
      <c r="EW73" s="976">
        <v>14455</v>
      </c>
      <c r="EX73" s="976">
        <v>14521.666666666701</v>
      </c>
      <c r="EY73" s="976">
        <v>14560.333333333299</v>
      </c>
      <c r="EZ73" s="976">
        <v>14594</v>
      </c>
      <c r="FA73" s="976">
        <v>14591</v>
      </c>
      <c r="FB73" s="976">
        <v>14587</v>
      </c>
      <c r="FC73" s="976">
        <v>14576.333333333299</v>
      </c>
      <c r="FD73" s="976">
        <v>14532</v>
      </c>
      <c r="FE73" s="976">
        <v>14521</v>
      </c>
      <c r="FF73" s="976">
        <v>14466</v>
      </c>
      <c r="FG73" s="976">
        <v>14434</v>
      </c>
      <c r="FH73" s="976">
        <v>14327.666666666701</v>
      </c>
      <c r="FI73" s="976">
        <v>14279</v>
      </c>
      <c r="FJ73" s="976">
        <v>14232.666666666701</v>
      </c>
      <c r="FK73" s="976">
        <v>14207.666666666701</v>
      </c>
      <c r="FL73" s="976">
        <v>14094</v>
      </c>
      <c r="FM73" s="976">
        <v>14080.666666666701</v>
      </c>
      <c r="FN73" s="976">
        <v>14067.666666666701</v>
      </c>
      <c r="FO73" s="976">
        <v>14044.333333333299</v>
      </c>
      <c r="FP73" s="976">
        <v>14034.333333333299</v>
      </c>
      <c r="FQ73" s="976">
        <v>14026.333333333299</v>
      </c>
      <c r="FR73" s="976">
        <v>14029.333333333299</v>
      </c>
      <c r="FS73" s="976">
        <v>14033</v>
      </c>
      <c r="FT73" s="976">
        <v>14031</v>
      </c>
      <c r="FU73" s="976">
        <v>14033.666666666701</v>
      </c>
      <c r="FV73" s="976">
        <v>14037.666666666701</v>
      </c>
      <c r="FW73" s="976">
        <v>14077</v>
      </c>
      <c r="FX73" s="976">
        <v>14120</v>
      </c>
      <c r="FY73" s="976">
        <v>14140</v>
      </c>
      <c r="FZ73" s="976">
        <v>14155</v>
      </c>
      <c r="GA73" s="976">
        <v>14181.666666666701</v>
      </c>
      <c r="GB73" s="976">
        <v>14214</v>
      </c>
      <c r="GC73" s="976">
        <v>14223.666666666701</v>
      </c>
      <c r="GD73" s="976">
        <v>14277</v>
      </c>
      <c r="GE73" s="976">
        <v>14297.666666666701</v>
      </c>
      <c r="GF73" s="976">
        <v>14369</v>
      </c>
      <c r="GG73" s="976">
        <v>14351</v>
      </c>
      <c r="GH73" s="976">
        <v>14347</v>
      </c>
      <c r="GI73" s="976">
        <v>14363</v>
      </c>
      <c r="GJ73" s="976">
        <v>14401.666666666701</v>
      </c>
      <c r="GK73" s="976">
        <v>14428.666666666701</v>
      </c>
      <c r="GL73" s="976">
        <v>14442.333333333299</v>
      </c>
      <c r="GM73" s="976">
        <v>14468.666666666701</v>
      </c>
      <c r="GN73" s="976">
        <v>14494.333333333299</v>
      </c>
      <c r="GO73" s="976">
        <v>14510</v>
      </c>
      <c r="GP73" s="976">
        <v>14527.666666666701</v>
      </c>
      <c r="GQ73" s="976">
        <v>14558.333333333299</v>
      </c>
      <c r="GR73" s="976">
        <v>14590</v>
      </c>
      <c r="GS73" s="976">
        <v>14620.333333333299</v>
      </c>
      <c r="GT73" s="976">
        <v>14658.333333333299</v>
      </c>
      <c r="GU73" s="976">
        <v>13569.666666666701</v>
      </c>
      <c r="GV73" s="976">
        <v>13736.666666666701</v>
      </c>
      <c r="GW73" s="976">
        <v>13655.333333333299</v>
      </c>
      <c r="GX73" s="976">
        <v>13671.333333333299</v>
      </c>
    </row>
    <row r="74" spans="1:206">
      <c r="A74" s="976" t="s">
        <v>276</v>
      </c>
      <c r="B74" s="976">
        <v>23545.666666666701</v>
      </c>
      <c r="C74" s="976">
        <v>24037</v>
      </c>
      <c r="D74" s="976">
        <v>25485.666666666701</v>
      </c>
      <c r="E74" s="976">
        <v>25754.666666666701</v>
      </c>
      <c r="F74" s="976">
        <v>25713</v>
      </c>
      <c r="G74" s="976">
        <v>25998.666666666701</v>
      </c>
      <c r="H74" s="976">
        <v>25691</v>
      </c>
      <c r="I74" s="976">
        <v>26178.666666666701</v>
      </c>
      <c r="J74" s="976">
        <v>25519</v>
      </c>
      <c r="K74" s="976">
        <v>24875</v>
      </c>
      <c r="L74" s="976">
        <v>25641</v>
      </c>
      <c r="M74" s="976">
        <v>27114.333333333299</v>
      </c>
      <c r="N74" s="976">
        <v>27472.666666666701</v>
      </c>
      <c r="O74" s="976">
        <v>27079.333333333299</v>
      </c>
      <c r="P74" s="976">
        <v>27510</v>
      </c>
      <c r="Q74" s="976">
        <v>28620</v>
      </c>
      <c r="R74" s="976">
        <v>30923.666666666701</v>
      </c>
      <c r="S74" s="976">
        <v>33400.666666666701</v>
      </c>
      <c r="T74" s="976">
        <v>33701.666666666701</v>
      </c>
      <c r="U74" s="976">
        <v>33884</v>
      </c>
      <c r="V74" s="976">
        <v>37820.333333333299</v>
      </c>
      <c r="W74" s="976">
        <v>35429.666666666701</v>
      </c>
      <c r="X74" s="976">
        <v>36988.333333333299</v>
      </c>
      <c r="Y74" s="976">
        <v>39554</v>
      </c>
      <c r="Z74" s="976">
        <v>42554</v>
      </c>
      <c r="AA74" s="976">
        <v>38830.666666666701</v>
      </c>
      <c r="AB74" s="976">
        <v>36130</v>
      </c>
      <c r="AC74" s="976">
        <v>34359.666666666701</v>
      </c>
      <c r="AD74" s="976">
        <v>36034</v>
      </c>
      <c r="AE74" s="976">
        <v>37037.666666666701</v>
      </c>
      <c r="AF74" s="976">
        <v>35666.333333333299</v>
      </c>
      <c r="AG74" s="976">
        <v>35160</v>
      </c>
      <c r="AH74" s="976">
        <v>34095.333333333299</v>
      </c>
      <c r="AI74" s="976">
        <v>41889.666666666701</v>
      </c>
      <c r="AJ74" s="976">
        <v>43760.666666666701</v>
      </c>
      <c r="AK74" s="976">
        <v>45015.333333333299</v>
      </c>
      <c r="AL74" s="976">
        <v>40794</v>
      </c>
      <c r="AM74" s="976">
        <v>45875.333333333299</v>
      </c>
      <c r="AN74" s="976">
        <v>49343.666666666701</v>
      </c>
      <c r="AO74" s="976">
        <v>52609</v>
      </c>
      <c r="AP74" s="976">
        <v>55934.333333333299</v>
      </c>
      <c r="AQ74" s="976">
        <v>54112</v>
      </c>
      <c r="AR74" s="976">
        <v>52797</v>
      </c>
      <c r="AS74" s="976">
        <v>54381</v>
      </c>
      <c r="AT74" s="976">
        <v>60484</v>
      </c>
      <c r="AU74" s="976">
        <v>53862</v>
      </c>
      <c r="AV74" s="976">
        <v>52044</v>
      </c>
      <c r="AW74" s="976">
        <v>54313.666666666701</v>
      </c>
      <c r="AX74" s="976">
        <v>51944</v>
      </c>
      <c r="AY74" s="976">
        <v>52182.666666666701</v>
      </c>
      <c r="AZ74" s="976">
        <v>52486.333333333299</v>
      </c>
      <c r="BA74" s="976">
        <v>54765.333333333299</v>
      </c>
      <c r="BB74" s="976">
        <v>52678.333333333299</v>
      </c>
      <c r="BC74" s="976">
        <v>51386</v>
      </c>
      <c r="BD74" s="976">
        <v>53662.333333333299</v>
      </c>
      <c r="BE74" s="976">
        <v>53249</v>
      </c>
      <c r="BF74" s="976">
        <v>55752.333333333299</v>
      </c>
      <c r="BG74" s="976">
        <v>57382.666666666701</v>
      </c>
      <c r="BH74" s="976">
        <v>59910.333333333299</v>
      </c>
      <c r="BI74" s="976">
        <v>60890.666666666701</v>
      </c>
      <c r="BJ74" s="976">
        <v>62514.666666666701</v>
      </c>
      <c r="BK74" s="976">
        <v>65739.333333333299</v>
      </c>
      <c r="BL74" s="976">
        <v>67220</v>
      </c>
      <c r="BM74" s="976">
        <v>66558.333333333299</v>
      </c>
      <c r="BN74" s="976">
        <v>70815.333333333299</v>
      </c>
      <c r="BO74" s="976">
        <v>72215.333333333299</v>
      </c>
      <c r="BP74" s="976">
        <v>73843.333333333299</v>
      </c>
      <c r="BQ74" s="976">
        <v>71122.666666666701</v>
      </c>
      <c r="BR74" s="976">
        <v>75290</v>
      </c>
      <c r="BS74" s="976">
        <v>75025.666666666701</v>
      </c>
      <c r="BT74" s="976">
        <v>77047</v>
      </c>
      <c r="BU74" s="976">
        <v>78058</v>
      </c>
      <c r="BV74" s="976">
        <v>79349.666666666701</v>
      </c>
      <c r="BW74" s="976">
        <v>83348</v>
      </c>
      <c r="BX74" s="976">
        <v>82022.666666666701</v>
      </c>
      <c r="BY74" s="976">
        <v>84604</v>
      </c>
      <c r="BZ74" s="976">
        <v>83566.666666666701</v>
      </c>
      <c r="CA74" s="976">
        <v>85684</v>
      </c>
      <c r="CB74" s="976">
        <v>85730.333333333299</v>
      </c>
      <c r="CC74" s="976">
        <v>89358.333333333299</v>
      </c>
      <c r="CD74" s="976">
        <v>94388.333333333299</v>
      </c>
      <c r="CE74" s="976">
        <v>93807</v>
      </c>
      <c r="CF74" s="976">
        <v>94972</v>
      </c>
      <c r="CG74" s="976">
        <v>98807.666666666701</v>
      </c>
      <c r="CH74" s="976">
        <v>95253.666666666701</v>
      </c>
      <c r="CI74" s="976">
        <v>96128.666666666701</v>
      </c>
      <c r="CJ74" s="976">
        <v>97326.333333333299</v>
      </c>
      <c r="CK74" s="976">
        <v>99221</v>
      </c>
      <c r="CL74" s="976">
        <v>106368.66666666701</v>
      </c>
      <c r="CM74" s="976">
        <v>103446</v>
      </c>
      <c r="CN74" s="976">
        <v>99580.333333333299</v>
      </c>
      <c r="CO74" s="976">
        <v>98022.333333333299</v>
      </c>
      <c r="CP74" s="976">
        <v>102495</v>
      </c>
      <c r="CQ74" s="976">
        <v>111962</v>
      </c>
      <c r="CR74" s="976">
        <v>116124.66666666701</v>
      </c>
      <c r="CS74" s="976">
        <v>118029</v>
      </c>
      <c r="CT74" s="976">
        <v>111803</v>
      </c>
      <c r="CU74" s="976">
        <v>113545</v>
      </c>
      <c r="CV74" s="976">
        <v>118942</v>
      </c>
      <c r="CW74" s="976">
        <v>117294.33333333299</v>
      </c>
      <c r="CX74" s="976">
        <v>116848.66666666701</v>
      </c>
      <c r="CY74" s="976">
        <v>124434.33333333299</v>
      </c>
      <c r="CZ74" s="976">
        <v>125240</v>
      </c>
      <c r="DA74" s="976">
        <v>127572.66666666701</v>
      </c>
      <c r="DB74" s="976">
        <v>126179.33333333299</v>
      </c>
      <c r="DC74" s="976">
        <v>131672</v>
      </c>
      <c r="DD74" s="976">
        <v>131615</v>
      </c>
      <c r="DE74" s="976">
        <v>135638.66666666701</v>
      </c>
      <c r="DF74" s="976">
        <v>135471.66666666701</v>
      </c>
      <c r="DG74" s="976">
        <v>139479.33333333299</v>
      </c>
      <c r="DH74" s="976">
        <v>141385.33333333299</v>
      </c>
      <c r="DI74" s="976">
        <v>140102.66666666701</v>
      </c>
      <c r="DJ74" s="976">
        <v>133975</v>
      </c>
      <c r="DK74" s="976">
        <v>137818</v>
      </c>
      <c r="DL74" s="976">
        <v>143529.33333333299</v>
      </c>
      <c r="DM74" s="976">
        <v>144434.66666666701</v>
      </c>
      <c r="DN74" s="976">
        <v>150497</v>
      </c>
      <c r="DO74" s="976">
        <v>152515.33333333299</v>
      </c>
      <c r="DP74" s="976">
        <v>155465.33333333299</v>
      </c>
      <c r="DQ74" s="976">
        <v>163365.33333333299</v>
      </c>
      <c r="DR74" s="976">
        <v>168776.33333333299</v>
      </c>
      <c r="DS74" s="976">
        <v>165200.66666666701</v>
      </c>
      <c r="DT74" s="976">
        <v>166145</v>
      </c>
      <c r="DU74" s="976">
        <v>170616.66666666701</v>
      </c>
      <c r="DV74" s="976">
        <v>176411.33333333299</v>
      </c>
      <c r="DW74" s="976">
        <v>189275.66666666701</v>
      </c>
      <c r="DX74" s="976">
        <v>187116</v>
      </c>
      <c r="DY74" s="976">
        <v>193037.66666666701</v>
      </c>
      <c r="DZ74" s="976">
        <v>198023.33333333299</v>
      </c>
      <c r="EA74" s="976">
        <v>194794</v>
      </c>
      <c r="EB74" s="976">
        <v>196443.66666666701</v>
      </c>
      <c r="EC74" s="976">
        <v>199770.66666666701</v>
      </c>
      <c r="ED74" s="976">
        <v>197410.66666666701</v>
      </c>
      <c r="EE74" s="976">
        <v>195858</v>
      </c>
      <c r="EF74" s="976">
        <v>200686</v>
      </c>
      <c r="EG74" s="976">
        <v>199340</v>
      </c>
      <c r="EH74" s="976">
        <v>197322.33333333299</v>
      </c>
      <c r="EI74" s="976">
        <v>202356.33333333299</v>
      </c>
      <c r="EJ74" s="976">
        <v>202328</v>
      </c>
      <c r="EK74" s="976">
        <v>204931</v>
      </c>
      <c r="EL74" s="976">
        <v>207202</v>
      </c>
      <c r="EM74" s="976">
        <v>215946</v>
      </c>
      <c r="EN74" s="976">
        <v>219407.66666666701</v>
      </c>
      <c r="EO74" s="976">
        <v>222763.66666666701</v>
      </c>
      <c r="EP74" s="976">
        <v>230117.66666666701</v>
      </c>
      <c r="EQ74" s="976">
        <v>238436</v>
      </c>
      <c r="ER74" s="976">
        <v>238965</v>
      </c>
      <c r="ES74" s="976">
        <v>242956.33333333299</v>
      </c>
      <c r="ET74" s="976">
        <v>258254.33333333299</v>
      </c>
      <c r="EU74" s="976">
        <v>266203.66666666698</v>
      </c>
      <c r="EV74" s="976">
        <v>271640.33333333302</v>
      </c>
      <c r="EW74" s="976">
        <v>276454.66666666698</v>
      </c>
      <c r="EX74" s="976">
        <v>278038.33333333302</v>
      </c>
      <c r="EY74" s="976">
        <v>283074.33333333302</v>
      </c>
      <c r="EZ74" s="976">
        <v>287093.66666666698</v>
      </c>
      <c r="FA74" s="976">
        <v>288334</v>
      </c>
      <c r="FB74" s="976">
        <v>289591.33333333302</v>
      </c>
      <c r="FC74" s="976">
        <v>292223.66666666698</v>
      </c>
      <c r="FD74" s="976">
        <v>287368</v>
      </c>
      <c r="FE74" s="976">
        <v>274301</v>
      </c>
      <c r="FF74" s="976">
        <v>268022</v>
      </c>
      <c r="FG74" s="976">
        <v>274526.66666666698</v>
      </c>
      <c r="FH74" s="976">
        <v>277232.33333333302</v>
      </c>
      <c r="FI74" s="976">
        <v>269906.33333333302</v>
      </c>
      <c r="FJ74" s="976">
        <v>258077</v>
      </c>
      <c r="FK74" s="976">
        <v>251739</v>
      </c>
      <c r="FL74" s="976">
        <v>253215.33333333299</v>
      </c>
      <c r="FM74" s="976">
        <v>258046</v>
      </c>
      <c r="FN74" s="976">
        <v>254528.33333333299</v>
      </c>
      <c r="FO74" s="976">
        <v>254598.66666666701</v>
      </c>
      <c r="FP74" s="976">
        <v>252248.66666666701</v>
      </c>
      <c r="FQ74" s="976">
        <v>246424.33333333299</v>
      </c>
      <c r="FR74" s="976">
        <v>242924.33333333299</v>
      </c>
      <c r="FS74" s="976">
        <v>245991.66666666701</v>
      </c>
      <c r="FT74" s="976">
        <v>249225</v>
      </c>
      <c r="FU74" s="976">
        <v>247543.33333333299</v>
      </c>
      <c r="FV74" s="976">
        <v>242591.33333333299</v>
      </c>
      <c r="FW74" s="976">
        <v>251613.33333333299</v>
      </c>
      <c r="FX74" s="976">
        <v>257546.33333333299</v>
      </c>
      <c r="FY74" s="976">
        <v>260104.33333333299</v>
      </c>
      <c r="FZ74" s="976">
        <v>260731.66666666701</v>
      </c>
      <c r="GA74" s="976">
        <v>274292.33333333302</v>
      </c>
      <c r="GB74" s="976">
        <v>278090.33333333302</v>
      </c>
      <c r="GC74" s="976">
        <v>268417</v>
      </c>
      <c r="GD74" s="976">
        <v>280145</v>
      </c>
      <c r="GE74" s="976">
        <v>275022</v>
      </c>
      <c r="GF74" s="976">
        <v>271266.66666666698</v>
      </c>
      <c r="GG74" s="976">
        <v>274719.66666666698</v>
      </c>
      <c r="GH74" s="976">
        <v>274527.66666666698</v>
      </c>
      <c r="GI74" s="976">
        <v>275545.66666666698</v>
      </c>
      <c r="GJ74" s="976">
        <v>273887</v>
      </c>
      <c r="GK74" s="976">
        <v>278738</v>
      </c>
      <c r="GL74" s="976">
        <v>284701</v>
      </c>
      <c r="GM74" s="976">
        <v>293031</v>
      </c>
      <c r="GN74" s="976">
        <v>291638.33333333302</v>
      </c>
      <c r="GO74" s="976">
        <v>283060</v>
      </c>
      <c r="GP74" s="976">
        <v>299821.33333333302</v>
      </c>
      <c r="GQ74" s="976">
        <v>314021</v>
      </c>
      <c r="GR74" s="976">
        <v>311467.66666666698</v>
      </c>
      <c r="GS74" s="976">
        <v>312808.66666666698</v>
      </c>
      <c r="GT74" s="976">
        <v>328551</v>
      </c>
      <c r="GU74" s="976">
        <v>326980</v>
      </c>
      <c r="GV74" s="976">
        <v>318988.33333333302</v>
      </c>
      <c r="GW74" s="976">
        <v>327773.66666666698</v>
      </c>
      <c r="GX74" s="976">
        <v>323711.66666666698</v>
      </c>
    </row>
    <row r="75" spans="1:206">
      <c r="A75" s="976" t="s">
        <v>741</v>
      </c>
      <c r="B75" s="976">
        <v>1.4422625199661801E-2</v>
      </c>
      <c r="C75" s="976">
        <v>1.4422625199661801E-2</v>
      </c>
      <c r="D75" s="976">
        <v>8.1971009123327204E-3</v>
      </c>
      <c r="E75" s="976">
        <v>1.30914101975195E-2</v>
      </c>
      <c r="F75" s="976">
        <v>1.51439582861028E-2</v>
      </c>
      <c r="G75" s="976">
        <v>1.3399437223636601E-2</v>
      </c>
      <c r="H75" s="976">
        <v>1.00489223852969E-2</v>
      </c>
      <c r="I75" s="976">
        <v>8.2907884976217705E-3</v>
      </c>
      <c r="J75" s="976">
        <v>1.60557406846411E-2</v>
      </c>
      <c r="K75" s="976">
        <v>6.09080841638976E-3</v>
      </c>
      <c r="L75" s="976">
        <v>9.0597349815841905E-3</v>
      </c>
      <c r="M75" s="976">
        <v>1.1327879169288801E-2</v>
      </c>
      <c r="N75" s="976">
        <v>1.2735946898983601E-2</v>
      </c>
      <c r="O75" s="976">
        <v>1.6549238079632999E-2</v>
      </c>
      <c r="P75" s="976">
        <v>1.9100580270793099E-2</v>
      </c>
      <c r="Q75" s="976">
        <v>1.73190984578886E-2</v>
      </c>
      <c r="R75" s="976">
        <v>2.02503109452736E-2</v>
      </c>
      <c r="S75" s="976">
        <v>2.2210369918854101E-2</v>
      </c>
      <c r="T75" s="976">
        <v>3.0821407274895601E-2</v>
      </c>
      <c r="U75" s="976">
        <v>3.0333706930836299E-2</v>
      </c>
      <c r="V75" s="976">
        <v>2.25980770580392E-2</v>
      </c>
      <c r="W75" s="976">
        <v>1.45151327980235E-2</v>
      </c>
      <c r="X75" s="976">
        <v>1.7656012176560099E-2</v>
      </c>
      <c r="Y75" s="976">
        <v>1.6718183933260199E-2</v>
      </c>
      <c r="Z75" s="976">
        <v>1.09512912716574E-2</v>
      </c>
      <c r="AA75" s="976">
        <v>9.9595796281326497E-3</v>
      </c>
      <c r="AB75" s="976">
        <v>1.2774949572567499E-2</v>
      </c>
      <c r="AC75" s="976">
        <v>1.69764795144156E-2</v>
      </c>
      <c r="AD75" s="976">
        <v>1.61646305449346E-2</v>
      </c>
      <c r="AE75" s="976">
        <v>1.5785126495151201E-2</v>
      </c>
      <c r="AF75" s="976">
        <v>1.37629875018823E-2</v>
      </c>
      <c r="AG75" s="976">
        <v>1.6725090606618798E-2</v>
      </c>
      <c r="AH75" s="976">
        <v>1.6391526661796899E-2</v>
      </c>
      <c r="AI75" s="976">
        <v>1.9950554820904898E-2</v>
      </c>
      <c r="AJ75" s="976">
        <v>1.7643742953776999E-2</v>
      </c>
      <c r="AK75" s="976">
        <v>1.97474104027031E-2</v>
      </c>
      <c r="AL75" s="976">
        <v>1.8686004508541701E-2</v>
      </c>
      <c r="AM75" s="976">
        <v>2.4155490975017901E-2</v>
      </c>
      <c r="AN75" s="976">
        <v>2.08783484757766E-2</v>
      </c>
      <c r="AO75" s="976">
        <v>1.82328190743337E-2</v>
      </c>
      <c r="AP75" s="976">
        <v>2.1888304532932799E-2</v>
      </c>
      <c r="AQ75" s="976">
        <v>2.36986569944122E-2</v>
      </c>
      <c r="AR75" s="976">
        <v>2.23121304254148E-2</v>
      </c>
      <c r="AS75" s="976">
        <v>2.6508676205418701E-2</v>
      </c>
      <c r="AT75" s="976">
        <v>2.6508497775749901E-2</v>
      </c>
      <c r="AU75" s="976">
        <v>1.8779029713091901E-2</v>
      </c>
      <c r="AV75" s="976">
        <v>1.9436324767680299E-2</v>
      </c>
      <c r="AW75" s="976">
        <v>1.6519376029786401E-2</v>
      </c>
      <c r="AX75" s="976">
        <v>1.43353331228291E-2</v>
      </c>
      <c r="AY75" s="976">
        <v>1.3281866102187401E-2</v>
      </c>
      <c r="AZ75" s="976">
        <v>1.3886044320648799E-2</v>
      </c>
      <c r="BA75" s="976">
        <v>1.0120394311570901E-2</v>
      </c>
      <c r="BB75" s="976">
        <v>7.9792020797919694E-3</v>
      </c>
      <c r="BC75" s="976">
        <v>7.4200460280928696E-3</v>
      </c>
      <c r="BD75" s="976">
        <v>1.0634526763559001E-2</v>
      </c>
      <c r="BE75" s="976">
        <v>7.4827545890330197E-3</v>
      </c>
      <c r="BF75" s="976">
        <v>9.8642218869677799E-3</v>
      </c>
      <c r="BG75" s="976">
        <v>8.9826093618323704E-3</v>
      </c>
      <c r="BH75" s="976">
        <v>9.0355156508039602E-3</v>
      </c>
      <c r="BI75" s="976">
        <v>6.97932539458579E-3</v>
      </c>
      <c r="BJ75" s="976">
        <v>1.0237632640860901E-2</v>
      </c>
      <c r="BK75" s="976">
        <v>5.9175974554330803E-3</v>
      </c>
      <c r="BL75" s="976">
        <v>6.63651739098459E-3</v>
      </c>
      <c r="BM75" s="976">
        <v>5.2048139963840603E-3</v>
      </c>
      <c r="BN75" s="976">
        <v>4.92351295374438E-3</v>
      </c>
      <c r="BO75" s="976">
        <v>3.50731292824458E-3</v>
      </c>
      <c r="BP75" s="976">
        <v>4.7561568811140802E-3</v>
      </c>
      <c r="BQ75" s="976">
        <v>5.9349841315379202E-3</v>
      </c>
      <c r="BR75" s="976">
        <v>5.7930198566895604E-3</v>
      </c>
      <c r="BS75" s="976">
        <v>6.78753079199668E-3</v>
      </c>
      <c r="BT75" s="976">
        <v>7.7099102270725703E-3</v>
      </c>
      <c r="BU75" s="976">
        <v>7.5111794298490199E-3</v>
      </c>
      <c r="BV75" s="976">
        <v>7.7325843475850604E-3</v>
      </c>
      <c r="BW75" s="976">
        <v>9.9786662996352894E-3</v>
      </c>
      <c r="BX75" s="976">
        <v>1.22478877078223E-2</v>
      </c>
      <c r="BY75" s="976">
        <v>9.2051899096308194E-3</v>
      </c>
      <c r="BZ75" s="976">
        <v>9.6214774053693403E-3</v>
      </c>
      <c r="CA75" s="976">
        <v>1.08180421821065E-2</v>
      </c>
      <c r="CB75" s="976">
        <v>7.4180582333911397E-3</v>
      </c>
      <c r="CC75" s="976">
        <v>6.8282081224859698E-3</v>
      </c>
      <c r="CD75" s="976">
        <v>1.0889701499750401E-2</v>
      </c>
      <c r="CE75" s="976">
        <v>1.1186716172932E-2</v>
      </c>
      <c r="CF75" s="976">
        <v>8.6518004885351996E-3</v>
      </c>
      <c r="CG75" s="976">
        <v>7.64014749078168E-3</v>
      </c>
      <c r="CH75" s="976">
        <v>9.7219853317416192E-3</v>
      </c>
      <c r="CI75" s="976">
        <v>7.2020884520882502E-3</v>
      </c>
      <c r="CJ75" s="976">
        <v>7.6689688819770998E-3</v>
      </c>
      <c r="CK75" s="976">
        <v>5.8100829147249601E-3</v>
      </c>
      <c r="CL75" s="976">
        <v>4.0164871532582004E-3</v>
      </c>
      <c r="CM75" s="976">
        <v>5.9631721678679002E-3</v>
      </c>
      <c r="CN75" s="976">
        <v>4.7809833037935102E-3</v>
      </c>
      <c r="CO75" s="976">
        <v>7.0410008597432397E-3</v>
      </c>
      <c r="CP75" s="976">
        <v>5.9466859001722199E-3</v>
      </c>
      <c r="CQ75" s="976">
        <v>5.8968993722656703E-3</v>
      </c>
      <c r="CR75" s="976">
        <v>5.0186198068193901E-3</v>
      </c>
      <c r="CS75" s="976">
        <v>5.8764781658442499E-3</v>
      </c>
      <c r="CT75" s="976">
        <v>5.1226706957334701E-3</v>
      </c>
      <c r="CU75" s="976">
        <v>4.7672903752271597E-3</v>
      </c>
      <c r="CV75" s="976">
        <v>5.3288498803147899E-3</v>
      </c>
      <c r="CW75" s="976">
        <v>5.5840585050594997E-3</v>
      </c>
      <c r="CX75" s="976">
        <v>5.6939903033035302E-3</v>
      </c>
      <c r="CY75" s="976">
        <v>4.9049834631986798E-3</v>
      </c>
      <c r="CZ75" s="976">
        <v>4.4766128357458497E-3</v>
      </c>
      <c r="DA75" s="976">
        <v>4.7204520527024396E-3</v>
      </c>
      <c r="DB75" s="976">
        <v>4.6015449030636403E-3</v>
      </c>
      <c r="DC75" s="976">
        <v>4.0852819807426499E-3</v>
      </c>
      <c r="DD75" s="976">
        <v>4.8632135567214796E-3</v>
      </c>
      <c r="DE75" s="976">
        <v>4.2261969680446E-3</v>
      </c>
      <c r="DF75" s="976">
        <v>4.47992180500112E-3</v>
      </c>
      <c r="DG75" s="976">
        <v>4.98702562439179E-3</v>
      </c>
      <c r="DH75" s="976">
        <v>2.9585400949421201E-3</v>
      </c>
      <c r="DI75" s="976">
        <v>3.5800002681647398E-3</v>
      </c>
      <c r="DJ75" s="976">
        <v>1.01539119281746E-3</v>
      </c>
      <c r="DK75" s="976">
        <v>2.60263733917032E-3</v>
      </c>
      <c r="DL75" s="976">
        <v>3.8738534858024898E-3</v>
      </c>
      <c r="DM75" s="976">
        <v>2.6919506696725399E-3</v>
      </c>
      <c r="DN75" s="976">
        <v>3.25340880536418E-3</v>
      </c>
      <c r="DO75" s="976">
        <v>4.3633583358599903E-3</v>
      </c>
      <c r="DP75" s="976">
        <v>3.7012731329570899E-3</v>
      </c>
      <c r="DQ75" s="976">
        <v>5.11298252955328E-3</v>
      </c>
      <c r="DR75" s="976">
        <v>6.8433446521733998E-3</v>
      </c>
      <c r="DS75" s="976">
        <v>5.8406233444028297E-3</v>
      </c>
      <c r="DT75" s="976">
        <v>6.0893359540601403E-3</v>
      </c>
      <c r="DU75" s="976">
        <v>5.2863436123349299E-3</v>
      </c>
      <c r="DV75" s="976">
        <v>6.3890053220541096E-3</v>
      </c>
      <c r="DW75" s="976">
        <v>6.6639741518579303E-3</v>
      </c>
      <c r="DX75" s="976">
        <v>3.13440320962899E-3</v>
      </c>
      <c r="DY75" s="976">
        <v>3.42457192850887E-3</v>
      </c>
      <c r="DZ75" s="976">
        <v>2.7278162523043398E-3</v>
      </c>
      <c r="EA75" s="976">
        <v>4.0868042184762903E-3</v>
      </c>
      <c r="EB75" s="976">
        <v>4.2681116389551299E-3</v>
      </c>
      <c r="EC75" s="976">
        <v>5.7405422718257403E-3</v>
      </c>
      <c r="ED75" s="976">
        <v>4.9483727937482697E-3</v>
      </c>
      <c r="EE75" s="976">
        <v>2.9251526564044701E-3</v>
      </c>
      <c r="EF75" s="976">
        <v>5.48081714000981E-3</v>
      </c>
      <c r="EG75" s="976">
        <v>5.5355459401966699E-3</v>
      </c>
      <c r="EH75" s="976">
        <v>7.5484398288379103E-3</v>
      </c>
      <c r="EI75" s="976">
        <v>8.2434624928422497E-3</v>
      </c>
      <c r="EJ75" s="976">
        <v>6.4485594273207001E-3</v>
      </c>
      <c r="EK75" s="976">
        <v>7.6886903362332103E-3</v>
      </c>
      <c r="EL75" s="976">
        <v>7.6300254334180596E-3</v>
      </c>
      <c r="EM75" s="976">
        <v>7.0512226750649703E-3</v>
      </c>
      <c r="EN75" s="976">
        <v>9.3932878807039301E-3</v>
      </c>
      <c r="EO75" s="976">
        <v>7.9162585142493695E-3</v>
      </c>
      <c r="EP75" s="976">
        <v>6.9161138672602096E-3</v>
      </c>
      <c r="EQ75" s="976">
        <v>8.3500746344036293E-3</v>
      </c>
      <c r="ER75" s="976">
        <v>7.3459847515164904E-3</v>
      </c>
      <c r="ES75" s="976">
        <v>3.7566985249433099E-3</v>
      </c>
      <c r="ET75" s="976">
        <v>1.0259232759095099E-2</v>
      </c>
      <c r="EU75" s="976">
        <v>6.1235385772033801E-3</v>
      </c>
      <c r="EV75" s="976">
        <v>4.1802488655930904E-3</v>
      </c>
      <c r="EW75" s="976">
        <v>4.5834456726880904E-3</v>
      </c>
      <c r="EX75" s="976">
        <v>4.4981213097154997E-3</v>
      </c>
      <c r="EY75" s="976">
        <v>3.91155190287384E-3</v>
      </c>
      <c r="EZ75" s="976">
        <v>7.6542289881300603E-3</v>
      </c>
      <c r="FA75" s="976">
        <v>2.5566801191709799E-3</v>
      </c>
      <c r="FB75" s="976">
        <v>6.63884673748116E-4</v>
      </c>
      <c r="FC75" s="976">
        <v>-1.08467865078621E-3</v>
      </c>
      <c r="FD75" s="976">
        <v>5.9036855865746097E-4</v>
      </c>
      <c r="FE75" s="976">
        <v>3.7613789615644801E-3</v>
      </c>
      <c r="FF75" s="976">
        <v>2.3302438358752098E-3</v>
      </c>
      <c r="FG75" s="976">
        <v>4.4087924516447198E-3</v>
      </c>
      <c r="FH75" s="976">
        <v>3.5344899491200898E-3</v>
      </c>
      <c r="FI75" s="976">
        <v>5.5064362967658402E-3</v>
      </c>
      <c r="FJ75" s="976">
        <v>5.11464027030084E-3</v>
      </c>
      <c r="FK75" s="976">
        <v>7.1857395452115096E-3</v>
      </c>
      <c r="FL75" s="976">
        <v>5.5524368461343796E-3</v>
      </c>
      <c r="FM75" s="976">
        <v>1.59360123427965E-3</v>
      </c>
      <c r="FN75" s="976">
        <v>6.1615793100653297E-3</v>
      </c>
      <c r="FO75" s="976">
        <v>4.0792071230004697E-3</v>
      </c>
      <c r="FP75" s="976">
        <v>6.1190301838720497E-3</v>
      </c>
      <c r="FQ75" s="976">
        <v>4.2772111386952796E-3</v>
      </c>
      <c r="FR75" s="976">
        <v>3.9214518306727201E-3</v>
      </c>
      <c r="FS75" s="976">
        <v>3.04579571413033E-3</v>
      </c>
      <c r="FT75" s="976">
        <v>5.4618410545099697E-3</v>
      </c>
      <c r="FU75" s="976">
        <v>5.5498357601608799E-3</v>
      </c>
      <c r="FV75" s="976">
        <v>3.98825950015103E-3</v>
      </c>
      <c r="FW75" s="976">
        <v>5.62354312354318E-3</v>
      </c>
      <c r="FX75" s="976">
        <v>4.5490105177759003E-3</v>
      </c>
      <c r="FY75" s="976">
        <v>6.5378329006815505E-4</v>
      </c>
      <c r="FZ75" s="976">
        <v>-2.3059628355659399E-4</v>
      </c>
      <c r="GA75" s="976">
        <v>5.6989639994617898E-3</v>
      </c>
      <c r="GB75" s="976">
        <v>2.6087704377573098E-3</v>
      </c>
      <c r="GC75" s="976">
        <v>1.4296606938612999E-4</v>
      </c>
      <c r="GD75" s="976">
        <v>-3.1448039262404998E-4</v>
      </c>
      <c r="GE75" s="976">
        <v>6.6061657547042997E-3</v>
      </c>
      <c r="GF75" s="976">
        <v>3.2766702968891601E-3</v>
      </c>
      <c r="GG75" s="976">
        <v>5.3331571346315601E-3</v>
      </c>
      <c r="GH75" s="976">
        <v>4.9292997577601297E-3</v>
      </c>
      <c r="GI75" s="976">
        <v>3.1486204931281399E-3</v>
      </c>
      <c r="GJ75" s="976">
        <v>5.5882572088519203E-3</v>
      </c>
      <c r="GK75" s="976">
        <v>6.1962803793715899E-3</v>
      </c>
      <c r="GL75" s="976">
        <v>6.0292533851267196E-3</v>
      </c>
      <c r="GM75" s="976">
        <v>7.9877758664861406E-3</v>
      </c>
      <c r="GN75" s="976">
        <v>4.5931103344982703E-3</v>
      </c>
      <c r="GO75" s="976">
        <v>4.4094658944078303E-3</v>
      </c>
      <c r="GP75" s="976">
        <v>3.0406894628414202E-3</v>
      </c>
      <c r="GQ75" s="976">
        <v>6.1346942070190603E-3</v>
      </c>
      <c r="GR75" s="976">
        <v>3.7528636756669598E-3</v>
      </c>
      <c r="GS75" s="976">
        <v>3.4368838919380802E-3</v>
      </c>
      <c r="GT75" s="976">
        <v>3.4605138553309698E-3</v>
      </c>
      <c r="GU75" s="976">
        <v>-4.5863467983771099E-3</v>
      </c>
      <c r="GV75" s="976">
        <v>8.6656034024454893E-3</v>
      </c>
      <c r="GW75" s="976">
        <v>5.0686062650433499E-3</v>
      </c>
      <c r="GX75" s="976">
        <v>1.0619236988157E-2</v>
      </c>
    </row>
    <row r="76" spans="1:206">
      <c r="A76" s="976" t="s">
        <v>742</v>
      </c>
      <c r="B76" s="976">
        <v>1.10625909752549E-2</v>
      </c>
      <c r="C76" s="976">
        <v>1.10625909752549E-2</v>
      </c>
      <c r="D76" s="976">
        <v>9.7418178328054807E-3</v>
      </c>
      <c r="E76" s="976">
        <v>1.2974668504348599E-2</v>
      </c>
      <c r="F76" s="976">
        <v>9.4773388383222502E-3</v>
      </c>
      <c r="G76" s="976">
        <v>1.1386874883807499E-2</v>
      </c>
      <c r="H76" s="976">
        <v>9.8341068884702006E-3</v>
      </c>
      <c r="I76" s="976">
        <v>6.1888509670078298E-3</v>
      </c>
      <c r="J76" s="976">
        <v>1.05377413956855E-2</v>
      </c>
      <c r="K76" s="976">
        <v>5.7733619763693502E-3</v>
      </c>
      <c r="L76" s="976">
        <v>8.8105726872247398E-3</v>
      </c>
      <c r="M76" s="976">
        <v>8.1160954523400407E-3</v>
      </c>
      <c r="N76" s="976">
        <v>1.20761321373879E-2</v>
      </c>
      <c r="O76" s="976">
        <v>1.9238251696857001E-2</v>
      </c>
      <c r="P76" s="976">
        <v>1.8196470987444702E-2</v>
      </c>
      <c r="Q76" s="976">
        <v>2.0454072068319101E-2</v>
      </c>
      <c r="R76" s="976">
        <v>2.9759960809928401E-2</v>
      </c>
      <c r="S76" s="976">
        <v>2.8305252725470801E-2</v>
      </c>
      <c r="T76" s="976">
        <v>2.6986391148463601E-2</v>
      </c>
      <c r="U76" s="976">
        <v>2.5413866886895099E-2</v>
      </c>
      <c r="V76" s="976">
        <v>1.8816810660418699E-2</v>
      </c>
      <c r="W76" s="976">
        <v>1.22888968738772E-2</v>
      </c>
      <c r="X76" s="976">
        <v>1.8706517109186499E-2</v>
      </c>
      <c r="Y76" s="976">
        <v>1.6760165859437601E-2</v>
      </c>
      <c r="Z76" s="976">
        <v>1.1034955448937501E-2</v>
      </c>
      <c r="AA76" s="976">
        <v>8.3723137414413208E-3</v>
      </c>
      <c r="AB76" s="976">
        <v>1.5160173451208601E-2</v>
      </c>
      <c r="AC76" s="976">
        <v>1.58278145695365E-2</v>
      </c>
      <c r="AD76" s="976">
        <v>1.8025946932655398E-2</v>
      </c>
      <c r="AE76" s="976">
        <v>1.71304152924978E-2</v>
      </c>
      <c r="AF76" s="976">
        <v>1.50160549014671E-2</v>
      </c>
      <c r="AG76" s="976">
        <v>1.4235648047638201E-2</v>
      </c>
      <c r="AH76" s="976">
        <v>1.6390434835789901E-2</v>
      </c>
      <c r="AI76" s="976">
        <v>2.05487694807149E-2</v>
      </c>
      <c r="AJ76" s="976">
        <v>1.7570236726511802E-2</v>
      </c>
      <c r="AK76" s="976">
        <v>1.8889242981718901E-2</v>
      </c>
      <c r="AL76" s="976">
        <v>1.88233956040833E-2</v>
      </c>
      <c r="AM76" s="976">
        <v>2.7322709385727301E-2</v>
      </c>
      <c r="AN76" s="976">
        <v>2.4830209182287202E-2</v>
      </c>
      <c r="AO76" s="976">
        <v>2.42020994592302E-2</v>
      </c>
      <c r="AP76" s="976">
        <v>3.0023034914718999E-2</v>
      </c>
      <c r="AQ76" s="976">
        <v>2.44742065984873E-2</v>
      </c>
      <c r="AR76" s="976">
        <v>2.3374457334870199E-2</v>
      </c>
      <c r="AS76" s="976">
        <v>2.4757933084076401E-2</v>
      </c>
      <c r="AT76" s="976">
        <v>2.5937273428912298E-2</v>
      </c>
      <c r="AU76" s="976">
        <v>1.6755573792914799E-2</v>
      </c>
      <c r="AV76" s="976">
        <v>1.6479451133382599E-2</v>
      </c>
      <c r="AW76" s="976">
        <v>1.53299805893772E-2</v>
      </c>
      <c r="AX76" s="976">
        <v>1.2708826660294201E-2</v>
      </c>
      <c r="AY76" s="976">
        <v>9.6104341856872999E-3</v>
      </c>
      <c r="AZ76" s="976">
        <v>1.5808261091280001E-2</v>
      </c>
      <c r="BA76" s="976">
        <v>1.1023259705488699E-2</v>
      </c>
      <c r="BB76" s="976">
        <v>8.2755767042515006E-3</v>
      </c>
      <c r="BC76" s="976">
        <v>9.1310146711809405E-3</v>
      </c>
      <c r="BD76" s="976">
        <v>1.31557543716958E-2</v>
      </c>
      <c r="BE76" s="976">
        <v>6.6028458466293998E-3</v>
      </c>
      <c r="BF76" s="976">
        <v>1.08062843926948E-2</v>
      </c>
      <c r="BG76" s="976">
        <v>9.6848001893565794E-3</v>
      </c>
      <c r="BH76" s="976">
        <v>7.7165015921389904E-3</v>
      </c>
      <c r="BI76" s="976">
        <v>6.1647022332504998E-3</v>
      </c>
      <c r="BJ76" s="976">
        <v>1.17914531231937E-2</v>
      </c>
      <c r="BK76" s="976">
        <v>8.1121224816238496E-3</v>
      </c>
      <c r="BL76" s="976">
        <v>7.8390630902909209E-3</v>
      </c>
      <c r="BM76" s="976">
        <v>6.9721675569300902E-3</v>
      </c>
      <c r="BN76" s="976">
        <v>7.0914065553633297E-3</v>
      </c>
      <c r="BO76" s="976">
        <v>-1.05344865823898E-3</v>
      </c>
      <c r="BP76" s="976">
        <v>5.2727979130819903E-3</v>
      </c>
      <c r="BQ76" s="976">
        <v>6.0549175500588196E-3</v>
      </c>
      <c r="BR76" s="976">
        <v>9.4027256928566096E-3</v>
      </c>
      <c r="BS76" s="976">
        <v>9.6413490639555306E-3</v>
      </c>
      <c r="BT76" s="976">
        <v>9.4774820053489302E-3</v>
      </c>
      <c r="BU76" s="976">
        <v>8.6416899304753193E-3</v>
      </c>
      <c r="BV76" s="976">
        <v>7.8977523137946405E-3</v>
      </c>
      <c r="BW76" s="976">
        <v>1.1054168925891599E-2</v>
      </c>
      <c r="BX76" s="976">
        <v>1.23172735922499E-2</v>
      </c>
      <c r="BY76" s="976">
        <v>1.00996291675923E-2</v>
      </c>
      <c r="BZ76" s="976">
        <v>1.14874467077215E-2</v>
      </c>
      <c r="CA76" s="976">
        <v>1.34811915633835E-2</v>
      </c>
      <c r="CB76" s="976">
        <v>5.8917696763651798E-3</v>
      </c>
      <c r="CC76" s="976">
        <v>7.8753076292041903E-3</v>
      </c>
      <c r="CD76" s="976">
        <v>1.44880351619729E-2</v>
      </c>
      <c r="CE76" s="976">
        <v>9.0821566110397302E-3</v>
      </c>
      <c r="CF76" s="976">
        <v>1.2705530642750399E-2</v>
      </c>
      <c r="CG76" s="976">
        <v>1.32213237025987E-2</v>
      </c>
      <c r="CH76" s="976">
        <v>5.2536147659119096E-3</v>
      </c>
      <c r="CI76" s="976">
        <v>5.4728208923011702E-3</v>
      </c>
      <c r="CJ76" s="976">
        <v>6.7922908265742902E-3</v>
      </c>
      <c r="CK76" s="976">
        <v>7.24902534113059E-3</v>
      </c>
      <c r="CL76" s="976">
        <v>6.2745690958574398E-3</v>
      </c>
      <c r="CM76" s="976">
        <v>6.65614904965817E-3</v>
      </c>
      <c r="CN76" s="976">
        <v>6.3733245768529097E-3</v>
      </c>
      <c r="CO76" s="976">
        <v>6.9707081942900198E-3</v>
      </c>
      <c r="CP76" s="976">
        <v>5.95036453347086E-3</v>
      </c>
      <c r="CQ76" s="976">
        <v>6.7204497869659497E-3</v>
      </c>
      <c r="CR76" s="976">
        <v>4.3485848919400097E-3</v>
      </c>
      <c r="CS76" s="976">
        <v>5.76335490971225E-3</v>
      </c>
      <c r="CT76" s="976">
        <v>3.5850550716289798E-3</v>
      </c>
      <c r="CU76" s="976">
        <v>5.5807414208655102E-3</v>
      </c>
      <c r="CV76" s="976">
        <v>7.1761802177108302E-3</v>
      </c>
      <c r="CW76" s="976">
        <v>4.6886509150660897E-3</v>
      </c>
      <c r="CX76" s="976">
        <v>4.8923541105643197E-3</v>
      </c>
      <c r="CY76" s="976">
        <v>5.8226001066306E-3</v>
      </c>
      <c r="CZ76" s="976">
        <v>4.0731492976606703E-3</v>
      </c>
      <c r="DA76" s="976">
        <v>4.4039399285924503E-3</v>
      </c>
      <c r="DB76" s="976">
        <v>5.5603197875460104E-3</v>
      </c>
      <c r="DC76" s="976">
        <v>6.6987620357632496E-3</v>
      </c>
      <c r="DD76" s="976">
        <v>4.26305218139822E-3</v>
      </c>
      <c r="DE76" s="976">
        <v>6.8028136437230397E-3</v>
      </c>
      <c r="DF76" s="976">
        <v>4.4189786348463002E-3</v>
      </c>
      <c r="DG76" s="976">
        <v>2.5024890347926701E-3</v>
      </c>
      <c r="DH76" s="976">
        <v>2.6438694438479802E-3</v>
      </c>
      <c r="DI76" s="976">
        <v>3.1321527526804202E-3</v>
      </c>
      <c r="DJ76" s="976">
        <v>8.0060846243235103E-5</v>
      </c>
      <c r="DK76" s="976">
        <v>1.80122483288647E-3</v>
      </c>
      <c r="DL76" s="976">
        <v>3.1031910926426799E-3</v>
      </c>
      <c r="DM76" s="976">
        <v>2.6288885643348499E-3</v>
      </c>
      <c r="DN76" s="976">
        <v>2.6219956300070901E-3</v>
      </c>
      <c r="DO76" s="976">
        <v>5.4680173814272096E-3</v>
      </c>
      <c r="DP76" s="976">
        <v>5.2937853849488502E-3</v>
      </c>
      <c r="DQ76" s="976">
        <v>5.9061805827780303E-3</v>
      </c>
      <c r="DR76" s="976">
        <v>8.3526019069393199E-3</v>
      </c>
      <c r="DS76" s="976">
        <v>4.4830917874396602E-3</v>
      </c>
      <c r="DT76" s="976">
        <v>6.1816269734395997E-3</v>
      </c>
      <c r="DU76" s="976">
        <v>5.5190873749284596E-3</v>
      </c>
      <c r="DV76" s="976">
        <v>6.7817665551159799E-3</v>
      </c>
      <c r="DW76" s="976">
        <v>4.6837817760598801E-3</v>
      </c>
      <c r="DX76" s="976">
        <v>5.8900933642447295E-4</v>
      </c>
      <c r="DY76" s="976">
        <v>6.2623681771500905E-4</v>
      </c>
      <c r="DZ76" s="976">
        <v>1.86501777399495E-3</v>
      </c>
      <c r="EA76" s="976">
        <v>7.62109418922807E-3</v>
      </c>
      <c r="EB76" s="976">
        <v>4.8852463081674501E-3</v>
      </c>
      <c r="EC76" s="976">
        <v>4.6270590412733599E-3</v>
      </c>
      <c r="ED76" s="976">
        <v>7.0498648980594804E-3</v>
      </c>
      <c r="EE76" s="976">
        <v>2.5611630119271001E-4</v>
      </c>
      <c r="EF76" s="976">
        <v>6.1817960129244599E-3</v>
      </c>
      <c r="EG76" s="976">
        <v>4.59271467002731E-3</v>
      </c>
      <c r="EH76" s="976">
        <v>8.2990554999335907E-3</v>
      </c>
      <c r="EI76" s="976">
        <v>6.8549689552452903E-3</v>
      </c>
      <c r="EJ76" s="976">
        <v>5.0379030916565303E-3</v>
      </c>
      <c r="EK76" s="976">
        <v>8.5475137729647006E-3</v>
      </c>
      <c r="EL76" s="976">
        <v>5.6969370171964196E-3</v>
      </c>
      <c r="EM76" s="976">
        <v>6.00268080890487E-3</v>
      </c>
      <c r="EN76" s="976">
        <v>1.06824238211098E-2</v>
      </c>
      <c r="EO76" s="976">
        <v>7.8067681584739201E-3</v>
      </c>
      <c r="EP76" s="976">
        <v>5.0731973655773199E-3</v>
      </c>
      <c r="EQ76" s="976">
        <v>8.03540103441658E-3</v>
      </c>
      <c r="ER76" s="976">
        <v>7.20789500275054E-3</v>
      </c>
      <c r="ES76" s="976">
        <v>-1.69432956939508E-3</v>
      </c>
      <c r="ET76" s="976">
        <v>9.4574526289932202E-3</v>
      </c>
      <c r="EU76" s="976">
        <v>8.10786894675131E-3</v>
      </c>
      <c r="EV76" s="976">
        <v>5.6397371048619903E-3</v>
      </c>
      <c r="EW76" s="976">
        <v>9.8196458381065704E-3</v>
      </c>
      <c r="EX76" s="976">
        <v>8.3843851630958106E-3</v>
      </c>
      <c r="EY76" s="976">
        <v>1.02861918589079E-2</v>
      </c>
      <c r="EZ76" s="976">
        <v>1.0361760120480601E-2</v>
      </c>
      <c r="FA76" s="976">
        <v>-1.50106018936452E-2</v>
      </c>
      <c r="FB76" s="976">
        <v>-5.9891725990024501E-3</v>
      </c>
      <c r="FC76" s="976">
        <v>4.4921414327678804E-3</v>
      </c>
      <c r="FD76" s="976">
        <v>6.9055318967265996E-3</v>
      </c>
      <c r="FE76" s="976">
        <v>7.73796904812363E-3</v>
      </c>
      <c r="FF76" s="976">
        <v>3.41853371200163E-3</v>
      </c>
      <c r="FG76" s="976">
        <v>1.1321348079040799E-3</v>
      </c>
      <c r="FH76" s="976">
        <v>1.75910704375792E-3</v>
      </c>
      <c r="FI76" s="976">
        <v>6.0519906763805099E-3</v>
      </c>
      <c r="FJ76" s="976">
        <v>8.7376623376622699E-3</v>
      </c>
      <c r="FK76" s="976">
        <v>9.8567323438836195E-3</v>
      </c>
      <c r="FL76" s="976">
        <v>4.8445659268929698E-3</v>
      </c>
      <c r="FM76" s="976">
        <v>3.4205210965967399E-3</v>
      </c>
      <c r="FN76" s="976">
        <v>6.8581832895002696E-3</v>
      </c>
      <c r="FO76" s="976">
        <v>2.3910466354557501E-3</v>
      </c>
      <c r="FP76" s="976">
        <v>2.86642078255284E-3</v>
      </c>
      <c r="FQ76" s="976">
        <v>5.6165177589892999E-3</v>
      </c>
      <c r="FR76" s="976">
        <v>3.5577993321673799E-3</v>
      </c>
      <c r="FS76" s="976">
        <v>7.4270662098197004E-4</v>
      </c>
      <c r="FT76" s="976">
        <v>4.0472208753474801E-3</v>
      </c>
      <c r="FU76" s="976">
        <v>4.0801844952988997E-3</v>
      </c>
      <c r="FV76" s="976">
        <v>4.6819787985865604E-3</v>
      </c>
      <c r="FW76" s="976">
        <v>4.7773967584043798E-3</v>
      </c>
      <c r="FX76" s="976">
        <v>2.6933473348502699E-3</v>
      </c>
      <c r="FY76" s="976">
        <v>-1.2703276669607799E-3</v>
      </c>
      <c r="FZ76" s="976">
        <v>-4.2721764797265501E-3</v>
      </c>
      <c r="GA76" s="976">
        <v>4.9243310710662697E-3</v>
      </c>
      <c r="GB76" s="976">
        <v>2.5713925303472202E-3</v>
      </c>
      <c r="GC76" s="976">
        <v>-7.6459998838584997E-4</v>
      </c>
      <c r="GD76" s="976">
        <v>7.9424270894890004E-4</v>
      </c>
      <c r="GE76" s="976">
        <v>5.99080571013788E-3</v>
      </c>
      <c r="GF76" s="976">
        <v>4.0598783960594798E-3</v>
      </c>
      <c r="GG76" s="976">
        <v>4.6087806373722503E-3</v>
      </c>
      <c r="GH76" s="976">
        <v>5.4746440050741398E-3</v>
      </c>
      <c r="GI76" s="976">
        <v>2.2101858263532401E-3</v>
      </c>
      <c r="GJ76" s="976">
        <v>4.0698885039847097E-3</v>
      </c>
      <c r="GK76" s="976">
        <v>6.5137061196787202E-3</v>
      </c>
      <c r="GL76" s="976">
        <v>6.6494966050105698E-3</v>
      </c>
      <c r="GM76" s="976">
        <v>5.5449597618273403E-3</v>
      </c>
      <c r="GN76" s="976">
        <v>3.8859744080828001E-3</v>
      </c>
      <c r="GO76" s="976">
        <v>3.57600390779811E-3</v>
      </c>
      <c r="GP76" s="976">
        <v>1.4051006070403499E-3</v>
      </c>
      <c r="GQ76" s="976">
        <v>6.2728123108526396E-3</v>
      </c>
      <c r="GR76" s="976">
        <v>3.4813991214479598E-3</v>
      </c>
      <c r="GS76" s="976">
        <v>3.82351872706788E-3</v>
      </c>
      <c r="GT76" s="976">
        <v>3.1937319617476598E-3</v>
      </c>
      <c r="GU76" s="976">
        <v>-4.0313125665121198E-3</v>
      </c>
      <c r="GV76" s="976">
        <v>9.0188798840946695E-3</v>
      </c>
      <c r="GW76" s="976">
        <v>3.6255620069818302E-3</v>
      </c>
      <c r="GX76" s="976">
        <v>9.1742298922521393E-3</v>
      </c>
    </row>
    <row r="77" spans="1:206">
      <c r="A77" s="976" t="s">
        <v>743</v>
      </c>
      <c r="B77" s="976">
        <v>1.32078498476018E-2</v>
      </c>
      <c r="C77" s="976">
        <v>1.32078498476018E-2</v>
      </c>
      <c r="D77" s="976">
        <v>1.7046654000422198E-2</v>
      </c>
      <c r="E77" s="976">
        <v>1.27134035597529E-2</v>
      </c>
      <c r="F77" s="976">
        <v>3.1666325066612003E-2</v>
      </c>
      <c r="G77" s="976">
        <v>1.8674878315287701E-2</v>
      </c>
      <c r="H77" s="976">
        <v>1.4480741101901499E-2</v>
      </c>
      <c r="I77" s="976">
        <v>2.0329696736675298E-2</v>
      </c>
      <c r="J77" s="976">
        <v>4.1168158266603701E-2</v>
      </c>
      <c r="K77" s="976">
        <v>1.0088671733623E-2</v>
      </c>
      <c r="L77" s="976">
        <v>8.1963541899940894E-3</v>
      </c>
      <c r="M77" s="976">
        <v>2.17236783651709E-2</v>
      </c>
      <c r="N77" s="976">
        <v>1.6131136136353901E-2</v>
      </c>
      <c r="O77" s="976">
        <v>1.7415489944372999E-2</v>
      </c>
      <c r="P77" s="976">
        <v>2.0692265634857199E-2</v>
      </c>
      <c r="Q77" s="976">
        <v>2.1385306357905299E-2</v>
      </c>
      <c r="R77" s="976">
        <v>1.02468936582218E-2</v>
      </c>
      <c r="S77" s="976">
        <v>1.8049676543407101E-2</v>
      </c>
      <c r="T77" s="976">
        <v>2.9222562171491401E-2</v>
      </c>
      <c r="U77" s="976">
        <v>3.3194862609093198E-2</v>
      </c>
      <c r="V77" s="976">
        <v>1.81851715234231E-2</v>
      </c>
      <c r="W77" s="976">
        <v>1.4491178495091E-2</v>
      </c>
      <c r="X77" s="976">
        <v>1.3462843266792699E-2</v>
      </c>
      <c r="Y77" s="976">
        <v>2.29739252995067E-2</v>
      </c>
      <c r="Z77" s="976">
        <v>1.46045742628824E-2</v>
      </c>
      <c r="AA77" s="976">
        <v>8.3853883758826502E-3</v>
      </c>
      <c r="AB77" s="976">
        <v>1.14466552200114E-2</v>
      </c>
      <c r="AC77" s="976">
        <v>2.6728356023033601E-2</v>
      </c>
      <c r="AD77" s="976">
        <v>1.41671529533813E-2</v>
      </c>
      <c r="AE77" s="976">
        <v>1.1379982738228401E-2</v>
      </c>
      <c r="AF77" s="976">
        <v>4.9306235974588804E-3</v>
      </c>
      <c r="AG77" s="976">
        <v>2.8966818682182802E-2</v>
      </c>
      <c r="AH77" s="976">
        <v>1.1431715368627001E-2</v>
      </c>
      <c r="AI77" s="976">
        <v>1.9643396796615201E-2</v>
      </c>
      <c r="AJ77" s="976">
        <v>1.67160640189685E-2</v>
      </c>
      <c r="AK77" s="976">
        <v>1.72574626865671E-2</v>
      </c>
      <c r="AL77" s="976">
        <v>1.8426180651077501E-2</v>
      </c>
      <c r="AM77" s="976">
        <v>1.5110160668561299E-2</v>
      </c>
      <c r="AN77" s="976">
        <v>2.3339616365450701E-2</v>
      </c>
      <c r="AO77" s="976">
        <v>2.20217779944742E-2</v>
      </c>
      <c r="AP77" s="976">
        <v>1.9771540642972599E-2</v>
      </c>
      <c r="AQ77" s="976">
        <v>3.86464641214233E-2</v>
      </c>
      <c r="AR77" s="976">
        <v>1.0134120708637799E-2</v>
      </c>
      <c r="AS77" s="976">
        <v>3.0097351928460001E-2</v>
      </c>
      <c r="AT77" s="976">
        <v>1.9983647556752498E-2</v>
      </c>
      <c r="AU77" s="976">
        <v>2.3270069550866499E-2</v>
      </c>
      <c r="AV77" s="976">
        <v>2.1934473065757399E-2</v>
      </c>
      <c r="AW77" s="976">
        <v>1.9141452856563199E-2</v>
      </c>
      <c r="AX77" s="976">
        <v>1.59723912129726E-2</v>
      </c>
      <c r="AY77" s="976">
        <v>1.9814915623299002E-2</v>
      </c>
      <c r="AZ77" s="976">
        <v>8.3911604569233394E-3</v>
      </c>
      <c r="BA77" s="976">
        <v>1.17938511052764E-2</v>
      </c>
      <c r="BB77" s="976">
        <v>1.8834362247568399E-3</v>
      </c>
      <c r="BC77" s="976">
        <v>7.7284595300259901E-3</v>
      </c>
      <c r="BD77" s="976">
        <v>1.10892320447715E-2</v>
      </c>
      <c r="BE77" s="976">
        <v>6.5190651906519301E-3</v>
      </c>
      <c r="BF77" s="976">
        <v>1.29740518962076E-2</v>
      </c>
      <c r="BG77" s="976">
        <v>9.9527495727353994E-3</v>
      </c>
      <c r="BH77" s="976">
        <v>1.48715906828589E-2</v>
      </c>
      <c r="BI77" s="976">
        <v>1.23192812444828E-2</v>
      </c>
      <c r="BJ77" s="976">
        <v>-3.9918612537543901E-3</v>
      </c>
      <c r="BK77" s="976">
        <v>2.3541314033348501E-3</v>
      </c>
      <c r="BL77" s="976">
        <v>5.3377329192545496E-3</v>
      </c>
      <c r="BM77" s="976">
        <v>6.5643401872765798E-3</v>
      </c>
      <c r="BN77" s="976">
        <v>-2.53188836674012E-3</v>
      </c>
      <c r="BO77" s="976">
        <v>-2.4998557775512999E-3</v>
      </c>
      <c r="BP77" s="976">
        <v>1.4265610240396E-3</v>
      </c>
      <c r="BQ77" s="976">
        <v>1.13577299940326E-3</v>
      </c>
      <c r="BR77" s="976">
        <v>-1.71134099911541E-3</v>
      </c>
      <c r="BS77" s="976">
        <v>4.7575938517248097E-3</v>
      </c>
      <c r="BT77" s="976">
        <v>7.2272065025686897E-3</v>
      </c>
      <c r="BU77" s="976">
        <v>2.09360309091955E-3</v>
      </c>
      <c r="BV77" s="976">
        <v>1.3636967958823101E-2</v>
      </c>
      <c r="BW77" s="976">
        <v>9.8184339223144103E-3</v>
      </c>
      <c r="BX77" s="976">
        <v>5.7150279257045496E-3</v>
      </c>
      <c r="BY77" s="976">
        <v>8.0625818711832498E-3</v>
      </c>
      <c r="BZ77" s="976">
        <v>7.4124235879791103E-3</v>
      </c>
      <c r="CA77" s="976">
        <v>7.3397162218629096E-3</v>
      </c>
      <c r="CB77" s="976">
        <v>4.9777264775370299E-3</v>
      </c>
      <c r="CC77" s="976">
        <v>3.58918220483462E-3</v>
      </c>
      <c r="CD77" s="976">
        <v>7.0096382525972603E-3</v>
      </c>
      <c r="CE77" s="976">
        <v>1.7171268756104099E-2</v>
      </c>
      <c r="CF77" s="976">
        <v>1.3616842987327299E-3</v>
      </c>
      <c r="CG77" s="976">
        <v>1.19072524407253E-2</v>
      </c>
      <c r="CH77" s="976">
        <v>8.9588753165756908E-3</v>
      </c>
      <c r="CI77" s="976">
        <v>4.9348564793469897E-3</v>
      </c>
      <c r="CJ77" s="976">
        <v>1.2845782641201601E-2</v>
      </c>
      <c r="CK77" s="976">
        <v>1.01160917997585E-2</v>
      </c>
      <c r="CL77" s="976">
        <v>1.4615269635116499E-3</v>
      </c>
      <c r="CM77" s="976">
        <v>3.6484850495033202E-3</v>
      </c>
      <c r="CN77" s="976">
        <v>8.72453279135477E-3</v>
      </c>
      <c r="CO77" s="976">
        <v>6.2738545710683304E-3</v>
      </c>
      <c r="CP77" s="976">
        <v>2.5069184437571698E-3</v>
      </c>
      <c r="CQ77" s="976">
        <v>4.4004936347101804E-3</v>
      </c>
      <c r="CR77" s="976">
        <v>7.2427451297389896E-3</v>
      </c>
      <c r="CS77" s="976">
        <v>8.95623003707691E-3</v>
      </c>
      <c r="CT77" s="976">
        <v>4.5974451567745199E-3</v>
      </c>
      <c r="CU77" s="976">
        <v>8.3768804433887994E-3</v>
      </c>
      <c r="CV77" s="976">
        <v>5.7475776943734002E-3</v>
      </c>
      <c r="CW77" s="976">
        <v>8.2129752517761095E-3</v>
      </c>
      <c r="CX77" s="976">
        <v>8.4248346781061693E-3</v>
      </c>
      <c r="CY77" s="976">
        <v>6.6651309222147698E-3</v>
      </c>
      <c r="CZ77" s="976">
        <v>5.1717036110390203E-3</v>
      </c>
      <c r="DA77" s="976">
        <v>1.38113161728994E-2</v>
      </c>
      <c r="DB77" s="976">
        <v>2.3503697715499001E-3</v>
      </c>
      <c r="DC77" s="976">
        <v>-5.3618101710103403E-3</v>
      </c>
      <c r="DD77" s="976">
        <v>5.81115982941927E-3</v>
      </c>
      <c r="DE77" s="976">
        <v>3.4187778988699099E-3</v>
      </c>
      <c r="DF77" s="976">
        <v>3.4220079747662199E-3</v>
      </c>
      <c r="DG77" s="976">
        <v>6.5686070994337396E-3</v>
      </c>
      <c r="DH77" s="976">
        <v>2.3127347720408599E-3</v>
      </c>
      <c r="DI77" s="976">
        <v>7.0103759442696799E-3</v>
      </c>
      <c r="DJ77" s="976">
        <v>-4.1886192151082699E-3</v>
      </c>
      <c r="DK77" s="976">
        <v>6.4339312932348803E-3</v>
      </c>
      <c r="DL77" s="976">
        <v>6.5238601447481503E-3</v>
      </c>
      <c r="DM77" s="976">
        <v>3.2118520233219701E-3</v>
      </c>
      <c r="DN77" s="976">
        <v>2.9564038591889399E-3</v>
      </c>
      <c r="DO77" s="976">
        <v>8.3685618152013995E-3</v>
      </c>
      <c r="DP77" s="976">
        <v>9.0833903718914293E-3</v>
      </c>
      <c r="DQ77" s="976">
        <v>1.2308344520596299E-2</v>
      </c>
      <c r="DR77" s="976">
        <v>9.7437042827630497E-3</v>
      </c>
      <c r="DS77" s="976">
        <v>3.8709320651422198E-3</v>
      </c>
      <c r="DT77" s="976">
        <v>7.1611534965707602E-3</v>
      </c>
      <c r="DU77" s="976">
        <v>4.4985916263295999E-3</v>
      </c>
      <c r="DV77" s="976">
        <v>1.71514912268766E-3</v>
      </c>
      <c r="DW77" s="976">
        <v>5.2453491690334104E-3</v>
      </c>
      <c r="DX77" s="976">
        <v>6.3940520446097403E-3</v>
      </c>
      <c r="DY77" s="976">
        <v>6.4743176445305499E-3</v>
      </c>
      <c r="DZ77" s="976">
        <v>6.4593620712665202E-3</v>
      </c>
      <c r="EA77" s="976">
        <v>9.4544779483913804E-3</v>
      </c>
      <c r="EB77" s="976">
        <v>8.5777713557608805E-3</v>
      </c>
      <c r="EC77" s="976">
        <v>1.8533472258400699E-2</v>
      </c>
      <c r="ED77" s="976">
        <v>1.11504673733744E-2</v>
      </c>
      <c r="EE77" s="976">
        <v>7.1071767309516297E-3</v>
      </c>
      <c r="EF77" s="976">
        <v>9.0661375993570398E-3</v>
      </c>
      <c r="EG77" s="976">
        <v>7.4913824213840297E-3</v>
      </c>
      <c r="EH77" s="976">
        <v>8.5102703770951697E-3</v>
      </c>
      <c r="EI77" s="976">
        <v>8.6711573790569894E-3</v>
      </c>
      <c r="EJ77" s="976">
        <v>9.1551518978119101E-3</v>
      </c>
      <c r="EK77" s="976">
        <v>9.7218211569931601E-3</v>
      </c>
      <c r="EL77" s="976">
        <v>1.31792183031458E-2</v>
      </c>
      <c r="EM77" s="976">
        <v>9.0207701173758998E-3</v>
      </c>
      <c r="EN77" s="976">
        <v>1.04320865338663E-2</v>
      </c>
      <c r="EO77" s="976">
        <v>7.1751568844591303E-3</v>
      </c>
      <c r="EP77" s="976">
        <v>8.4182796930476495E-3</v>
      </c>
      <c r="EQ77" s="976">
        <v>6.9509909705263197E-3</v>
      </c>
      <c r="ER77" s="976">
        <v>7.4218617819235E-3</v>
      </c>
      <c r="ES77" s="976">
        <v>5.2062923361138004E-3</v>
      </c>
      <c r="ET77" s="976">
        <v>8.5653820449989003E-3</v>
      </c>
      <c r="EU77" s="976">
        <v>7.9846271079746494E-3</v>
      </c>
      <c r="EV77" s="976">
        <v>6.8695766500130899E-3</v>
      </c>
      <c r="EW77" s="976">
        <v>8.0196737722935101E-3</v>
      </c>
      <c r="EX77" s="976">
        <v>8.4200526793039004E-3</v>
      </c>
      <c r="EY77" s="976">
        <v>1.02444977305816E-2</v>
      </c>
      <c r="EZ77" s="976">
        <v>7.5975120002542704E-3</v>
      </c>
      <c r="FA77" s="976">
        <v>-4.6692607003890902E-3</v>
      </c>
      <c r="FB77" s="976">
        <v>-8.1355788939838601E-3</v>
      </c>
      <c r="FC77" s="976">
        <v>2.0239464825921901E-4</v>
      </c>
      <c r="FD77" s="976">
        <v>3.12050694925192E-3</v>
      </c>
      <c r="FE77" s="976">
        <v>7.5168811313544E-3</v>
      </c>
      <c r="FF77" s="976">
        <v>6.1962569549822702E-3</v>
      </c>
      <c r="FG77" s="976">
        <v>7.6452599388379099E-3</v>
      </c>
      <c r="FH77" s="976">
        <v>3.98070966803155E-3</v>
      </c>
      <c r="FI77" s="976">
        <v>8.1990123916892994E-3</v>
      </c>
      <c r="FJ77" s="976">
        <v>9.0051237819466206E-3</v>
      </c>
      <c r="FK77" s="976">
        <v>9.0468727738992599E-3</v>
      </c>
      <c r="FL77" s="976">
        <v>3.4592304977056898E-3</v>
      </c>
      <c r="FM77" s="976">
        <v>-1.3568111921847799E-3</v>
      </c>
      <c r="FN77" s="976">
        <v>3.44192506264895E-3</v>
      </c>
      <c r="FO77" s="976">
        <v>2.2365979639937801E-3</v>
      </c>
      <c r="FP77" s="976">
        <v>1.9413978064206599E-3</v>
      </c>
      <c r="FQ77" s="976">
        <v>1.22850122850138E-3</v>
      </c>
      <c r="FR77" s="976">
        <v>-3.9902239513223103E-5</v>
      </c>
      <c r="FS77" s="976">
        <v>1.9453117985655001E-3</v>
      </c>
      <c r="FT77" s="976">
        <v>3.2159783344616298E-3</v>
      </c>
      <c r="FU77" s="976">
        <v>1.5194672436209301E-2</v>
      </c>
      <c r="FV77" s="976">
        <v>-2.6004497018281602E-3</v>
      </c>
      <c r="FW77" s="976">
        <v>4.3911236571785297E-3</v>
      </c>
      <c r="FX77" s="976">
        <v>4.6549301272542599E-3</v>
      </c>
      <c r="FY77" s="976">
        <v>1.32104245791598E-3</v>
      </c>
      <c r="FZ77" s="976">
        <v>-1.58121938206335E-3</v>
      </c>
      <c r="GA77" s="976">
        <v>1.9432191368220499E-3</v>
      </c>
      <c r="GB77" s="976">
        <v>1.5030740288202199E-3</v>
      </c>
      <c r="GC77" s="976">
        <v>-8.2302932889233304E-4</v>
      </c>
      <c r="GD77" s="976">
        <v>-2.6940072873865599E-3</v>
      </c>
      <c r="GE77" s="976">
        <v>5.74265891909742E-3</v>
      </c>
      <c r="GF77" s="976">
        <v>4.2993092121155199E-3</v>
      </c>
      <c r="GG77" s="976">
        <v>5.0505050505049703E-3</v>
      </c>
      <c r="GH77" s="976">
        <v>5.7142857142857802E-3</v>
      </c>
      <c r="GI77" s="976">
        <v>3.7498096543322501E-3</v>
      </c>
      <c r="GJ77" s="976">
        <v>5.0822065879050403E-3</v>
      </c>
      <c r="GK77" s="976">
        <v>7.8206071583555303E-3</v>
      </c>
      <c r="GL77" s="976">
        <v>1.05868146886203E-2</v>
      </c>
      <c r="GM77" s="976">
        <v>7.4192771530723301E-3</v>
      </c>
      <c r="GN77" s="976">
        <v>5.9762970863253004E-3</v>
      </c>
      <c r="GO77" s="976">
        <v>7.3574438138064302E-3</v>
      </c>
      <c r="GP77" s="976">
        <v>1.14409624562231E-2</v>
      </c>
      <c r="GQ77" s="976">
        <v>-6.4406749253223001E-3</v>
      </c>
      <c r="GR77" s="976">
        <v>1.4445517826673401E-3</v>
      </c>
      <c r="GS77" s="976">
        <v>3.24555314142505E-3</v>
      </c>
      <c r="GT77" s="976">
        <v>-6.8295576064203401E-4</v>
      </c>
      <c r="GU77" s="976">
        <v>-2.7336900319230302E-3</v>
      </c>
      <c r="GV77" s="976">
        <v>4.2560481871218902E-3</v>
      </c>
      <c r="GW77" s="976">
        <v>6.5455720865918998E-3</v>
      </c>
      <c r="GX77" s="976">
        <v>9.4824356389717809E-3</v>
      </c>
    </row>
    <row r="78" spans="1:206">
      <c r="A78" s="976" t="s">
        <v>744</v>
      </c>
      <c r="B78" s="976">
        <v>2.1158616664234801E-2</v>
      </c>
      <c r="C78" s="976">
        <v>2.1158616664234801E-2</v>
      </c>
      <c r="D78" s="976">
        <v>1.8076593312374999E-2</v>
      </c>
      <c r="E78" s="976">
        <v>1.8948698154256399E-2</v>
      </c>
      <c r="F78" s="976">
        <v>2.2728838074247599E-2</v>
      </c>
      <c r="G78" s="976">
        <v>1.8048353424473099E-2</v>
      </c>
      <c r="H78" s="976">
        <v>1.40900972415161E-2</v>
      </c>
      <c r="I78" s="976">
        <v>1.0958904109589E-2</v>
      </c>
      <c r="J78" s="976">
        <v>2.23254613498516E-2</v>
      </c>
      <c r="K78" s="976">
        <v>1.18025751072961E-2</v>
      </c>
      <c r="L78" s="976">
        <v>1.5220510261368499E-2</v>
      </c>
      <c r="M78" s="976">
        <v>1.3763440860215E-2</v>
      </c>
      <c r="N78" s="976">
        <v>1.9698163525062401E-2</v>
      </c>
      <c r="O78" s="976">
        <v>1.7772230147408401E-2</v>
      </c>
      <c r="P78" s="976">
        <v>1.34322256613912E-2</v>
      </c>
      <c r="Q78" s="976">
        <v>1.8959257765227801E-2</v>
      </c>
      <c r="R78" s="976">
        <v>2.9012555140821399E-2</v>
      </c>
      <c r="S78" s="976">
        <v>3.4789777411376802E-2</v>
      </c>
      <c r="T78" s="976">
        <v>3.6488209050350703E-2</v>
      </c>
      <c r="U78" s="976">
        <v>2.9413271842172701E-2</v>
      </c>
      <c r="V78" s="976">
        <v>2.01105082383395E-2</v>
      </c>
      <c r="W78" s="976">
        <v>1.9811643000048999E-2</v>
      </c>
      <c r="X78" s="976">
        <v>1.2775730896215099E-2</v>
      </c>
      <c r="Y78" s="976">
        <v>1.2803552867806999E-2</v>
      </c>
      <c r="Z78" s="976">
        <v>1.1288893035406001E-2</v>
      </c>
      <c r="AA78" s="976">
        <v>1.2131555883573999E-2</v>
      </c>
      <c r="AB78" s="976">
        <v>7.4286755993073798E-3</v>
      </c>
      <c r="AC78" s="976">
        <v>1.19429993214204E-2</v>
      </c>
      <c r="AD78" s="976">
        <v>1.8865394072153499E-2</v>
      </c>
      <c r="AE78" s="976">
        <v>1.7901803343425102E-2</v>
      </c>
      <c r="AF78" s="976">
        <v>1.7026595973964401E-2</v>
      </c>
      <c r="AG78" s="976">
        <v>1.6868695431041698E-2</v>
      </c>
      <c r="AH78" s="976">
        <v>1.41297099033011E-2</v>
      </c>
      <c r="AI78" s="976">
        <v>1.6686531585220502E-2</v>
      </c>
      <c r="AJ78" s="976">
        <v>1.5240328253224101E-2</v>
      </c>
      <c r="AK78" s="976">
        <v>1.4334634068647E-2</v>
      </c>
      <c r="AL78" s="976">
        <v>2.3788961293868201E-2</v>
      </c>
      <c r="AM78" s="976">
        <v>2.2852760736196399E-2</v>
      </c>
      <c r="AN78" s="976">
        <v>3.3925626030889298E-2</v>
      </c>
      <c r="AO78" s="976">
        <v>1.9506181791813199E-2</v>
      </c>
      <c r="AP78" s="976">
        <v>2.6032220206977399E-2</v>
      </c>
      <c r="AQ78" s="976">
        <v>2.74860490104329E-2</v>
      </c>
      <c r="AR78" s="976">
        <v>2.8842261503170898E-2</v>
      </c>
      <c r="AS78" s="976">
        <v>2.72140070166236E-2</v>
      </c>
      <c r="AT78" s="976">
        <v>3.2493855533212199E-2</v>
      </c>
      <c r="AU78" s="976">
        <v>2.1547593285312201E-2</v>
      </c>
      <c r="AV78" s="976">
        <v>1.35576806682001E-2</v>
      </c>
      <c r="AW78" s="976">
        <v>1.5824674549146201E-2</v>
      </c>
      <c r="AX78" s="976">
        <v>1.6812650637822599E-2</v>
      </c>
      <c r="AY78" s="976">
        <v>1.6072151240099398E-2</v>
      </c>
      <c r="AZ78" s="976">
        <v>1.5732574679943299E-2</v>
      </c>
      <c r="BA78" s="976">
        <v>1.26880094109738E-2</v>
      </c>
      <c r="BB78" s="976">
        <v>7.1910609580705404E-3</v>
      </c>
      <c r="BC78" s="976">
        <v>1.09567223198594E-2</v>
      </c>
      <c r="BD78" s="976">
        <v>9.6699714790167094E-3</v>
      </c>
      <c r="BE78" s="976">
        <v>7.6134621075569803E-3</v>
      </c>
      <c r="BF78" s="976">
        <v>1.4497783948309801E-2</v>
      </c>
      <c r="BG78" s="976">
        <v>9.5270679264152208E-3</v>
      </c>
      <c r="BH78" s="976">
        <v>9.3328814619775304E-3</v>
      </c>
      <c r="BI78" s="976">
        <v>9.9181238215770903E-3</v>
      </c>
      <c r="BJ78" s="976">
        <v>1.17899797959131E-2</v>
      </c>
      <c r="BK78" s="976">
        <v>9.8579444921895708E-3</v>
      </c>
      <c r="BL78" s="976">
        <v>8.2849419303163696E-3</v>
      </c>
      <c r="BM78" s="976">
        <v>9.2594891145147996E-3</v>
      </c>
      <c r="BN78" s="976">
        <v>4.1568280204644604E-3</v>
      </c>
      <c r="BO78" s="976">
        <v>4.4090630740967196E-3</v>
      </c>
      <c r="BP78" s="976">
        <v>8.6574807950248207E-3</v>
      </c>
      <c r="BQ78" s="976">
        <v>1.27176015473889E-2</v>
      </c>
      <c r="BR78" s="976">
        <v>1.4300721004631501E-2</v>
      </c>
      <c r="BS78" s="976">
        <v>1.22160762622101E-2</v>
      </c>
      <c r="BT78" s="976">
        <v>1.19523765231142E-2</v>
      </c>
      <c r="BU78" s="976">
        <v>5.9745392711061402E-3</v>
      </c>
      <c r="BV78" s="976">
        <v>5.1395678194527897E-3</v>
      </c>
      <c r="BW78" s="976">
        <v>9.7493352725950295E-3</v>
      </c>
      <c r="BX78" s="976">
        <v>8.4173568599206199E-3</v>
      </c>
      <c r="BY78" s="976">
        <v>1.14493594607865E-2</v>
      </c>
      <c r="BZ78" s="976">
        <v>1.3151216928881901E-2</v>
      </c>
      <c r="CA78" s="976">
        <v>1.3568550582598199E-2</v>
      </c>
      <c r="CB78" s="976">
        <v>9.36868795393009E-3</v>
      </c>
      <c r="CC78" s="976">
        <v>1.2922041980670399E-2</v>
      </c>
      <c r="CD78" s="976">
        <v>1.4144301296735899E-2</v>
      </c>
      <c r="CE78" s="976">
        <v>1.0320387947113201E-2</v>
      </c>
      <c r="CF78" s="976">
        <v>1.35994420741712E-2</v>
      </c>
      <c r="CG78" s="976">
        <v>1.57442072245269E-2</v>
      </c>
      <c r="CH78" s="976">
        <v>4.2037734345428098E-3</v>
      </c>
      <c r="CI78" s="976">
        <v>6.0511070549955602E-3</v>
      </c>
      <c r="CJ78" s="976">
        <v>8.2233922972252405E-3</v>
      </c>
      <c r="CK78" s="976">
        <v>8.7235457497165693E-3</v>
      </c>
      <c r="CL78" s="976">
        <v>7.1356550065926304E-3</v>
      </c>
      <c r="CM78" s="976">
        <v>1.1936850211782901E-2</v>
      </c>
      <c r="CN78" s="976">
        <v>7.3820395738204399E-3</v>
      </c>
      <c r="CO78" s="976">
        <v>6.8180101231396497E-3</v>
      </c>
      <c r="CP78" s="976">
        <v>5.8339117222232497E-3</v>
      </c>
      <c r="CQ78" s="976">
        <v>5.8933233867959301E-3</v>
      </c>
      <c r="CR78" s="976">
        <v>2.8552358350637502E-3</v>
      </c>
      <c r="CS78" s="976">
        <v>5.0286559437973102E-3</v>
      </c>
      <c r="CT78" s="976">
        <v>8.1858651263750897E-3</v>
      </c>
      <c r="CU78" s="976">
        <v>5.5467367307093802E-3</v>
      </c>
      <c r="CV78" s="976">
        <v>8.7459853749707293E-3</v>
      </c>
      <c r="CW78" s="976">
        <v>8.4902775529291895E-3</v>
      </c>
      <c r="CX78" s="976">
        <v>5.5828056719879901E-3</v>
      </c>
      <c r="CY78" s="976">
        <v>7.5916137500442503E-3</v>
      </c>
      <c r="CZ78" s="976">
        <v>4.1192831743126499E-3</v>
      </c>
      <c r="DA78" s="976">
        <v>3.8218793828892501E-3</v>
      </c>
      <c r="DB78" s="976">
        <v>9.98987041112143E-3</v>
      </c>
      <c r="DC78" s="976">
        <v>1.3660729725055701E-3</v>
      </c>
      <c r="DD78" s="976">
        <v>6.3202610993109403E-3</v>
      </c>
      <c r="DE78" s="976">
        <v>7.1728871728871102E-3</v>
      </c>
      <c r="DF78" s="976">
        <v>6.6277068815703303E-3</v>
      </c>
      <c r="DG78" s="976">
        <v>3.2327950983379598E-3</v>
      </c>
      <c r="DH78" s="976">
        <v>4.3527407082481996E-3</v>
      </c>
      <c r="DI78" s="976">
        <v>7.8278543951890694E-3</v>
      </c>
      <c r="DJ78" s="976">
        <v>1.33340000333337E-3</v>
      </c>
      <c r="DK78" s="976">
        <v>4.44429648617617E-3</v>
      </c>
      <c r="DL78" s="976">
        <v>7.4903884396129196E-3</v>
      </c>
      <c r="DM78" s="976">
        <v>8.3722613329824096E-3</v>
      </c>
      <c r="DN78" s="976">
        <v>8.5148030340103098E-3</v>
      </c>
      <c r="DO78" s="976">
        <v>1.3473078105034999E-2</v>
      </c>
      <c r="DP78" s="976">
        <v>1.1953399297797601E-2</v>
      </c>
      <c r="DQ78" s="976">
        <v>1.1465249412543999E-2</v>
      </c>
      <c r="DR78" s="976">
        <v>1.29256579767993E-2</v>
      </c>
      <c r="DS78" s="976">
        <v>1.05287462479797E-2</v>
      </c>
      <c r="DT78" s="976">
        <v>1.06170695669394E-2</v>
      </c>
      <c r="DU78" s="976">
        <v>1.2419738944322099E-2</v>
      </c>
      <c r="DV78" s="976">
        <v>1.17314277207086E-2</v>
      </c>
      <c r="DW78" s="976">
        <v>3.88475234703778E-3</v>
      </c>
      <c r="DX78" s="976">
        <v>2.6531031045704499E-3</v>
      </c>
      <c r="DY78" s="976">
        <v>2.0320746166102598E-3</v>
      </c>
      <c r="DZ78" s="976">
        <v>6.0109130168362101E-3</v>
      </c>
      <c r="EA78" s="976">
        <v>9.0640136902862007E-3</v>
      </c>
      <c r="EB78" s="976">
        <v>7.0710990385030002E-3</v>
      </c>
      <c r="EC78" s="976">
        <v>8.3344036762713607E-3</v>
      </c>
      <c r="ED78" s="976">
        <v>1.4025900502441501E-2</v>
      </c>
      <c r="EE78" s="976">
        <v>5.1642799318885003E-4</v>
      </c>
      <c r="EF78" s="976">
        <v>6.5984961566898396E-3</v>
      </c>
      <c r="EG78" s="976">
        <v>7.7193857752644304E-3</v>
      </c>
      <c r="EH78" s="976">
        <v>1.2803762738437601E-2</v>
      </c>
      <c r="EI78" s="976">
        <v>1.4325674868285201E-2</v>
      </c>
      <c r="EJ78" s="976">
        <v>1.6251890922234401E-2</v>
      </c>
      <c r="EK78" s="976">
        <v>1.7217077443915998E-2</v>
      </c>
      <c r="EL78" s="976">
        <v>8.9225589225590003E-3</v>
      </c>
      <c r="EM78" s="976">
        <v>1.27199681679908E-2</v>
      </c>
      <c r="EN78" s="976">
        <v>1.5969581749049298E-2</v>
      </c>
      <c r="EO78" s="976">
        <v>1.6304890219560799E-2</v>
      </c>
      <c r="EP78" s="976">
        <v>7.1071722292463902E-3</v>
      </c>
      <c r="EQ78" s="976">
        <v>1.51622260683031E-2</v>
      </c>
      <c r="ER78" s="976">
        <v>1.0013206867570901E-2</v>
      </c>
      <c r="ES78" s="976">
        <v>1.05082972754504E-2</v>
      </c>
      <c r="ET78" s="976">
        <v>1.9198193111236599E-2</v>
      </c>
      <c r="EU78" s="976">
        <v>1.06763619575254E-2</v>
      </c>
      <c r="EV78" s="976">
        <v>1.09404442414207E-2</v>
      </c>
      <c r="EW78" s="976">
        <v>1.4459518995063401E-2</v>
      </c>
      <c r="EX78" s="976">
        <v>1.61464539046581E-2</v>
      </c>
      <c r="EY78" s="976">
        <v>1.41036459075319E-2</v>
      </c>
      <c r="EZ78" s="976">
        <v>1.3248325048627701E-2</v>
      </c>
      <c r="FA78" s="976">
        <v>-1.16566772604143E-2</v>
      </c>
      <c r="FB78" s="976">
        <v>-1.285163963614E-2</v>
      </c>
      <c r="FC78" s="976">
        <v>2.3283268839771102E-3</v>
      </c>
      <c r="FD78" s="976">
        <v>5.1365941436283301E-3</v>
      </c>
      <c r="FE78" s="976">
        <v>7.4213918364689499E-3</v>
      </c>
      <c r="FF78" s="976">
        <v>9.8653742595584699E-3</v>
      </c>
      <c r="FG78" s="976">
        <v>6.5695454642407097E-3</v>
      </c>
      <c r="FH78" s="976">
        <v>5.1916679027779198E-3</v>
      </c>
      <c r="FI78" s="976">
        <v>8.2848469516822992E-3</v>
      </c>
      <c r="FJ78" s="976">
        <v>1.0234376633423199E-2</v>
      </c>
      <c r="FK78" s="976">
        <v>1.20450759026045E-2</v>
      </c>
      <c r="FL78" s="976">
        <v>5.2453451396201603E-3</v>
      </c>
      <c r="FM78" s="976">
        <v>-1.11886404784667E-3</v>
      </c>
      <c r="FN78" s="976">
        <v>1.2209278644454501E-2</v>
      </c>
      <c r="FO78" s="976">
        <v>-3.01801756485975E-5</v>
      </c>
      <c r="FP78" s="976">
        <v>5.9154929577465197E-3</v>
      </c>
      <c r="FQ78" s="976">
        <v>1.2221466575989E-2</v>
      </c>
      <c r="FR78" s="976">
        <v>1.09475348285744E-2</v>
      </c>
      <c r="FS78" s="976">
        <v>5.3069841083681598E-3</v>
      </c>
      <c r="FT78" s="976">
        <v>7.9233139868366605E-3</v>
      </c>
      <c r="FU78" s="976">
        <v>5.6618696708978797E-3</v>
      </c>
      <c r="FV78" s="976">
        <v>7.9126823513613297E-3</v>
      </c>
      <c r="FW78" s="976">
        <v>3.4352161997563998E-3</v>
      </c>
      <c r="FX78" s="976">
        <v>5.6046050697493603E-3</v>
      </c>
      <c r="FY78" s="976">
        <v>-3.4892493398719398E-4</v>
      </c>
      <c r="FZ78" s="976">
        <v>-8.4054224880428796E-3</v>
      </c>
      <c r="GA78" s="976">
        <v>6.5453991932416002E-3</v>
      </c>
      <c r="GB78" s="976">
        <v>1.0680529300566299E-3</v>
      </c>
      <c r="GC78" s="976">
        <v>-3.2479487881562599E-3</v>
      </c>
      <c r="GD78" s="976">
        <v>-6.6307344011973203E-3</v>
      </c>
      <c r="GE78" s="976">
        <v>7.3424939686657104E-3</v>
      </c>
      <c r="GF78" s="976">
        <v>3.4835619420858798E-3</v>
      </c>
      <c r="GG78" s="976">
        <v>5.2543699944342902E-3</v>
      </c>
      <c r="GH78" s="976">
        <v>8.3517885965240807E-3</v>
      </c>
      <c r="GI78" s="976">
        <v>2.3638021851211102E-3</v>
      </c>
      <c r="GJ78" s="976">
        <v>8.8479964348051592E-3</v>
      </c>
      <c r="GK78" s="976">
        <v>1.2120263940144101E-2</v>
      </c>
      <c r="GL78" s="976">
        <v>1.1020385895360999E-2</v>
      </c>
      <c r="GM78" s="976">
        <v>1.05674970770753E-2</v>
      </c>
      <c r="GN78" s="976">
        <v>9.1932541271748693E-3</v>
      </c>
      <c r="GO78" s="976">
        <v>6.6138732605514096E-3</v>
      </c>
      <c r="GP78" s="976">
        <v>-2.0499702141079101E-3</v>
      </c>
      <c r="GQ78" s="976">
        <v>8.5678669873763304E-3</v>
      </c>
      <c r="GR78" s="976">
        <v>3.23787971102796E-3</v>
      </c>
      <c r="GS78" s="976">
        <v>4.7630615467371103E-3</v>
      </c>
      <c r="GT78" s="976">
        <v>7.57268307846393E-3</v>
      </c>
      <c r="GU78" s="976">
        <v>-6.1617304264364198E-3</v>
      </c>
      <c r="GV78" s="976">
        <v>7.9331545499228308E-3</v>
      </c>
      <c r="GW78" s="976">
        <v>7.1691947060887901E-3</v>
      </c>
      <c r="GX78" s="976">
        <v>1.8330544395083598E-2</v>
      </c>
    </row>
    <row r="79" spans="1:206">
      <c r="A79" s="976" t="s">
        <v>745</v>
      </c>
      <c r="B79" s="976">
        <v>1.9914542957424099E-2</v>
      </c>
      <c r="C79" s="976">
        <v>1.9914542957424099E-2</v>
      </c>
      <c r="D79" s="976">
        <v>1.7655420064337499E-2</v>
      </c>
      <c r="E79" s="976">
        <v>1.6834521796662599E-2</v>
      </c>
      <c r="F79" s="976">
        <v>2.46529786003469E-2</v>
      </c>
      <c r="G79" s="976">
        <v>1.8697523460100299E-2</v>
      </c>
      <c r="H79" s="976">
        <v>1.5099044188945801E-2</v>
      </c>
      <c r="I79" s="976">
        <v>9.0747816593885807E-3</v>
      </c>
      <c r="J79" s="976">
        <v>2.5153830549733001E-2</v>
      </c>
      <c r="K79" s="976">
        <v>1.31257832596794E-2</v>
      </c>
      <c r="L79" s="976">
        <v>1.5559895833333399E-2</v>
      </c>
      <c r="M79" s="976">
        <v>1.2436694659913899E-2</v>
      </c>
      <c r="N79" s="976">
        <v>1.9755587918698098E-2</v>
      </c>
      <c r="O79" s="976">
        <v>1.6889164855634901E-2</v>
      </c>
      <c r="P79" s="976">
        <v>1.1601636441350699E-2</v>
      </c>
      <c r="Q79" s="976">
        <v>1.6780346471901901E-2</v>
      </c>
      <c r="R79" s="976">
        <v>2.4280201840308799E-2</v>
      </c>
      <c r="S79" s="976">
        <v>2.6892314825547499E-2</v>
      </c>
      <c r="T79" s="976">
        <v>2.8671407608082101E-2</v>
      </c>
      <c r="U79" s="976">
        <v>2.6171403489520399E-2</v>
      </c>
      <c r="V79" s="976">
        <v>1.9996791958509601E-2</v>
      </c>
      <c r="W79" s="976">
        <v>2.4060386853278701E-2</v>
      </c>
      <c r="X79" s="976">
        <v>1.5407452907452801E-2</v>
      </c>
      <c r="Y79" s="976">
        <v>1.4568735191813301E-2</v>
      </c>
      <c r="Z79" s="976">
        <v>1.3017986683891499E-2</v>
      </c>
      <c r="AA79" s="976">
        <v>1.3046890327643701E-2</v>
      </c>
      <c r="AB79" s="976">
        <v>8.7150188825408908E-3</v>
      </c>
      <c r="AC79" s="976">
        <v>1.3247576077565401E-2</v>
      </c>
      <c r="AD79" s="976">
        <v>2.0274751302700199E-2</v>
      </c>
      <c r="AE79" s="976">
        <v>1.9871854396879898E-2</v>
      </c>
      <c r="AF79" s="976">
        <v>1.7891286533734001E-2</v>
      </c>
      <c r="AG79" s="976">
        <v>1.8337134934478101E-2</v>
      </c>
      <c r="AH79" s="976">
        <v>1.45373094997585E-2</v>
      </c>
      <c r="AI79" s="976">
        <v>1.6060606060606102E-2</v>
      </c>
      <c r="AJ79" s="976">
        <v>1.42729325550679E-2</v>
      </c>
      <c r="AK79" s="976">
        <v>1.33999831975131E-2</v>
      </c>
      <c r="AL79" s="976">
        <v>2.45803108808289E-2</v>
      </c>
      <c r="AM79" s="976">
        <v>2.1805971356905901E-2</v>
      </c>
      <c r="AN79" s="976">
        <v>3.5158569901413403E-2</v>
      </c>
      <c r="AO79" s="976">
        <v>1.71734557276726E-2</v>
      </c>
      <c r="AP79" s="976">
        <v>2.5720087237722799E-2</v>
      </c>
      <c r="AQ79" s="976">
        <v>2.71280885695433E-2</v>
      </c>
      <c r="AR79" s="976">
        <v>2.7803554857591499E-2</v>
      </c>
      <c r="AS79" s="976">
        <v>2.6599993054831999E-2</v>
      </c>
      <c r="AT79" s="976">
        <v>3.3521631769441597E-2</v>
      </c>
      <c r="AU79" s="976">
        <v>2.0913791974864301E-2</v>
      </c>
      <c r="AV79" s="976">
        <v>1.1925752572692599E-2</v>
      </c>
      <c r="AW79" s="976">
        <v>1.5365119594487499E-2</v>
      </c>
      <c r="AX79" s="976">
        <v>1.75351014040563E-2</v>
      </c>
      <c r="AY79" s="976">
        <v>1.59143873420826E-2</v>
      </c>
      <c r="AZ79" s="976">
        <v>1.66309498656847E-2</v>
      </c>
      <c r="BA79" s="976">
        <v>1.5022860875245E-2</v>
      </c>
      <c r="BB79" s="976">
        <v>8.5702585702584991E-3</v>
      </c>
      <c r="BC79" s="976">
        <v>1.3659696644528801E-2</v>
      </c>
      <c r="BD79" s="976">
        <v>1.16731517509727E-2</v>
      </c>
      <c r="BE79" s="976">
        <v>9.3891402714931793E-3</v>
      </c>
      <c r="BF79" s="976">
        <v>1.7510926818334702E-2</v>
      </c>
      <c r="BG79" s="976">
        <v>1.09039843599417E-2</v>
      </c>
      <c r="BH79" s="976">
        <v>1.07591316427422E-2</v>
      </c>
      <c r="BI79" s="976">
        <v>1.17764363479576E-2</v>
      </c>
      <c r="BJ79" s="976">
        <v>1.32108136902382E-2</v>
      </c>
      <c r="BK79" s="976">
        <v>1.1435030624852301E-2</v>
      </c>
      <c r="BL79" s="976">
        <v>9.3045015074333399E-3</v>
      </c>
      <c r="BM79" s="976">
        <v>1.00427460472781E-2</v>
      </c>
      <c r="BN79" s="976">
        <v>3.6712217009995398E-3</v>
      </c>
      <c r="BO79" s="976">
        <v>2.99735826051606E-3</v>
      </c>
      <c r="BP79" s="976">
        <v>8.5599959479310001E-3</v>
      </c>
      <c r="BQ79" s="976">
        <v>1.31830052229811E-2</v>
      </c>
      <c r="BR79" s="976">
        <v>1.6208580138293401E-2</v>
      </c>
      <c r="BS79" s="976">
        <v>1.31453796063703E-2</v>
      </c>
      <c r="BT79" s="976">
        <v>1.2685956381493399E-2</v>
      </c>
      <c r="BU79" s="976">
        <v>6.1090113860562401E-3</v>
      </c>
      <c r="BV79" s="976">
        <v>4.4417143127155603E-3</v>
      </c>
      <c r="BW79" s="976">
        <v>1.0772921861034001E-2</v>
      </c>
      <c r="BX79" s="976">
        <v>8.8895094480125909E-3</v>
      </c>
      <c r="BY79" s="976">
        <v>1.2963048392305099E-2</v>
      </c>
      <c r="BZ79" s="976">
        <v>1.5165315602513999E-2</v>
      </c>
      <c r="CA79" s="976">
        <v>1.4871472791709601E-2</v>
      </c>
      <c r="CB79" s="976">
        <v>9.8353409216487293E-3</v>
      </c>
      <c r="CC79" s="976">
        <v>1.4685926898665E-2</v>
      </c>
      <c r="CD79" s="976">
        <v>1.58538426694852E-2</v>
      </c>
      <c r="CE79" s="976">
        <v>1.0659079327331599E-2</v>
      </c>
      <c r="CF79" s="976">
        <v>1.45594352703895E-2</v>
      </c>
      <c r="CG79" s="976">
        <v>1.8926922200824099E-2</v>
      </c>
      <c r="CH79" s="976">
        <v>4.7556142668427901E-3</v>
      </c>
      <c r="CI79" s="976">
        <v>6.2703533647525704E-3</v>
      </c>
      <c r="CJ79" s="976">
        <v>9.5278297051195598E-3</v>
      </c>
      <c r="CK79" s="976">
        <v>1.13892041494934E-2</v>
      </c>
      <c r="CL79" s="976">
        <v>9.4300620139777802E-3</v>
      </c>
      <c r="CM79" s="976">
        <v>1.36131372625503E-2</v>
      </c>
      <c r="CN79" s="976">
        <v>8.5430616485799894E-3</v>
      </c>
      <c r="CO79" s="976">
        <v>7.3260073260073E-3</v>
      </c>
      <c r="CP79" s="976">
        <v>5.4545454545455998E-3</v>
      </c>
      <c r="CQ79" s="976">
        <v>5.9147076552139603E-3</v>
      </c>
      <c r="CR79" s="976">
        <v>3.25830493239954E-3</v>
      </c>
      <c r="CS79" s="976">
        <v>5.1142302523519102E-3</v>
      </c>
      <c r="CT79" s="976">
        <v>8.3751160631384495E-3</v>
      </c>
      <c r="CU79" s="976">
        <v>5.8194140071083896E-3</v>
      </c>
      <c r="CV79" s="976">
        <v>8.7518538184081507E-3</v>
      </c>
      <c r="CW79" s="976">
        <v>8.5307196660313594E-3</v>
      </c>
      <c r="CX79" s="976">
        <v>4.6072167731485703E-3</v>
      </c>
      <c r="CY79" s="976">
        <v>7.7031941384067002E-3</v>
      </c>
      <c r="CZ79" s="976">
        <v>3.7865993493448901E-3</v>
      </c>
      <c r="DA79" s="976">
        <v>3.4003967129498901E-3</v>
      </c>
      <c r="DB79" s="976">
        <v>1.1031488280146801E-2</v>
      </c>
      <c r="DC79" s="976">
        <v>1.4140814580751999E-3</v>
      </c>
      <c r="DD79" s="976">
        <v>6.6245946794043498E-3</v>
      </c>
      <c r="DE79" s="976">
        <v>8.1050188770739294E-3</v>
      </c>
      <c r="DF79" s="976">
        <v>6.8544923552653599E-3</v>
      </c>
      <c r="DG79" s="976">
        <v>2.3887116313194802E-3</v>
      </c>
      <c r="DH79" s="976">
        <v>4.7830601371938704E-3</v>
      </c>
      <c r="DI79" s="976">
        <v>8.1653396578011996E-3</v>
      </c>
      <c r="DJ79" s="976">
        <v>1.5627100416721899E-3</v>
      </c>
      <c r="DK79" s="976">
        <v>5.3351228923748098E-3</v>
      </c>
      <c r="DL79" s="976">
        <v>7.8100228626736302E-3</v>
      </c>
      <c r="DM79" s="976">
        <v>9.0245235217167891E-3</v>
      </c>
      <c r="DN79" s="976">
        <v>9.6002363135092601E-3</v>
      </c>
      <c r="DO79" s="976">
        <v>1.49054794297883E-2</v>
      </c>
      <c r="DP79" s="976">
        <v>1.3805695249687701E-2</v>
      </c>
      <c r="DQ79" s="976">
        <v>1.2148499210110599E-2</v>
      </c>
      <c r="DR79" s="976">
        <v>1.4156612402253899E-2</v>
      </c>
      <c r="DS79" s="976">
        <v>1.03268899285891E-2</v>
      </c>
      <c r="DT79" s="976">
        <v>1.15923042941795E-2</v>
      </c>
      <c r="DU79" s="976">
        <v>1.3989278400192699E-2</v>
      </c>
      <c r="DV79" s="976">
        <v>1.3083445950963E-2</v>
      </c>
      <c r="DW79" s="976">
        <v>4.2071007651938198E-3</v>
      </c>
      <c r="DX79" s="976">
        <v>2.5399605868186002E-3</v>
      </c>
      <c r="DY79" s="976">
        <v>1.2230812912243901E-3</v>
      </c>
      <c r="DZ79" s="976">
        <v>6.3987900469728602E-3</v>
      </c>
      <c r="EA79" s="976">
        <v>9.9417655303961593E-3</v>
      </c>
      <c r="EB79" s="976">
        <v>8.0410925584124496E-3</v>
      </c>
      <c r="EC79" s="976">
        <v>9.9073140959220502E-3</v>
      </c>
      <c r="ED79" s="976">
        <v>1.54319686300965E-2</v>
      </c>
      <c r="EE79" s="976">
        <v>4.01389638611027E-4</v>
      </c>
      <c r="EF79" s="976">
        <v>7.8862171061733193E-3</v>
      </c>
      <c r="EG79" s="976">
        <v>8.9089611245332101E-3</v>
      </c>
      <c r="EH79" s="976">
        <v>1.42999033974176E-2</v>
      </c>
      <c r="EI79" s="976">
        <v>1.3347105220797399E-2</v>
      </c>
      <c r="EJ79" s="976">
        <v>1.3727281151132399E-2</v>
      </c>
      <c r="EK79" s="976">
        <v>1.5617654740141E-2</v>
      </c>
      <c r="EL79" s="976">
        <v>9.0387780292120502E-3</v>
      </c>
      <c r="EM79" s="976">
        <v>1.12769021011991E-2</v>
      </c>
      <c r="EN79" s="976">
        <v>1.45027972380425E-2</v>
      </c>
      <c r="EO79" s="976">
        <v>1.6866422405762901E-2</v>
      </c>
      <c r="EP79" s="976">
        <v>7.3406373285453998E-3</v>
      </c>
      <c r="EQ79" s="976">
        <v>1.3495162111695901E-2</v>
      </c>
      <c r="ER79" s="976">
        <v>9.0803593860289099E-3</v>
      </c>
      <c r="ES79" s="976">
        <v>7.4218101629002203E-3</v>
      </c>
      <c r="ET79" s="976">
        <v>1.7735253966012499E-2</v>
      </c>
      <c r="EU79" s="976">
        <v>1.0719365395067E-2</v>
      </c>
      <c r="EV79" s="976">
        <v>1.1246367526256599E-2</v>
      </c>
      <c r="EW79" s="976">
        <v>1.5092375748113399E-2</v>
      </c>
      <c r="EX79" s="976">
        <v>1.77769356798145E-2</v>
      </c>
      <c r="EY79" s="976">
        <v>1.5659563284346999E-2</v>
      </c>
      <c r="EZ79" s="976">
        <v>1.3337214818648401E-2</v>
      </c>
      <c r="FA79" s="976">
        <v>-1.8779592488163001E-2</v>
      </c>
      <c r="FB79" s="976">
        <v>-1.74582520060724E-2</v>
      </c>
      <c r="FC79" s="976">
        <v>5.0987749696502797E-3</v>
      </c>
      <c r="FD79" s="976">
        <v>8.6085734364018708E-3</v>
      </c>
      <c r="FE79" s="976">
        <v>9.3624804041108102E-3</v>
      </c>
      <c r="FF79" s="976">
        <v>1.148669053885E-2</v>
      </c>
      <c r="FG79" s="976">
        <v>7.0696622983332799E-3</v>
      </c>
      <c r="FH79" s="976">
        <v>5.6647325399177299E-3</v>
      </c>
      <c r="FI79" s="976">
        <v>9.1493909179924896E-3</v>
      </c>
      <c r="FJ79" s="976">
        <v>1.1184375260829601E-2</v>
      </c>
      <c r="FK79" s="976">
        <v>1.24742055303344E-2</v>
      </c>
      <c r="FL79" s="976">
        <v>3.8928349417601798E-3</v>
      </c>
      <c r="FM79" s="976">
        <v>-3.49199581772586E-3</v>
      </c>
      <c r="FN79" s="976">
        <v>1.3293673026577101E-2</v>
      </c>
      <c r="FO79" s="976">
        <v>-1.7894482869550399E-3</v>
      </c>
      <c r="FP79" s="976">
        <v>6.04266118798735E-3</v>
      </c>
      <c r="FQ79" s="976">
        <v>1.4465333253248299E-2</v>
      </c>
      <c r="FR79" s="976">
        <v>1.2423647361825101E-2</v>
      </c>
      <c r="FS79" s="976">
        <v>5.35098150061408E-3</v>
      </c>
      <c r="FT79" s="976">
        <v>8.4636489670082398E-3</v>
      </c>
      <c r="FU79" s="976">
        <v>5.2682176504519297E-3</v>
      </c>
      <c r="FV79" s="976">
        <v>8.3964501568356605E-3</v>
      </c>
      <c r="FW79" s="976">
        <v>3.1959486372172799E-3</v>
      </c>
      <c r="FX79" s="976">
        <v>5.7665220309501804E-3</v>
      </c>
      <c r="FY79" s="976">
        <v>-7.9892474128928604E-4</v>
      </c>
      <c r="FZ79" s="976">
        <v>-1.01215336569215E-2</v>
      </c>
      <c r="GA79" s="976">
        <v>7.0130758704576301E-3</v>
      </c>
      <c r="GB79" s="976">
        <v>6.7943757667277005E-4</v>
      </c>
      <c r="GC79" s="976">
        <v>-3.8286716583995099E-3</v>
      </c>
      <c r="GD79" s="976">
        <v>-7.4879775833995897E-3</v>
      </c>
      <c r="GE79" s="976">
        <v>7.0961896132386596E-3</v>
      </c>
      <c r="GF79" s="976">
        <v>4.0818645881672798E-3</v>
      </c>
      <c r="GG79" s="976">
        <v>5.4235049990567497E-3</v>
      </c>
      <c r="GH79" s="976">
        <v>8.6495614240817992E-3</v>
      </c>
      <c r="GI79" s="976">
        <v>1.7206581284821001E-3</v>
      </c>
      <c r="GJ79" s="976">
        <v>8.7742103210710597E-3</v>
      </c>
      <c r="GK79" s="976">
        <v>1.3668117849549501E-2</v>
      </c>
      <c r="GL79" s="976">
        <v>1.13590963570986E-2</v>
      </c>
      <c r="GM79" s="976">
        <v>9.8578777730893297E-3</v>
      </c>
      <c r="GN79" s="976">
        <v>9.4949369226804397E-3</v>
      </c>
      <c r="GO79" s="976">
        <v>5.7860483139438E-3</v>
      </c>
      <c r="GP79" s="976">
        <v>-3.4849307391905402E-3</v>
      </c>
      <c r="GQ79" s="976">
        <v>7.7235343736819003E-3</v>
      </c>
      <c r="GR79" s="976">
        <v>2.7902029000672602E-3</v>
      </c>
      <c r="GS79" s="976">
        <v>5.5909640282765204E-3</v>
      </c>
      <c r="GT79" s="976">
        <v>8.4565499351492192E-3</v>
      </c>
      <c r="GU79" s="976">
        <v>-7.0051788592789804E-3</v>
      </c>
      <c r="GV79" s="976">
        <v>7.5467788033951599E-3</v>
      </c>
      <c r="GW79" s="976">
        <v>8.2444187341990105E-3</v>
      </c>
      <c r="GX79" s="976">
        <v>1.9244009622004801E-2</v>
      </c>
    </row>
    <row r="80" spans="1:206">
      <c r="A80" s="976" t="s">
        <v>746</v>
      </c>
      <c r="B80" s="976">
        <v>2.51411589895989E-2</v>
      </c>
      <c r="C80" s="976">
        <v>2.51411589895989E-2</v>
      </c>
      <c r="D80" s="976">
        <v>1.9364564007421099E-2</v>
      </c>
      <c r="E80" s="976">
        <v>2.5366852462745899E-2</v>
      </c>
      <c r="F80" s="976">
        <v>1.6862658087419598E-2</v>
      </c>
      <c r="G80" s="976">
        <v>1.59829805804057E-2</v>
      </c>
      <c r="H80" s="976">
        <v>1.0899328859060401E-2</v>
      </c>
      <c r="I80" s="976">
        <v>1.7261525387720401E-2</v>
      </c>
      <c r="J80" s="976">
        <v>1.27917297551299E-2</v>
      </c>
      <c r="K80" s="976">
        <v>7.0110320651612899E-3</v>
      </c>
      <c r="L80" s="976">
        <v>1.38732466468721E-2</v>
      </c>
      <c r="M80" s="976">
        <v>1.8682150971976799E-2</v>
      </c>
      <c r="N80" s="976">
        <v>1.9281288723668001E-2</v>
      </c>
      <c r="O80" s="976">
        <v>2.1056214744213299E-2</v>
      </c>
      <c r="P80" s="976">
        <v>2.03838643615755E-2</v>
      </c>
      <c r="Q80" s="976">
        <v>2.68378063010501E-2</v>
      </c>
      <c r="R80" s="976">
        <v>4.6363636363636399E-2</v>
      </c>
      <c r="S80" s="976">
        <v>6.2858384013900995E-2</v>
      </c>
      <c r="T80" s="976">
        <v>6.3922834838762405E-2</v>
      </c>
      <c r="U80" s="976">
        <v>4.15658253620683E-2</v>
      </c>
      <c r="V80" s="976">
        <v>2.1244421495223698E-2</v>
      </c>
      <c r="W80" s="976">
        <v>4.9478132110223304E-3</v>
      </c>
      <c r="X80" s="976">
        <v>3.16250988284339E-3</v>
      </c>
      <c r="Y80" s="976">
        <v>6.0901339829475499E-3</v>
      </c>
      <c r="Z80" s="976">
        <v>4.91382993875522E-3</v>
      </c>
      <c r="AA80" s="976">
        <v>8.5748706682728902E-3</v>
      </c>
      <c r="AB80" s="976">
        <v>2.17818999437891E-3</v>
      </c>
      <c r="AC80" s="976">
        <v>6.8008132931360902E-3</v>
      </c>
      <c r="AD80" s="976">
        <v>1.2952646239554401E-2</v>
      </c>
      <c r="AE80" s="976">
        <v>9.8652550529356696E-3</v>
      </c>
      <c r="AF80" s="976">
        <v>1.3444977705163501E-2</v>
      </c>
      <c r="AG80" s="976">
        <v>1.0680459461274799E-2</v>
      </c>
      <c r="AH80" s="976">
        <v>1.23953210155523E-2</v>
      </c>
      <c r="AI80" s="976">
        <v>1.9661907106515601E-2</v>
      </c>
      <c r="AJ80" s="976">
        <v>1.9121813031161401E-2</v>
      </c>
      <c r="AK80" s="976">
        <v>1.78785772948384E-2</v>
      </c>
      <c r="AL80" s="976">
        <v>2.0636792452830299E-2</v>
      </c>
      <c r="AM80" s="976">
        <v>2.7151935297515601E-2</v>
      </c>
      <c r="AN80" s="976">
        <v>2.9187141081049101E-2</v>
      </c>
      <c r="AO80" s="976">
        <v>2.83594109526E-2</v>
      </c>
      <c r="AP80" s="976">
        <v>2.7325613917324101E-2</v>
      </c>
      <c r="AQ80" s="976">
        <v>2.8695107674715899E-2</v>
      </c>
      <c r="AR80" s="976">
        <v>3.2870186581977198E-2</v>
      </c>
      <c r="AS80" s="976">
        <v>2.9594895841340601E-2</v>
      </c>
      <c r="AT80" s="976">
        <v>2.8321138818376401E-2</v>
      </c>
      <c r="AU80" s="976">
        <v>2.39109390125847E-2</v>
      </c>
      <c r="AV80" s="976">
        <v>2.0492578235794499E-2</v>
      </c>
      <c r="AW80" s="976">
        <v>1.7811233352634799E-2</v>
      </c>
      <c r="AX80" s="976">
        <v>1.40178408884035E-2</v>
      </c>
      <c r="AY80" s="976">
        <v>1.6719030520646199E-2</v>
      </c>
      <c r="AZ80" s="976">
        <v>1.1808851120185501E-2</v>
      </c>
      <c r="BA80" s="976">
        <v>2.5305410122164998E-3</v>
      </c>
      <c r="BB80" s="976">
        <v>9.3567760466539696E-4</v>
      </c>
      <c r="BC80" s="976">
        <v>-1.3478553881607299E-3</v>
      </c>
      <c r="BD80" s="976">
        <v>5.6599255502098899E-4</v>
      </c>
      <c r="BE80" s="976">
        <v>-2.82836194330227E-4</v>
      </c>
      <c r="BF80" s="976">
        <v>1.0881392818280499E-3</v>
      </c>
      <c r="BG80" s="976">
        <v>3.5434782608694299E-3</v>
      </c>
      <c r="BH80" s="976">
        <v>3.22769317418703E-3</v>
      </c>
      <c r="BI80" s="976">
        <v>2.0297115218517198E-3</v>
      </c>
      <c r="BJ80" s="976">
        <v>5.5596259104426799E-3</v>
      </c>
      <c r="BK80" s="976">
        <v>3.0858906223212301E-3</v>
      </c>
      <c r="BL80" s="976">
        <v>4.1018629294138397E-3</v>
      </c>
      <c r="BM80" s="976">
        <v>5.9574468085106204E-3</v>
      </c>
      <c r="BN80" s="976">
        <v>6.2182741116749698E-3</v>
      </c>
      <c r="BO80" s="976">
        <v>1.02787236725943E-2</v>
      </c>
      <c r="BP80" s="976">
        <v>9.1130391361338194E-3</v>
      </c>
      <c r="BQ80" s="976">
        <v>1.08245190820808E-2</v>
      </c>
      <c r="BR80" s="976">
        <v>6.4047648186675897E-3</v>
      </c>
      <c r="BS80" s="976">
        <v>8.4110255370895004E-3</v>
      </c>
      <c r="BT80" s="976">
        <v>8.9036277761027592E-3</v>
      </c>
      <c r="BU80" s="976">
        <v>5.29901589704762E-3</v>
      </c>
      <c r="BV80" s="976">
        <v>8.0453392517438899E-3</v>
      </c>
      <c r="BW80" s="976">
        <v>5.5238844112444098E-3</v>
      </c>
      <c r="BX80" s="976">
        <v>6.45148677445206E-3</v>
      </c>
      <c r="BY80" s="976">
        <v>5.2835026514637101E-3</v>
      </c>
      <c r="BZ80" s="976">
        <v>4.8306378374200999E-3</v>
      </c>
      <c r="CA80" s="976">
        <v>8.1149164471279196E-3</v>
      </c>
      <c r="CB80" s="976">
        <v>7.4201239866476002E-3</v>
      </c>
      <c r="CC80" s="976">
        <v>5.5099026773204303E-3</v>
      </c>
      <c r="CD80" s="976">
        <v>7.1932962997835999E-3</v>
      </c>
      <c r="CE80" s="976">
        <v>8.8245741955990092E-3</v>
      </c>
      <c r="CF80" s="976">
        <v>9.7110769287791499E-3</v>
      </c>
      <c r="CG80" s="976">
        <v>2.66138061413668E-3</v>
      </c>
      <c r="CH80" s="976">
        <v>1.9770081276999601E-3</v>
      </c>
      <c r="CI80" s="976">
        <v>5.1520023384976597E-3</v>
      </c>
      <c r="CJ80" s="976">
        <v>2.6536769784435399E-3</v>
      </c>
      <c r="CK80" s="976">
        <v>-2.5016314988035599E-3</v>
      </c>
      <c r="CL80" s="976">
        <v>-2.61694471704299E-3</v>
      </c>
      <c r="CM80" s="976">
        <v>4.7374366823367299E-3</v>
      </c>
      <c r="CN80" s="976">
        <v>2.03111965470959E-3</v>
      </c>
      <c r="CO80" s="976">
        <v>4.5607557823867896E-3</v>
      </c>
      <c r="CP80" s="976">
        <v>7.4406370482469298E-3</v>
      </c>
      <c r="CQ80" s="976">
        <v>5.8298610490172802E-3</v>
      </c>
      <c r="CR80" s="976">
        <v>1.01342341541466E-3</v>
      </c>
      <c r="CS80" s="976">
        <v>4.6712372562254202E-3</v>
      </c>
      <c r="CT80" s="976">
        <v>7.3013347476356101E-3</v>
      </c>
      <c r="CU80" s="976">
        <v>4.3350064937344203E-3</v>
      </c>
      <c r="CV80" s="976">
        <v>8.7549148099605994E-3</v>
      </c>
      <c r="CW80" s="976">
        <v>8.3324671725046907E-3</v>
      </c>
      <c r="CX80" s="976">
        <v>9.9816173312487991E-3</v>
      </c>
      <c r="CY80" s="976">
        <v>7.1443151663605998E-3</v>
      </c>
      <c r="CZ80" s="976">
        <v>5.5229023104985701E-3</v>
      </c>
      <c r="DA80" s="976">
        <v>5.7613168724279804E-3</v>
      </c>
      <c r="DB80" s="976">
        <v>5.3609004976786804E-3</v>
      </c>
      <c r="DC80" s="976">
        <v>1.1129752985929999E-3</v>
      </c>
      <c r="DD80" s="976">
        <v>4.9613380678989998E-3</v>
      </c>
      <c r="DE80" s="976">
        <v>3.2361925204327201E-3</v>
      </c>
      <c r="DF80" s="976">
        <v>5.6450683826796402E-3</v>
      </c>
      <c r="DG80" s="976">
        <v>6.8244304791831301E-3</v>
      </c>
      <c r="DH80" s="976">
        <v>2.5357195104109801E-3</v>
      </c>
      <c r="DI80" s="976">
        <v>6.4367592457479396E-3</v>
      </c>
      <c r="DJ80" s="976">
        <v>3.3830589296646201E-4</v>
      </c>
      <c r="DK80" s="976">
        <v>6.2806989290598004E-4</v>
      </c>
      <c r="DL80" s="976">
        <v>6.1640969517495802E-3</v>
      </c>
      <c r="DM80" s="976">
        <v>5.6464641617479704E-3</v>
      </c>
      <c r="DN80" s="976">
        <v>4.0082710354700799E-3</v>
      </c>
      <c r="DO80" s="976">
        <v>7.4142137448116596E-3</v>
      </c>
      <c r="DP80" s="976">
        <v>4.2144991350840898E-3</v>
      </c>
      <c r="DQ80" s="976">
        <v>8.5189013122866104E-3</v>
      </c>
      <c r="DR80" s="976">
        <v>7.9190087264371396E-3</v>
      </c>
      <c r="DS80" s="976">
        <v>1.13846438254868E-2</v>
      </c>
      <c r="DT80" s="976">
        <v>6.5497859895509202E-3</v>
      </c>
      <c r="DU80" s="976">
        <v>5.8867147894250396E-3</v>
      </c>
      <c r="DV80" s="976">
        <v>6.16819617872721E-3</v>
      </c>
      <c r="DW80" s="976">
        <v>2.5717703349283898E-3</v>
      </c>
      <c r="DX80" s="976">
        <v>3.1318976316887502E-3</v>
      </c>
      <c r="DY80" s="976">
        <v>5.3670720466236803E-3</v>
      </c>
      <c r="DZ80" s="976">
        <v>4.4067846738535801E-3</v>
      </c>
      <c r="EA80" s="976">
        <v>5.4327822028532599E-3</v>
      </c>
      <c r="EB80" s="976">
        <v>3.07512080831729E-3</v>
      </c>
      <c r="EC80" s="976">
        <v>1.7226277372262E-3</v>
      </c>
      <c r="ED80" s="976">
        <v>8.2922848232243104E-3</v>
      </c>
      <c r="EE80" s="976">
        <v>1.0406579270672001E-3</v>
      </c>
      <c r="EF80" s="976">
        <v>1.2705929915244299E-3</v>
      </c>
      <c r="EG80" s="976">
        <v>2.7686850188184402E-3</v>
      </c>
      <c r="EH80" s="976">
        <v>6.5143300881520504E-3</v>
      </c>
      <c r="EI80" s="976">
        <v>1.8373528403245999E-2</v>
      </c>
      <c r="EJ80" s="976">
        <v>2.6922753163668899E-2</v>
      </c>
      <c r="EK80" s="976">
        <v>2.4017377761383699E-2</v>
      </c>
      <c r="EL80" s="976">
        <v>8.4450670402240694E-3</v>
      </c>
      <c r="EM80" s="976">
        <v>1.8812509922210102E-2</v>
      </c>
      <c r="EN80" s="976">
        <v>2.2269835086352399E-2</v>
      </c>
      <c r="EO80" s="976">
        <v>1.39472848523341E-2</v>
      </c>
      <c r="EP80" s="976">
        <v>6.2137479172670301E-3</v>
      </c>
      <c r="EQ80" s="976">
        <v>2.20371269562618E-2</v>
      </c>
      <c r="ER80" s="976">
        <v>1.39239118517707E-2</v>
      </c>
      <c r="ES80" s="976">
        <v>2.34645328719723E-2</v>
      </c>
      <c r="ET80" s="976">
        <v>2.5227446146622E-2</v>
      </c>
      <c r="EU80" s="976">
        <v>1.0454118670849799E-2</v>
      </c>
      <c r="EV80" s="976">
        <v>9.6320554806394992E-3</v>
      </c>
      <c r="EW80" s="976">
        <v>1.1762461137861099E-2</v>
      </c>
      <c r="EX80" s="976">
        <v>9.4736258250596207E-3</v>
      </c>
      <c r="EY80" s="976">
        <v>7.6923922240903497E-3</v>
      </c>
      <c r="EZ80" s="976">
        <v>1.29227145334192E-2</v>
      </c>
      <c r="FA80" s="976">
        <v>1.8323930924594199E-2</v>
      </c>
      <c r="FB80" s="976">
        <v>6.2377095976149403E-3</v>
      </c>
      <c r="FC80" s="976">
        <v>-8.7837269899974108E-3</v>
      </c>
      <c r="FD80" s="976">
        <v>-9.0099639601441996E-3</v>
      </c>
      <c r="FE80" s="976">
        <v>-7.7013584340557305E-4</v>
      </c>
      <c r="FF80" s="976">
        <v>2.8367124108843499E-3</v>
      </c>
      <c r="FG80" s="976">
        <v>4.3444381584705196E-3</v>
      </c>
      <c r="FH80" s="976">
        <v>3.1459241152087501E-3</v>
      </c>
      <c r="FI80" s="976">
        <v>4.4921916385904899E-3</v>
      </c>
      <c r="FJ80" s="976">
        <v>6.0436662799281402E-3</v>
      </c>
      <c r="FK80" s="976">
        <v>1.01066227734501E-2</v>
      </c>
      <c r="FL80" s="976">
        <v>1.13028947450362E-2</v>
      </c>
      <c r="FM80" s="976">
        <v>9.4010427357444897E-3</v>
      </c>
      <c r="FN80" s="976">
        <v>7.4934927606962196E-3</v>
      </c>
      <c r="FO80" s="976">
        <v>7.9726306653615797E-3</v>
      </c>
      <c r="FP80" s="976">
        <v>5.3865176864005297E-3</v>
      </c>
      <c r="FQ80" s="976">
        <v>1.9717776870449301E-3</v>
      </c>
      <c r="FR80" s="976">
        <v>4.05506137255873E-3</v>
      </c>
      <c r="FS80" s="976">
        <v>5.0978490046820202E-3</v>
      </c>
      <c r="FT80" s="976">
        <v>5.3871456991470001E-3</v>
      </c>
      <c r="FU80" s="976">
        <v>7.55252975461618E-3</v>
      </c>
      <c r="FV80" s="976">
        <v>5.6292292136579398E-3</v>
      </c>
      <c r="FW80" s="976">
        <v>4.5632522840430801E-3</v>
      </c>
      <c r="FX80" s="976">
        <v>4.8312433233566E-3</v>
      </c>
      <c r="FY80" s="976">
        <v>1.76230018484991E-3</v>
      </c>
      <c r="FZ80" s="976">
        <v>-2.9638694750133698E-4</v>
      </c>
      <c r="GA80" s="976">
        <v>4.3897400585299904E-3</v>
      </c>
      <c r="GB80" s="976">
        <v>2.8375277325487498E-3</v>
      </c>
      <c r="GC80" s="976">
        <v>-5.5070784948596497E-4</v>
      </c>
      <c r="GD80" s="976">
        <v>-2.6695547258718299E-3</v>
      </c>
      <c r="GE80" s="976">
        <v>8.5159077919603199E-3</v>
      </c>
      <c r="GF80" s="976">
        <v>6.9894402780668096E-4</v>
      </c>
      <c r="GG80" s="976">
        <v>4.5116472231660999E-3</v>
      </c>
      <c r="GH80" s="976">
        <v>6.9907729314264699E-3</v>
      </c>
      <c r="GI80" s="976">
        <v>5.2813287300550503E-3</v>
      </c>
      <c r="GJ80" s="976">
        <v>9.2076928788891194E-3</v>
      </c>
      <c r="GK80" s="976">
        <v>5.1412699580606304E-3</v>
      </c>
      <c r="GL80" s="976">
        <v>9.4613265987719703E-3</v>
      </c>
      <c r="GM80" s="976">
        <v>1.3796104096228201E-2</v>
      </c>
      <c r="GN80" s="976">
        <v>7.8413490339135396E-3</v>
      </c>
      <c r="GO80" s="976">
        <v>1.03087295954578E-2</v>
      </c>
      <c r="GP80" s="976">
        <v>4.4519766073654E-3</v>
      </c>
      <c r="GQ80" s="976">
        <v>1.22739074561367E-2</v>
      </c>
      <c r="GR80" s="976">
        <v>5.1643881754510597E-3</v>
      </c>
      <c r="GS80" s="976">
        <v>1.11692484814108E-3</v>
      </c>
      <c r="GT80" s="976">
        <v>3.7761433561331898E-3</v>
      </c>
      <c r="GU80" s="976">
        <v>-2.6162567009515602E-3</v>
      </c>
      <c r="GV80" s="976">
        <v>9.6009600960096399E-3</v>
      </c>
      <c r="GW80" s="976">
        <v>2.7000636807472701E-3</v>
      </c>
      <c r="GX80" s="976">
        <v>1.4530920545671599E-2</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D31" sqref="D31:H31"/>
    </sheetView>
  </sheetViews>
  <sheetFormatPr baseColWidth="10" defaultColWidth="8.83203125" defaultRowHeight="15"/>
  <cols>
    <col min="3" max="3" width="33.83203125" customWidth="1"/>
  </cols>
  <sheetData>
    <row r="3" spans="1:17">
      <c r="A3" s="402" t="s">
        <v>492</v>
      </c>
      <c r="B3" s="382"/>
      <c r="C3" s="378"/>
      <c r="D3" s="378"/>
      <c r="E3" s="378"/>
      <c r="F3" s="378"/>
      <c r="G3" s="378"/>
      <c r="H3" s="378"/>
      <c r="I3" s="378"/>
      <c r="J3" s="378"/>
      <c r="K3" s="378"/>
      <c r="L3" s="378"/>
      <c r="M3" s="378"/>
      <c r="N3" s="378"/>
      <c r="O3" s="378"/>
      <c r="P3" s="378"/>
    </row>
    <row r="4" spans="1:17">
      <c r="A4" s="403" t="s">
        <v>493</v>
      </c>
      <c r="B4" s="404"/>
      <c r="C4" s="404"/>
      <c r="D4" s="389"/>
      <c r="E4" s="389"/>
      <c r="F4" s="389"/>
      <c r="G4" s="389"/>
      <c r="H4" s="389"/>
      <c r="I4" s="389"/>
      <c r="J4" s="389"/>
      <c r="K4" s="389"/>
      <c r="L4" s="389"/>
      <c r="M4" s="389"/>
      <c r="N4" s="389"/>
      <c r="O4" s="389"/>
      <c r="P4" s="389"/>
    </row>
    <row r="7" spans="1:17">
      <c r="A7" s="1398" t="s">
        <v>494</v>
      </c>
      <c r="B7" s="1399"/>
      <c r="C7" s="1399"/>
      <c r="D7" s="1399"/>
      <c r="E7" s="1399"/>
      <c r="F7" s="1399"/>
      <c r="G7" s="1399"/>
      <c r="H7" s="1399"/>
      <c r="I7" s="1399"/>
      <c r="J7" s="1399"/>
      <c r="K7" s="1399"/>
      <c r="L7" s="1399"/>
      <c r="M7" s="1399"/>
      <c r="N7" s="1399"/>
      <c r="O7" s="1399"/>
      <c r="P7" s="1399"/>
    </row>
    <row r="8" spans="1:17">
      <c r="A8" s="390" t="s">
        <v>495</v>
      </c>
      <c r="B8" s="391"/>
      <c r="C8" s="392"/>
      <c r="D8" s="393"/>
      <c r="E8" s="392"/>
      <c r="F8" s="392"/>
      <c r="G8" s="392"/>
      <c r="H8" s="392"/>
      <c r="I8" s="392"/>
      <c r="J8" s="392"/>
      <c r="K8" s="392"/>
      <c r="L8" s="392"/>
      <c r="M8" s="392"/>
      <c r="N8" s="392"/>
      <c r="O8" s="392"/>
      <c r="P8" s="392"/>
    </row>
    <row r="9" spans="1:17">
      <c r="A9" s="384"/>
      <c r="B9" s="384"/>
      <c r="C9" s="384"/>
      <c r="D9" s="394"/>
      <c r="E9" s="384"/>
      <c r="F9" s="384"/>
      <c r="G9" s="384"/>
      <c r="H9" s="384"/>
      <c r="I9" s="384"/>
      <c r="J9" s="384"/>
      <c r="K9" s="384"/>
      <c r="L9" s="384"/>
      <c r="M9" s="384"/>
      <c r="N9" s="384"/>
      <c r="O9" s="384"/>
      <c r="P9" s="384"/>
    </row>
    <row r="10" spans="1:17">
      <c r="A10" s="395"/>
      <c r="B10" s="395"/>
      <c r="C10" s="384"/>
      <c r="D10" s="394"/>
      <c r="E10" s="384"/>
      <c r="F10" s="384"/>
      <c r="G10" s="384"/>
      <c r="H10" s="384"/>
      <c r="I10" s="384"/>
      <c r="J10" s="384"/>
      <c r="K10" s="384"/>
      <c r="L10" s="384"/>
      <c r="M10" s="384"/>
      <c r="N10" s="384"/>
      <c r="O10" s="1400" t="s">
        <v>5</v>
      </c>
      <c r="P10" s="1401"/>
    </row>
    <row r="11" spans="1:17">
      <c r="A11" s="395"/>
      <c r="B11" s="395"/>
      <c r="C11" s="385"/>
      <c r="D11" s="386"/>
      <c r="E11" s="385"/>
      <c r="F11" s="385"/>
      <c r="G11" s="385"/>
      <c r="H11" s="385"/>
      <c r="I11" s="385"/>
      <c r="J11" s="385"/>
      <c r="K11" s="385"/>
      <c r="L11" s="385"/>
      <c r="M11" s="385"/>
      <c r="N11" s="385"/>
      <c r="O11" s="379" t="s">
        <v>496</v>
      </c>
      <c r="P11" s="379" t="s">
        <v>496</v>
      </c>
    </row>
    <row r="12" spans="1:17">
      <c r="A12" s="392"/>
      <c r="B12" s="392"/>
      <c r="C12" s="392"/>
      <c r="D12" s="393">
        <v>2020</v>
      </c>
      <c r="E12" s="393">
        <v>2021</v>
      </c>
      <c r="F12" s="393">
        <v>2022</v>
      </c>
      <c r="G12" s="393">
        <v>2023</v>
      </c>
      <c r="H12" s="393">
        <v>2024</v>
      </c>
      <c r="I12" s="393">
        <v>2025</v>
      </c>
      <c r="J12" s="393">
        <v>2026</v>
      </c>
      <c r="K12" s="393">
        <v>2027</v>
      </c>
      <c r="L12" s="393">
        <v>2028</v>
      </c>
      <c r="M12" s="393">
        <v>2029</v>
      </c>
      <c r="N12" s="393">
        <v>2030</v>
      </c>
      <c r="O12" s="380">
        <v>2025</v>
      </c>
      <c r="P12" s="380">
        <v>2030</v>
      </c>
    </row>
    <row r="13" spans="1:17">
      <c r="A13" s="381" t="s">
        <v>459</v>
      </c>
      <c r="B13" s="381"/>
      <c r="C13" s="381"/>
      <c r="D13" s="396">
        <v>540.56299999999999</v>
      </c>
      <c r="E13" s="396">
        <v>0</v>
      </c>
      <c r="F13" s="396">
        <v>0</v>
      </c>
      <c r="G13" s="396">
        <v>0</v>
      </c>
      <c r="H13" s="396">
        <v>0</v>
      </c>
      <c r="I13" s="396">
        <v>0</v>
      </c>
      <c r="J13" s="396">
        <v>0</v>
      </c>
      <c r="K13" s="396">
        <v>0</v>
      </c>
      <c r="L13" s="396">
        <v>0</v>
      </c>
      <c r="M13" s="396">
        <v>0</v>
      </c>
      <c r="N13" s="396">
        <v>0</v>
      </c>
      <c r="O13" s="396">
        <v>0</v>
      </c>
      <c r="P13" s="396">
        <v>0</v>
      </c>
      <c r="Q13" t="s">
        <v>508</v>
      </c>
    </row>
    <row r="14" spans="1:17">
      <c r="A14" s="395" t="s">
        <v>462</v>
      </c>
      <c r="B14" s="395"/>
      <c r="C14" s="395"/>
      <c r="D14" s="386"/>
      <c r="E14" s="381"/>
      <c r="F14" s="381"/>
      <c r="G14" s="381"/>
      <c r="H14" s="381"/>
      <c r="I14" s="381"/>
      <c r="J14" s="381"/>
      <c r="K14" s="381"/>
      <c r="L14" s="381"/>
      <c r="M14" s="381"/>
      <c r="N14" s="381"/>
      <c r="O14" s="381"/>
      <c r="P14" s="381"/>
      <c r="Q14" t="s">
        <v>509</v>
      </c>
    </row>
    <row r="15" spans="1:17">
      <c r="A15" s="395"/>
      <c r="B15" s="383" t="s">
        <v>497</v>
      </c>
      <c r="C15" s="395"/>
      <c r="D15" s="386">
        <v>285.56</v>
      </c>
      <c r="E15" s="386">
        <v>5</v>
      </c>
      <c r="F15" s="386">
        <v>0</v>
      </c>
      <c r="G15" s="386">
        <v>0</v>
      </c>
      <c r="H15" s="386">
        <v>0</v>
      </c>
      <c r="I15" s="386">
        <v>0</v>
      </c>
      <c r="J15" s="386">
        <v>0</v>
      </c>
      <c r="K15" s="386">
        <v>0</v>
      </c>
      <c r="L15" s="386">
        <v>0</v>
      </c>
      <c r="M15" s="386">
        <v>0</v>
      </c>
      <c r="N15" s="386">
        <v>0</v>
      </c>
      <c r="O15" s="386">
        <v>5</v>
      </c>
      <c r="P15" s="386">
        <v>5</v>
      </c>
    </row>
    <row r="16" spans="1:17">
      <c r="A16" s="381"/>
      <c r="B16" s="395" t="s">
        <v>498</v>
      </c>
      <c r="C16" s="381"/>
      <c r="D16" s="386">
        <v>67.209999999999994</v>
      </c>
      <c r="E16" s="386">
        <v>13.68</v>
      </c>
      <c r="F16" s="386">
        <v>0</v>
      </c>
      <c r="G16" s="386">
        <v>0</v>
      </c>
      <c r="H16" s="386">
        <v>0</v>
      </c>
      <c r="I16" s="386">
        <v>0</v>
      </c>
      <c r="J16" s="386">
        <v>0</v>
      </c>
      <c r="K16" s="386">
        <v>0</v>
      </c>
      <c r="L16" s="386">
        <v>0</v>
      </c>
      <c r="M16" s="386">
        <v>0</v>
      </c>
      <c r="N16" s="386">
        <v>0</v>
      </c>
      <c r="O16" s="386">
        <v>13.68</v>
      </c>
      <c r="P16" s="386">
        <v>13.68</v>
      </c>
    </row>
    <row r="17" spans="1:17">
      <c r="A17" s="381"/>
      <c r="B17" s="395" t="s">
        <v>499</v>
      </c>
      <c r="C17" s="381"/>
      <c r="D17" s="386">
        <v>11.12</v>
      </c>
      <c r="E17" s="386">
        <v>47.8</v>
      </c>
      <c r="F17" s="386">
        <v>0</v>
      </c>
      <c r="G17" s="386">
        <v>0</v>
      </c>
      <c r="H17" s="386">
        <v>0</v>
      </c>
      <c r="I17" s="386">
        <v>0</v>
      </c>
      <c r="J17" s="386">
        <v>0</v>
      </c>
      <c r="K17" s="386">
        <v>0</v>
      </c>
      <c r="L17" s="386">
        <v>0</v>
      </c>
      <c r="M17" s="386">
        <v>0</v>
      </c>
      <c r="N17" s="386">
        <v>0</v>
      </c>
      <c r="O17" s="386">
        <v>47.8</v>
      </c>
      <c r="P17" s="386">
        <v>47.8</v>
      </c>
    </row>
    <row r="18" spans="1:17">
      <c r="A18" s="381"/>
      <c r="B18" s="395" t="s">
        <v>461</v>
      </c>
      <c r="C18" s="381"/>
      <c r="D18" s="386">
        <v>6.2149999999999999</v>
      </c>
      <c r="E18" s="386">
        <v>5.0049999999999999</v>
      </c>
      <c r="F18" s="386">
        <v>0</v>
      </c>
      <c r="G18" s="386">
        <v>0</v>
      </c>
      <c r="H18" s="386">
        <v>0</v>
      </c>
      <c r="I18" s="386">
        <v>0</v>
      </c>
      <c r="J18" s="386">
        <v>0</v>
      </c>
      <c r="K18" s="386">
        <v>0</v>
      </c>
      <c r="L18" s="386">
        <v>0</v>
      </c>
      <c r="M18" s="386">
        <v>0</v>
      </c>
      <c r="N18" s="386">
        <v>0</v>
      </c>
      <c r="O18" s="386">
        <v>5.0049999999999999</v>
      </c>
      <c r="P18" s="386">
        <v>5.0049999999999999</v>
      </c>
    </row>
    <row r="19" spans="1:17">
      <c r="A19" s="381"/>
      <c r="B19" s="395"/>
      <c r="C19" s="381"/>
      <c r="D19" s="386" t="s">
        <v>500</v>
      </c>
      <c r="E19" s="386" t="s">
        <v>500</v>
      </c>
      <c r="F19" s="386" t="s">
        <v>500</v>
      </c>
      <c r="G19" s="386" t="s">
        <v>500</v>
      </c>
      <c r="H19" s="386" t="s">
        <v>500</v>
      </c>
      <c r="I19" s="386" t="s">
        <v>500</v>
      </c>
      <c r="J19" s="386" t="s">
        <v>500</v>
      </c>
      <c r="K19" s="386" t="s">
        <v>500</v>
      </c>
      <c r="L19" s="386" t="s">
        <v>500</v>
      </c>
      <c r="M19" s="386" t="s">
        <v>500</v>
      </c>
      <c r="N19" s="386" t="s">
        <v>500</v>
      </c>
      <c r="O19" s="386" t="s">
        <v>500</v>
      </c>
      <c r="P19" s="386" t="s">
        <v>500</v>
      </c>
    </row>
    <row r="20" spans="1:17">
      <c r="A20" s="381"/>
      <c r="B20" s="395"/>
      <c r="C20" s="381" t="s">
        <v>501</v>
      </c>
      <c r="D20" s="386">
        <v>370.10500000000002</v>
      </c>
      <c r="E20" s="386">
        <v>71.484999999999999</v>
      </c>
      <c r="F20" s="386">
        <v>0</v>
      </c>
      <c r="G20" s="386">
        <v>0</v>
      </c>
      <c r="H20" s="386">
        <v>0</v>
      </c>
      <c r="I20" s="386">
        <v>0</v>
      </c>
      <c r="J20" s="386">
        <v>0</v>
      </c>
      <c r="K20" s="386">
        <v>0</v>
      </c>
      <c r="L20" s="386">
        <v>0</v>
      </c>
      <c r="M20" s="386">
        <v>0</v>
      </c>
      <c r="N20" s="386">
        <v>0</v>
      </c>
      <c r="O20" s="386">
        <v>71.484999999999999</v>
      </c>
      <c r="P20" s="386">
        <v>71.484999999999999</v>
      </c>
    </row>
    <row r="21" spans="1:17">
      <c r="A21" s="381"/>
      <c r="B21" s="395"/>
      <c r="C21" s="381"/>
      <c r="D21" s="386"/>
      <c r="E21" s="386"/>
      <c r="F21" s="386"/>
      <c r="G21" s="386"/>
      <c r="H21" s="386"/>
      <c r="I21" s="386"/>
      <c r="J21" s="386"/>
      <c r="K21" s="386"/>
      <c r="L21" s="386"/>
      <c r="M21" s="386"/>
      <c r="N21" s="386"/>
      <c r="O21" s="386"/>
      <c r="P21" s="386"/>
    </row>
    <row r="22" spans="1:17" ht="16">
      <c r="A22" s="381" t="s">
        <v>463</v>
      </c>
      <c r="B22" s="395"/>
      <c r="C22" s="381"/>
      <c r="D22" s="386">
        <v>271.98399999999998</v>
      </c>
      <c r="E22" s="386">
        <v>9.327</v>
      </c>
      <c r="F22" s="386">
        <v>0</v>
      </c>
      <c r="G22" s="386">
        <v>0</v>
      </c>
      <c r="H22" s="386">
        <v>0</v>
      </c>
      <c r="I22" s="386">
        <v>0</v>
      </c>
      <c r="J22" s="386">
        <v>0</v>
      </c>
      <c r="K22" s="386">
        <v>0</v>
      </c>
      <c r="L22" s="386">
        <v>0</v>
      </c>
      <c r="M22" s="386">
        <v>0</v>
      </c>
      <c r="N22" s="386">
        <v>0</v>
      </c>
      <c r="O22" s="386">
        <v>9.327</v>
      </c>
      <c r="P22" s="386">
        <v>9.327</v>
      </c>
      <c r="Q22" t="s">
        <v>510</v>
      </c>
    </row>
    <row r="23" spans="1:17">
      <c r="A23" s="381" t="s">
        <v>308</v>
      </c>
      <c r="B23" s="395"/>
      <c r="C23" s="395"/>
      <c r="D23" s="386">
        <v>149.97300000000001</v>
      </c>
      <c r="E23" s="386">
        <v>2.5999999999999999E-2</v>
      </c>
      <c r="F23" s="386">
        <v>0</v>
      </c>
      <c r="G23" s="386">
        <v>0</v>
      </c>
      <c r="H23" s="386">
        <v>0</v>
      </c>
      <c r="I23" s="386">
        <v>0</v>
      </c>
      <c r="J23" s="386">
        <v>0</v>
      </c>
      <c r="K23" s="386">
        <v>0</v>
      </c>
      <c r="L23" s="386">
        <v>0</v>
      </c>
      <c r="M23" s="386">
        <v>0</v>
      </c>
      <c r="N23" s="386">
        <v>0</v>
      </c>
      <c r="O23" s="386">
        <v>2.5999999999999999E-2</v>
      </c>
      <c r="P23" s="386">
        <v>2.5999999999999999E-2</v>
      </c>
      <c r="Q23" t="s">
        <v>103</v>
      </c>
    </row>
    <row r="24" spans="1:17">
      <c r="A24" s="381" t="s">
        <v>464</v>
      </c>
      <c r="B24" s="395"/>
      <c r="C24" s="395"/>
      <c r="D24" s="386">
        <v>135.41999999999999</v>
      </c>
      <c r="E24" s="386">
        <v>72.537999999999997</v>
      </c>
      <c r="F24" s="386">
        <v>10.331</v>
      </c>
      <c r="G24" s="386">
        <v>4.2670000000000003</v>
      </c>
      <c r="H24" s="386">
        <v>1.347</v>
      </c>
      <c r="I24" s="386">
        <v>0.67400000000000004</v>
      </c>
      <c r="J24" s="386">
        <v>0</v>
      </c>
      <c r="K24" s="386">
        <v>0</v>
      </c>
      <c r="L24" s="386">
        <v>0</v>
      </c>
      <c r="M24" s="386">
        <v>0</v>
      </c>
      <c r="N24" s="386">
        <v>0</v>
      </c>
      <c r="O24" s="386">
        <v>89.156999999999996</v>
      </c>
      <c r="P24" s="386">
        <v>89.156999999999996</v>
      </c>
      <c r="Q24" t="s">
        <v>512</v>
      </c>
    </row>
    <row r="25" spans="1:17">
      <c r="A25" s="381" t="s">
        <v>465</v>
      </c>
      <c r="B25" s="395"/>
      <c r="C25" s="395"/>
      <c r="D25" s="386"/>
      <c r="E25" s="386"/>
      <c r="F25" s="386"/>
      <c r="G25" s="386"/>
      <c r="H25" s="386"/>
      <c r="I25" s="386"/>
      <c r="J25" s="386"/>
      <c r="K25" s="386"/>
      <c r="L25" s="386"/>
      <c r="M25" s="386"/>
      <c r="N25" s="386"/>
      <c r="O25" s="386"/>
      <c r="P25" s="386"/>
    </row>
    <row r="26" spans="1:17">
      <c r="A26" s="381" t="s">
        <v>502</v>
      </c>
      <c r="B26" s="395"/>
      <c r="C26" s="395"/>
      <c r="D26" s="386">
        <v>40.831000000000003</v>
      </c>
      <c r="E26" s="386">
        <v>79.391999999999996</v>
      </c>
      <c r="F26" s="386">
        <v>47.442999999999998</v>
      </c>
      <c r="G26" s="386">
        <v>4.7220000000000004</v>
      </c>
      <c r="H26" s="386">
        <v>0</v>
      </c>
      <c r="I26" s="386">
        <v>0</v>
      </c>
      <c r="J26" s="386">
        <v>0</v>
      </c>
      <c r="K26" s="386">
        <v>0</v>
      </c>
      <c r="L26" s="386">
        <v>0</v>
      </c>
      <c r="M26" s="386">
        <v>0</v>
      </c>
      <c r="N26" s="386">
        <v>0</v>
      </c>
      <c r="O26" s="386">
        <v>131.55699999999999</v>
      </c>
      <c r="P26" s="386">
        <v>131.55699999999999</v>
      </c>
      <c r="Q26" t="s">
        <v>188</v>
      </c>
    </row>
    <row r="27" spans="1:17">
      <c r="A27" s="381" t="s">
        <v>466</v>
      </c>
      <c r="B27" s="395"/>
      <c r="C27" s="395"/>
      <c r="D27" s="386">
        <v>58.054000000000002</v>
      </c>
      <c r="E27" s="386">
        <v>14.755000000000001</v>
      </c>
      <c r="F27" s="386">
        <v>3.4750000000000001</v>
      </c>
      <c r="G27" s="386">
        <v>3.9249999999999998</v>
      </c>
      <c r="H27" s="386">
        <v>4.375</v>
      </c>
      <c r="I27" s="386">
        <v>4.375</v>
      </c>
      <c r="J27" s="386">
        <v>4.5</v>
      </c>
      <c r="K27" s="386">
        <v>4.5</v>
      </c>
      <c r="L27" s="386">
        <v>4.5</v>
      </c>
      <c r="M27" s="386">
        <v>4.5</v>
      </c>
      <c r="N27" s="386">
        <v>4.5</v>
      </c>
      <c r="O27" s="386">
        <v>30.905000000000001</v>
      </c>
      <c r="P27" s="386">
        <v>53.405000000000001</v>
      </c>
    </row>
    <row r="28" spans="1:17">
      <c r="A28" s="381" t="s">
        <v>467</v>
      </c>
      <c r="B28" s="395"/>
      <c r="C28" s="395"/>
      <c r="D28" s="386">
        <v>47.372999999999998</v>
      </c>
      <c r="E28" s="386">
        <v>-46.081000000000003</v>
      </c>
      <c r="F28" s="386">
        <v>0</v>
      </c>
      <c r="G28" s="386">
        <v>0</v>
      </c>
      <c r="H28" s="386">
        <v>0</v>
      </c>
      <c r="I28" s="386">
        <v>0</v>
      </c>
      <c r="J28" s="386">
        <v>0</v>
      </c>
      <c r="K28" s="386">
        <v>0</v>
      </c>
      <c r="L28" s="386">
        <v>0</v>
      </c>
      <c r="M28" s="386">
        <v>0</v>
      </c>
      <c r="N28" s="386">
        <v>0</v>
      </c>
      <c r="O28" s="386">
        <v>-46.081000000000003</v>
      </c>
      <c r="P28" s="386">
        <v>-46.081000000000003</v>
      </c>
      <c r="Q28" t="s">
        <v>406</v>
      </c>
    </row>
    <row r="29" spans="1:17">
      <c r="A29" s="381" t="s">
        <v>468</v>
      </c>
      <c r="B29" s="395"/>
      <c r="C29" s="395"/>
      <c r="D29" s="386">
        <v>24.475000000000001</v>
      </c>
      <c r="E29" s="386">
        <v>32.784999999999997</v>
      </c>
      <c r="F29" s="386">
        <v>8.4600000000000009</v>
      </c>
      <c r="G29" s="386">
        <v>0</v>
      </c>
      <c r="H29" s="386">
        <v>0</v>
      </c>
      <c r="I29" s="386">
        <v>0</v>
      </c>
      <c r="J29" s="386">
        <v>0</v>
      </c>
      <c r="K29" s="386">
        <v>0</v>
      </c>
      <c r="L29" s="386">
        <v>0</v>
      </c>
      <c r="M29" s="386">
        <v>0</v>
      </c>
      <c r="N29" s="386">
        <v>0</v>
      </c>
      <c r="O29" s="386">
        <v>41.244999999999997</v>
      </c>
      <c r="P29" s="386">
        <v>41.244999999999997</v>
      </c>
      <c r="Q29" t="s">
        <v>460</v>
      </c>
    </row>
    <row r="30" spans="1:17">
      <c r="A30" s="381" t="s">
        <v>469</v>
      </c>
      <c r="B30" s="395"/>
      <c r="C30" s="395"/>
      <c r="D30" s="386">
        <v>27.5</v>
      </c>
      <c r="E30" s="386">
        <v>0.86</v>
      </c>
      <c r="F30" s="386">
        <v>-0.22</v>
      </c>
      <c r="G30" s="386">
        <v>-0.49</v>
      </c>
      <c r="H30" s="386">
        <v>-0.56000000000000005</v>
      </c>
      <c r="I30" s="386">
        <v>-0.98</v>
      </c>
      <c r="J30" s="386">
        <v>-0.76</v>
      </c>
      <c r="K30" s="386">
        <v>-0.74</v>
      </c>
      <c r="L30" s="386">
        <v>-0.72</v>
      </c>
      <c r="M30" s="386">
        <v>-0.7</v>
      </c>
      <c r="N30" s="386">
        <v>-0.69</v>
      </c>
      <c r="O30" s="386">
        <v>-1.39</v>
      </c>
      <c r="P30" s="386">
        <v>-5</v>
      </c>
      <c r="Q30" t="s">
        <v>134</v>
      </c>
    </row>
    <row r="31" spans="1:17">
      <c r="A31" s="381" t="s">
        <v>309</v>
      </c>
      <c r="B31" s="395"/>
      <c r="C31" s="395"/>
      <c r="D31" s="386">
        <v>11.407999999999999</v>
      </c>
      <c r="E31" s="386">
        <v>10.763</v>
      </c>
      <c r="F31" s="386">
        <v>5.7809999999999997</v>
      </c>
      <c r="G31" s="386">
        <v>0.92300000000000004</v>
      </c>
      <c r="H31" s="386">
        <v>0.52300000000000002</v>
      </c>
      <c r="I31" s="386">
        <v>0.43099999999999999</v>
      </c>
      <c r="J31" s="386">
        <v>0.246</v>
      </c>
      <c r="K31" s="386">
        <v>0</v>
      </c>
      <c r="L31" s="386">
        <v>0</v>
      </c>
      <c r="M31" s="386">
        <v>0</v>
      </c>
      <c r="N31" s="386">
        <v>0</v>
      </c>
      <c r="O31" s="386">
        <v>18.420999999999999</v>
      </c>
      <c r="P31" s="386">
        <v>18.667000000000002</v>
      </c>
      <c r="Q31" t="s">
        <v>511</v>
      </c>
    </row>
    <row r="32" spans="1:17">
      <c r="A32" s="381" t="s">
        <v>470</v>
      </c>
      <c r="B32" s="395"/>
      <c r="C32" s="395"/>
      <c r="D32" s="386">
        <v>99.444000000000003</v>
      </c>
      <c r="E32" s="386">
        <v>61.634</v>
      </c>
      <c r="F32" s="386">
        <v>23.815000000000001</v>
      </c>
      <c r="G32" s="386">
        <v>7.35</v>
      </c>
      <c r="H32" s="386">
        <v>4.4029999999999996</v>
      </c>
      <c r="I32" s="386">
        <v>1.663</v>
      </c>
      <c r="J32" s="386">
        <v>0.74399999999999999</v>
      </c>
      <c r="K32" s="386">
        <v>0.65500000000000003</v>
      </c>
      <c r="L32" s="386">
        <v>0.68799999999999994</v>
      </c>
      <c r="M32" s="386">
        <v>10.603</v>
      </c>
      <c r="N32" s="386">
        <v>-35.328000000000003</v>
      </c>
      <c r="O32" s="386">
        <v>98.864999999999995</v>
      </c>
      <c r="P32" s="386">
        <v>76.227000000000004</v>
      </c>
      <c r="Q32" t="s">
        <v>473</v>
      </c>
    </row>
    <row r="33" spans="1:16">
      <c r="A33" s="381"/>
      <c r="B33" s="395"/>
      <c r="C33" s="395"/>
      <c r="D33" s="397"/>
      <c r="E33" s="397"/>
      <c r="F33" s="397"/>
      <c r="G33" s="397"/>
      <c r="H33" s="397"/>
      <c r="I33" s="397"/>
      <c r="J33" s="397"/>
      <c r="K33" s="397"/>
      <c r="L33" s="397"/>
      <c r="M33" s="397"/>
      <c r="N33" s="397"/>
      <c r="O33" s="397"/>
      <c r="P33" s="397"/>
    </row>
    <row r="34" spans="1:16">
      <c r="A34" s="387"/>
      <c r="B34" s="387"/>
      <c r="C34" s="387" t="s">
        <v>5</v>
      </c>
      <c r="D34" s="388">
        <v>1777.13</v>
      </c>
      <c r="E34" s="388">
        <v>307.48399999999998</v>
      </c>
      <c r="F34" s="388">
        <v>99.084999999999994</v>
      </c>
      <c r="G34" s="388">
        <v>20.696999999999999</v>
      </c>
      <c r="H34" s="388">
        <v>10.087999999999999</v>
      </c>
      <c r="I34" s="388">
        <v>6.1630000000000003</v>
      </c>
      <c r="J34" s="388">
        <v>4.7300000000000004</v>
      </c>
      <c r="K34" s="388">
        <v>4.415</v>
      </c>
      <c r="L34" s="388">
        <v>4.468</v>
      </c>
      <c r="M34" s="388">
        <v>14.403</v>
      </c>
      <c r="N34" s="388">
        <v>-31.518000000000001</v>
      </c>
      <c r="O34" s="388">
        <v>443.517</v>
      </c>
      <c r="P34" s="388">
        <v>440.01499999999999</v>
      </c>
    </row>
    <row r="35" spans="1:16">
      <c r="A35" s="384"/>
      <c r="B35" s="384"/>
      <c r="C35" s="384"/>
      <c r="D35" s="425"/>
      <c r="E35" s="412"/>
      <c r="F35" s="385"/>
      <c r="G35" s="385"/>
      <c r="H35" s="385"/>
      <c r="I35" s="385"/>
      <c r="J35" s="385"/>
      <c r="K35" s="385"/>
      <c r="L35" s="385"/>
      <c r="M35" s="385"/>
      <c r="N35" s="385"/>
      <c r="O35" s="385"/>
      <c r="P35" s="385"/>
    </row>
    <row r="36" spans="1:16">
      <c r="A36" s="398" t="s">
        <v>503</v>
      </c>
      <c r="B36" s="398"/>
      <c r="C36" s="398"/>
      <c r="D36" s="399"/>
      <c r="E36" s="398"/>
      <c r="F36" s="398"/>
      <c r="G36" s="398"/>
      <c r="H36" s="398"/>
      <c r="I36" s="398"/>
      <c r="J36" s="398"/>
      <c r="K36" s="398"/>
      <c r="L36" s="398"/>
      <c r="M36" s="398"/>
      <c r="N36" s="398"/>
      <c r="O36" s="398"/>
      <c r="P36" s="398"/>
    </row>
    <row r="37" spans="1:16">
      <c r="A37" s="398"/>
      <c r="B37" s="398"/>
      <c r="C37" s="398"/>
      <c r="D37" s="399"/>
      <c r="E37" s="398"/>
      <c r="F37" s="398"/>
      <c r="G37" s="398"/>
      <c r="H37" s="398"/>
      <c r="I37" s="398"/>
      <c r="J37" s="398"/>
      <c r="K37" s="398"/>
      <c r="L37" s="398"/>
      <c r="M37" s="398"/>
      <c r="N37" s="398"/>
      <c r="O37" s="398"/>
      <c r="P37" s="398"/>
    </row>
    <row r="38" spans="1:16">
      <c r="A38" s="1404" t="s">
        <v>504</v>
      </c>
      <c r="B38" s="1404"/>
      <c r="C38" s="1404"/>
      <c r="D38" s="1404"/>
      <c r="E38" s="1404"/>
      <c r="F38" s="1404"/>
      <c r="G38" s="1404"/>
      <c r="H38" s="1404"/>
      <c r="I38" s="1404"/>
      <c r="J38" s="1404"/>
      <c r="K38" s="1404"/>
      <c r="L38" s="1404"/>
      <c r="M38" s="1404"/>
      <c r="N38" s="1404"/>
      <c r="O38" s="1404"/>
      <c r="P38" s="1404"/>
    </row>
    <row r="39" spans="1:16">
      <c r="A39" s="1404"/>
      <c r="B39" s="1404"/>
      <c r="C39" s="1404"/>
      <c r="D39" s="1404"/>
      <c r="E39" s="1404"/>
      <c r="F39" s="1404"/>
      <c r="G39" s="1404"/>
      <c r="H39" s="1404"/>
      <c r="I39" s="1404"/>
      <c r="J39" s="1404"/>
      <c r="K39" s="1404"/>
      <c r="L39" s="1404"/>
      <c r="M39" s="1404"/>
      <c r="N39" s="1404"/>
      <c r="O39" s="1404"/>
      <c r="P39" s="1404"/>
    </row>
    <row r="40" spans="1:16">
      <c r="A40" s="1404"/>
      <c r="B40" s="1404"/>
      <c r="C40" s="1404"/>
      <c r="D40" s="1404"/>
      <c r="E40" s="1404"/>
      <c r="F40" s="1404"/>
      <c r="G40" s="1404"/>
      <c r="H40" s="1404"/>
      <c r="I40" s="1404"/>
      <c r="J40" s="1404"/>
      <c r="K40" s="1404"/>
      <c r="L40" s="1404"/>
      <c r="M40" s="1404"/>
      <c r="N40" s="1404"/>
      <c r="O40" s="1404"/>
      <c r="P40" s="1404"/>
    </row>
    <row r="41" spans="1:16">
      <c r="A41" s="1404"/>
      <c r="B41" s="1404"/>
      <c r="C41" s="1404"/>
      <c r="D41" s="1404"/>
      <c r="E41" s="1404"/>
      <c r="F41" s="1404"/>
      <c r="G41" s="1404"/>
      <c r="H41" s="1404"/>
      <c r="I41" s="1404"/>
      <c r="J41" s="1404"/>
      <c r="K41" s="1404"/>
      <c r="L41" s="1404"/>
      <c r="M41" s="1404"/>
      <c r="N41" s="1404"/>
      <c r="O41" s="1404"/>
      <c r="P41" s="1404"/>
    </row>
    <row r="42" spans="1:16">
      <c r="A42" s="1404"/>
      <c r="B42" s="1404"/>
      <c r="C42" s="1404"/>
      <c r="D42" s="1404"/>
      <c r="E42" s="1404"/>
      <c r="F42" s="1404"/>
      <c r="G42" s="1404"/>
      <c r="H42" s="1404"/>
      <c r="I42" s="1404"/>
      <c r="J42" s="1404"/>
      <c r="K42" s="1404"/>
      <c r="L42" s="1404"/>
      <c r="M42" s="1404"/>
      <c r="N42" s="1404"/>
      <c r="O42" s="1404"/>
      <c r="P42" s="1404"/>
    </row>
    <row r="43" spans="1:16">
      <c r="A43" s="405"/>
      <c r="B43" s="405"/>
      <c r="C43" s="405"/>
      <c r="D43" s="405"/>
      <c r="E43" s="405"/>
      <c r="F43" s="405"/>
      <c r="G43" s="405"/>
      <c r="H43" s="405"/>
      <c r="I43" s="405"/>
      <c r="J43" s="405"/>
      <c r="K43" s="405"/>
      <c r="L43" s="405"/>
      <c r="M43" s="405"/>
      <c r="N43" s="405"/>
      <c r="O43" s="405"/>
      <c r="P43" s="405"/>
    </row>
    <row r="44" spans="1:16">
      <c r="A44" s="1405" t="s">
        <v>505</v>
      </c>
      <c r="B44" s="1405"/>
      <c r="C44" s="1405"/>
      <c r="D44" s="1405"/>
      <c r="E44" s="1405"/>
      <c r="F44" s="1405"/>
      <c r="G44" s="1405"/>
      <c r="H44" s="1405"/>
      <c r="I44" s="1405"/>
      <c r="J44" s="1405"/>
      <c r="K44" s="1405"/>
      <c r="L44" s="1405"/>
      <c r="M44" s="1405"/>
      <c r="N44" s="1405"/>
      <c r="O44" s="1405"/>
      <c r="P44" s="1405"/>
    </row>
    <row r="45" spans="1:16">
      <c r="A45" s="1405"/>
      <c r="B45" s="1405"/>
      <c r="C45" s="1405"/>
      <c r="D45" s="1405"/>
      <c r="E45" s="1405"/>
      <c r="F45" s="1405"/>
      <c r="G45" s="1405"/>
      <c r="H45" s="1405"/>
      <c r="I45" s="1405"/>
      <c r="J45" s="1405"/>
      <c r="K45" s="1405"/>
      <c r="L45" s="1405"/>
      <c r="M45" s="1405"/>
      <c r="N45" s="1405"/>
      <c r="O45" s="1405"/>
      <c r="P45" s="1405"/>
    </row>
    <row r="46" spans="1:16">
      <c r="A46" s="1405"/>
      <c r="B46" s="1405"/>
      <c r="C46" s="1405"/>
      <c r="D46" s="1405"/>
      <c r="E46" s="1405"/>
      <c r="F46" s="1405"/>
      <c r="G46" s="1405"/>
      <c r="H46" s="1405"/>
      <c r="I46" s="1405"/>
      <c r="J46" s="1405"/>
      <c r="K46" s="1405"/>
      <c r="L46" s="1405"/>
      <c r="M46" s="1405"/>
      <c r="N46" s="1405"/>
      <c r="O46" s="1405"/>
      <c r="P46" s="1405"/>
    </row>
    <row r="47" spans="1:16">
      <c r="A47" s="398"/>
      <c r="B47" s="398"/>
      <c r="C47" s="398"/>
      <c r="D47" s="399"/>
      <c r="E47" s="398"/>
      <c r="F47" s="398"/>
      <c r="G47" s="398"/>
      <c r="H47" s="398"/>
      <c r="I47" s="398"/>
      <c r="J47" s="398"/>
      <c r="K47" s="398"/>
      <c r="L47" s="398"/>
      <c r="M47" s="398"/>
      <c r="N47" s="398"/>
      <c r="O47" s="398"/>
      <c r="P47" s="398"/>
    </row>
    <row r="48" spans="1:16">
      <c r="A48" s="1402" t="s">
        <v>506</v>
      </c>
      <c r="B48" s="1403"/>
      <c r="C48" s="1403"/>
      <c r="D48" s="1403"/>
      <c r="E48" s="1403"/>
      <c r="F48" s="1403"/>
      <c r="G48" s="1403"/>
      <c r="H48" s="1403"/>
      <c r="I48" s="1403"/>
      <c r="J48" s="1403"/>
      <c r="K48" s="1403"/>
      <c r="L48" s="1403"/>
      <c r="M48" s="1403"/>
      <c r="N48" s="1403"/>
      <c r="O48" s="1403"/>
      <c r="P48" s="1403"/>
    </row>
    <row r="49" spans="1:16">
      <c r="A49" s="1403"/>
      <c r="B49" s="1403"/>
      <c r="C49" s="1403"/>
      <c r="D49" s="1403"/>
      <c r="E49" s="1403"/>
      <c r="F49" s="1403"/>
      <c r="G49" s="1403"/>
      <c r="H49" s="1403"/>
      <c r="I49" s="1403"/>
      <c r="J49" s="1403"/>
      <c r="K49" s="1403"/>
      <c r="L49" s="1403"/>
      <c r="M49" s="1403"/>
      <c r="N49" s="1403"/>
      <c r="O49" s="1403"/>
      <c r="P49" s="1403"/>
    </row>
    <row r="50" spans="1:16">
      <c r="A50" s="398"/>
      <c r="B50" s="398"/>
      <c r="C50" s="398"/>
      <c r="D50" s="399"/>
      <c r="E50" s="398"/>
      <c r="F50" s="398"/>
      <c r="G50" s="398"/>
      <c r="H50" s="398"/>
      <c r="I50" s="398"/>
      <c r="J50" s="398"/>
      <c r="K50" s="398"/>
      <c r="L50" s="398"/>
      <c r="M50" s="398"/>
      <c r="N50" s="398"/>
      <c r="O50" s="398"/>
      <c r="P50" s="398"/>
    </row>
    <row r="51" spans="1:16">
      <c r="A51" s="1397" t="s">
        <v>507</v>
      </c>
      <c r="B51" s="1397"/>
      <c r="C51" s="1397"/>
      <c r="D51" s="1397"/>
      <c r="E51" s="1397"/>
      <c r="F51" s="1397"/>
      <c r="G51" s="1397"/>
      <c r="H51" s="1397"/>
      <c r="I51" s="1397"/>
      <c r="J51" s="1397"/>
      <c r="K51" s="1397"/>
      <c r="L51" s="1397"/>
      <c r="M51" s="1397"/>
      <c r="N51" s="1397"/>
      <c r="O51" s="1397"/>
      <c r="P51" s="1397"/>
    </row>
    <row r="52" spans="1:16">
      <c r="A52" s="1397"/>
      <c r="B52" s="1397"/>
      <c r="C52" s="1397"/>
      <c r="D52" s="1397"/>
      <c r="E52" s="1397"/>
      <c r="F52" s="1397"/>
      <c r="G52" s="1397"/>
      <c r="H52" s="1397"/>
      <c r="I52" s="1397"/>
      <c r="J52" s="1397"/>
      <c r="K52" s="1397"/>
      <c r="L52" s="1397"/>
      <c r="M52" s="1397"/>
      <c r="N52" s="1397"/>
      <c r="O52" s="1397"/>
      <c r="P52" s="1397"/>
    </row>
    <row r="53" spans="1:16">
      <c r="A53" s="1397"/>
      <c r="B53" s="1397"/>
      <c r="C53" s="1397"/>
      <c r="D53" s="1397"/>
      <c r="E53" s="1397"/>
      <c r="F53" s="1397"/>
      <c r="G53" s="1397"/>
      <c r="H53" s="1397"/>
      <c r="I53" s="1397"/>
      <c r="J53" s="1397"/>
      <c r="K53" s="1397"/>
      <c r="L53" s="1397"/>
      <c r="M53" s="1397"/>
      <c r="N53" s="1397"/>
      <c r="O53" s="1397"/>
      <c r="P53" s="1397"/>
    </row>
    <row r="54" spans="1:16">
      <c r="A54" s="400"/>
      <c r="B54" s="400"/>
      <c r="C54" s="400"/>
      <c r="D54" s="401"/>
      <c r="E54" s="400"/>
      <c r="F54" s="400"/>
      <c r="G54" s="400"/>
      <c r="H54" s="400"/>
      <c r="I54" s="400"/>
      <c r="J54" s="400"/>
      <c r="K54" s="400"/>
      <c r="L54" s="400"/>
      <c r="M54" s="400"/>
      <c r="N54" s="400"/>
      <c r="O54" s="400"/>
      <c r="P54" s="400"/>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topLeftCell="A24" zoomScale="83" workbookViewId="0">
      <selection activeCell="A36" sqref="A36"/>
    </sheetView>
  </sheetViews>
  <sheetFormatPr baseColWidth="10" defaultColWidth="8.83203125" defaultRowHeight="14"/>
  <cols>
    <col min="1" max="1" width="77.83203125" style="37" bestFit="1" customWidth="1"/>
    <col min="2" max="2" width="21" style="37" customWidth="1"/>
    <col min="3" max="4" width="8.83203125" style="37"/>
    <col min="5" max="5" width="37.6640625" style="37" customWidth="1"/>
    <col min="6" max="6" width="16" style="37" customWidth="1"/>
    <col min="7" max="16384" width="8.83203125" style="37"/>
  </cols>
  <sheetData>
    <row r="1" spans="1:10">
      <c r="A1" s="37" t="s">
        <v>372</v>
      </c>
      <c r="C1" s="175"/>
      <c r="D1" s="175"/>
      <c r="E1" s="175"/>
      <c r="F1" s="175"/>
      <c r="G1" s="175"/>
      <c r="H1" s="175"/>
      <c r="I1" s="175"/>
      <c r="J1" s="175"/>
    </row>
    <row r="2" spans="1:10" ht="20">
      <c r="A2" s="176" t="s">
        <v>323</v>
      </c>
      <c r="B2" s="176" t="s">
        <v>370</v>
      </c>
      <c r="C2" s="224" t="s">
        <v>390</v>
      </c>
      <c r="D2" s="224" t="s">
        <v>409</v>
      </c>
      <c r="E2" s="177"/>
      <c r="F2" s="177"/>
      <c r="G2" s="177"/>
      <c r="H2" s="38"/>
      <c r="I2" s="175"/>
      <c r="J2" s="175"/>
    </row>
    <row r="3" spans="1:10">
      <c r="A3" s="179" t="s">
        <v>324</v>
      </c>
      <c r="B3" s="178">
        <f>SUM(B4:B7)</f>
        <v>325</v>
      </c>
      <c r="C3" s="175"/>
      <c r="D3" s="175"/>
      <c r="E3" s="1406" t="s">
        <v>376</v>
      </c>
      <c r="F3" s="1406"/>
      <c r="G3" s="175"/>
      <c r="H3" s="175"/>
      <c r="I3" s="175"/>
      <c r="J3" s="175"/>
    </row>
    <row r="4" spans="1:10">
      <c r="A4" s="167" t="s">
        <v>325</v>
      </c>
      <c r="B4" s="178">
        <v>284</v>
      </c>
      <c r="C4" s="175"/>
      <c r="D4" s="175"/>
      <c r="E4" s="174" t="s">
        <v>103</v>
      </c>
      <c r="F4" s="174" t="s">
        <v>375</v>
      </c>
      <c r="G4" s="175"/>
      <c r="H4" s="175"/>
      <c r="I4" s="175"/>
      <c r="J4" s="175"/>
    </row>
    <row r="5" spans="1:10">
      <c r="A5" s="167" t="s">
        <v>326</v>
      </c>
      <c r="B5" s="178">
        <v>20</v>
      </c>
      <c r="C5" s="175"/>
      <c r="D5" s="175"/>
      <c r="E5" s="175" t="s">
        <v>309</v>
      </c>
      <c r="F5" s="175">
        <f>SUM(B11:B16)</f>
        <v>82</v>
      </c>
      <c r="G5" s="175"/>
      <c r="H5" s="175"/>
      <c r="I5" s="175"/>
      <c r="J5" s="175"/>
    </row>
    <row r="6" spans="1:10">
      <c r="A6" s="167" t="s">
        <v>327</v>
      </c>
      <c r="B6" s="178">
        <v>15</v>
      </c>
      <c r="C6" s="175"/>
      <c r="D6" s="175"/>
      <c r="E6" s="175" t="s">
        <v>411</v>
      </c>
      <c r="F6" s="175">
        <f>B23</f>
        <v>3</v>
      </c>
      <c r="G6" s="175"/>
      <c r="H6" s="175"/>
      <c r="I6" s="175"/>
      <c r="J6" s="175"/>
    </row>
    <row r="7" spans="1:10">
      <c r="A7" s="167" t="s">
        <v>328</v>
      </c>
      <c r="B7" s="178">
        <v>6</v>
      </c>
      <c r="C7" s="175"/>
      <c r="D7" s="175"/>
      <c r="E7" s="175" t="s">
        <v>307</v>
      </c>
      <c r="F7" s="175">
        <f>B27-B28</f>
        <v>29</v>
      </c>
      <c r="G7" s="175"/>
      <c r="H7" s="175"/>
      <c r="I7" s="175"/>
      <c r="J7" s="175"/>
    </row>
    <row r="8" spans="1:10">
      <c r="A8" s="174" t="s">
        <v>329</v>
      </c>
      <c r="B8" s="178">
        <v>121</v>
      </c>
      <c r="E8" s="175" t="s">
        <v>410</v>
      </c>
      <c r="F8" s="175">
        <f>B42</f>
        <v>2</v>
      </c>
    </row>
    <row r="9" spans="1:10">
      <c r="A9" s="180" t="s">
        <v>330</v>
      </c>
      <c r="B9" s="178">
        <v>166</v>
      </c>
      <c r="E9" s="37" t="s">
        <v>412</v>
      </c>
      <c r="F9" s="37">
        <f>B18+B20+B21</f>
        <v>34</v>
      </c>
    </row>
    <row r="10" spans="1:10">
      <c r="A10" s="168" t="s">
        <v>306</v>
      </c>
      <c r="B10" s="178">
        <v>82</v>
      </c>
      <c r="E10" s="67" t="s">
        <v>374</v>
      </c>
      <c r="F10" s="67" t="s">
        <v>373</v>
      </c>
    </row>
    <row r="11" spans="1:10">
      <c r="A11" s="167" t="s">
        <v>332</v>
      </c>
      <c r="B11" s="178">
        <v>54</v>
      </c>
      <c r="E11" s="37" t="s">
        <v>383</v>
      </c>
      <c r="F11" s="37">
        <f>B4</f>
        <v>284</v>
      </c>
    </row>
    <row r="12" spans="1:10">
      <c r="A12" s="167" t="s">
        <v>333</v>
      </c>
      <c r="B12" s="178">
        <v>20</v>
      </c>
      <c r="E12" s="37" t="s">
        <v>384</v>
      </c>
      <c r="F12" s="37">
        <f>B5</f>
        <v>20</v>
      </c>
    </row>
    <row r="13" spans="1:10">
      <c r="A13" s="167" t="s">
        <v>367</v>
      </c>
      <c r="B13" s="178">
        <v>4</v>
      </c>
      <c r="E13" s="37" t="s">
        <v>327</v>
      </c>
      <c r="F13" s="37">
        <f>B6</f>
        <v>15</v>
      </c>
    </row>
    <row r="14" spans="1:10" ht="30">
      <c r="A14" s="167" t="s">
        <v>334</v>
      </c>
      <c r="B14" s="178">
        <v>2</v>
      </c>
      <c r="E14" s="45" t="s">
        <v>328</v>
      </c>
      <c r="F14" s="37">
        <f>B7</f>
        <v>6</v>
      </c>
    </row>
    <row r="15" spans="1:10" ht="30">
      <c r="A15" s="167" t="s">
        <v>335</v>
      </c>
      <c r="B15" s="178">
        <v>1</v>
      </c>
      <c r="E15" s="45" t="s">
        <v>347</v>
      </c>
      <c r="F15" s="37">
        <f>B28</f>
        <v>15</v>
      </c>
    </row>
    <row r="16" spans="1:10">
      <c r="A16" s="167" t="s">
        <v>337</v>
      </c>
      <c r="B16" s="178">
        <v>1</v>
      </c>
      <c r="E16" s="37" t="s">
        <v>354</v>
      </c>
      <c r="F16" s="37">
        <f>B37</f>
        <v>12</v>
      </c>
    </row>
    <row r="17" spans="1:6">
      <c r="A17" s="67" t="s">
        <v>339</v>
      </c>
      <c r="B17" s="178">
        <v>72</v>
      </c>
      <c r="E17" s="37" t="s">
        <v>355</v>
      </c>
      <c r="F17" s="37">
        <f>B38</f>
        <v>10</v>
      </c>
    </row>
    <row r="18" spans="1:6">
      <c r="A18" s="167" t="s">
        <v>340</v>
      </c>
      <c r="B18" s="178">
        <v>22</v>
      </c>
      <c r="C18" s="37" t="s">
        <v>391</v>
      </c>
    </row>
    <row r="19" spans="1:6">
      <c r="A19" s="167" t="s">
        <v>331</v>
      </c>
      <c r="B19" s="178">
        <v>20</v>
      </c>
      <c r="C19" s="37" t="s">
        <v>403</v>
      </c>
    </row>
    <row r="20" spans="1:6">
      <c r="A20" s="167" t="s">
        <v>341</v>
      </c>
      <c r="B20" s="178">
        <v>8</v>
      </c>
      <c r="C20" s="37" t="s">
        <v>391</v>
      </c>
    </row>
    <row r="21" spans="1:6">
      <c r="A21" s="167" t="s">
        <v>342</v>
      </c>
      <c r="B21" s="178">
        <v>4</v>
      </c>
      <c r="C21" s="37" t="s">
        <v>103</v>
      </c>
    </row>
    <row r="22" spans="1:6">
      <c r="A22" s="182" t="s">
        <v>377</v>
      </c>
      <c r="B22" s="178">
        <v>4</v>
      </c>
      <c r="C22" s="37" t="s">
        <v>403</v>
      </c>
    </row>
    <row r="23" spans="1:6">
      <c r="A23" s="167" t="s">
        <v>343</v>
      </c>
      <c r="B23" s="178">
        <v>3</v>
      </c>
      <c r="C23" s="37" t="s">
        <v>404</v>
      </c>
    </row>
    <row r="24" spans="1:6">
      <c r="A24" s="182" t="s">
        <v>344</v>
      </c>
      <c r="B24" s="178">
        <v>3</v>
      </c>
      <c r="C24" s="37" t="s">
        <v>405</v>
      </c>
    </row>
    <row r="25" spans="1:6">
      <c r="A25" s="181" t="s">
        <v>345</v>
      </c>
      <c r="B25" s="178">
        <v>3</v>
      </c>
      <c r="C25" s="37" t="s">
        <v>406</v>
      </c>
    </row>
    <row r="26" spans="1:6">
      <c r="A26" s="167" t="s">
        <v>346</v>
      </c>
      <c r="B26" s="178">
        <v>4</v>
      </c>
      <c r="C26" s="37" t="s">
        <v>392</v>
      </c>
    </row>
    <row r="27" spans="1:6">
      <c r="A27" s="67" t="s">
        <v>307</v>
      </c>
      <c r="B27" s="178">
        <v>44</v>
      </c>
    </row>
    <row r="28" spans="1:6">
      <c r="A28" s="214" t="s">
        <v>347</v>
      </c>
      <c r="B28" s="215">
        <v>15</v>
      </c>
    </row>
    <row r="29" spans="1:6">
      <c r="A29" s="167" t="s">
        <v>348</v>
      </c>
      <c r="B29" s="178">
        <v>14</v>
      </c>
    </row>
    <row r="30" spans="1:6">
      <c r="A30" s="167" t="s">
        <v>349</v>
      </c>
      <c r="B30" s="178">
        <v>10</v>
      </c>
    </row>
    <row r="31" spans="1:6">
      <c r="A31" s="167" t="s">
        <v>350</v>
      </c>
      <c r="B31" s="178">
        <v>2</v>
      </c>
    </row>
    <row r="32" spans="1:6">
      <c r="A32" s="167" t="s">
        <v>351</v>
      </c>
      <c r="B32" s="178">
        <v>2</v>
      </c>
    </row>
    <row r="33" spans="1:6">
      <c r="A33" s="167" t="s">
        <v>352</v>
      </c>
      <c r="B33" s="178">
        <v>1</v>
      </c>
    </row>
    <row r="34" spans="1:6">
      <c r="A34" s="67" t="s">
        <v>336</v>
      </c>
      <c r="B34" s="178">
        <v>88</v>
      </c>
    </row>
    <row r="35" spans="1:6">
      <c r="A35" s="181" t="s">
        <v>353</v>
      </c>
      <c r="B35" s="178">
        <v>26</v>
      </c>
    </row>
    <row r="36" spans="1:6">
      <c r="A36" s="182" t="s">
        <v>386</v>
      </c>
      <c r="B36" s="178">
        <v>25</v>
      </c>
    </row>
    <row r="37" spans="1:6">
      <c r="A37" s="167" t="s">
        <v>354</v>
      </c>
      <c r="B37" s="178">
        <v>12</v>
      </c>
      <c r="C37" s="37" t="s">
        <v>401</v>
      </c>
      <c r="E37" s="37" t="s">
        <v>395</v>
      </c>
      <c r="F37" s="37" t="s">
        <v>396</v>
      </c>
    </row>
    <row r="38" spans="1:6">
      <c r="A38" s="167" t="s">
        <v>355</v>
      </c>
      <c r="B38" s="178">
        <v>10</v>
      </c>
      <c r="C38" s="37" t="s">
        <v>401</v>
      </c>
      <c r="E38" s="37" t="s">
        <v>402</v>
      </c>
      <c r="F38" s="37" t="s">
        <v>397</v>
      </c>
    </row>
    <row r="39" spans="1:6">
      <c r="A39" s="167" t="s">
        <v>356</v>
      </c>
      <c r="B39" s="178">
        <v>7</v>
      </c>
      <c r="C39" s="37" t="s">
        <v>392</v>
      </c>
      <c r="E39" s="37" t="s">
        <v>399</v>
      </c>
      <c r="F39" s="37" t="s">
        <v>398</v>
      </c>
    </row>
    <row r="40" spans="1:6">
      <c r="A40" s="167" t="s">
        <v>357</v>
      </c>
      <c r="B40" s="178">
        <v>5</v>
      </c>
      <c r="C40" s="37" t="s">
        <v>403</v>
      </c>
      <c r="E40" s="37" t="s">
        <v>400</v>
      </c>
    </row>
    <row r="41" spans="1:6">
      <c r="A41" s="167" t="s">
        <v>358</v>
      </c>
      <c r="B41" s="178">
        <v>2</v>
      </c>
      <c r="C41" s="37" t="s">
        <v>392</v>
      </c>
      <c r="E41" s="37" t="s">
        <v>394</v>
      </c>
    </row>
    <row r="42" spans="1:6">
      <c r="A42" s="167" t="s">
        <v>359</v>
      </c>
      <c r="B42" s="178">
        <v>2</v>
      </c>
      <c r="C42" s="37" t="s">
        <v>391</v>
      </c>
      <c r="E42" s="223" t="s">
        <v>389</v>
      </c>
    </row>
    <row r="43" spans="1:6">
      <c r="A43" s="167" t="s">
        <v>360</v>
      </c>
      <c r="B43" s="178">
        <v>0</v>
      </c>
      <c r="E43" s="37" t="s">
        <v>393</v>
      </c>
    </row>
    <row r="44" spans="1:6">
      <c r="A44" s="174" t="s">
        <v>338</v>
      </c>
      <c r="B44" s="183">
        <v>40</v>
      </c>
    </row>
    <row r="45" spans="1:6">
      <c r="A45" s="181" t="s">
        <v>361</v>
      </c>
      <c r="B45" s="184">
        <v>21</v>
      </c>
    </row>
    <row r="46" spans="1:6">
      <c r="A46" s="182" t="s">
        <v>362</v>
      </c>
      <c r="B46" s="183">
        <v>6</v>
      </c>
    </row>
    <row r="47" spans="1:6">
      <c r="A47" s="181" t="s">
        <v>363</v>
      </c>
      <c r="B47" s="184">
        <v>4</v>
      </c>
    </row>
    <row r="48" spans="1:6">
      <c r="A48" s="182" t="s">
        <v>364</v>
      </c>
      <c r="B48" s="183">
        <v>4</v>
      </c>
    </row>
    <row r="49" spans="1:2">
      <c r="A49" s="181" t="s">
        <v>365</v>
      </c>
      <c r="B49" s="184">
        <v>3</v>
      </c>
    </row>
    <row r="50" spans="1:2">
      <c r="A50" s="182" t="s">
        <v>366</v>
      </c>
      <c r="B50" s="183">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zoomScale="135" zoomScaleNormal="90" workbookViewId="0">
      <selection activeCell="O18" sqref="O18"/>
    </sheetView>
  </sheetViews>
  <sheetFormatPr baseColWidth="10" defaultColWidth="9" defaultRowHeight="15"/>
  <cols>
    <col min="1" max="1" width="6.33203125" customWidth="1"/>
    <col min="2" max="2" width="8.1640625" style="436" bestFit="1" customWidth="1"/>
    <col min="3" max="3" width="9" style="436"/>
    <col min="4" max="4" width="7.1640625" style="452" bestFit="1" customWidth="1"/>
    <col min="5" max="5" width="8.83203125" style="436" bestFit="1" customWidth="1"/>
    <col min="6" max="6" width="9" style="436"/>
    <col min="7" max="7" width="8.1640625" style="436" bestFit="1" customWidth="1"/>
    <col min="8" max="8" width="7.1640625" style="436" bestFit="1" customWidth="1"/>
    <col min="9" max="9" width="9" style="452"/>
    <col min="10" max="10" width="8.5" style="452" bestFit="1" customWidth="1"/>
    <col min="11" max="11" width="9" style="452"/>
    <col min="12" max="12" width="8.5" style="436" bestFit="1" customWidth="1"/>
    <col min="13" max="13" width="8.6640625" style="436" bestFit="1" customWidth="1"/>
    <col min="14" max="14" width="7.6640625" style="452" bestFit="1" customWidth="1"/>
    <col min="15" max="36" width="8.6640625" customWidth="1"/>
    <col min="37" max="40" width="8.6640625" style="436" customWidth="1"/>
    <col min="41" max="41" width="8.6640625" style="976" customWidth="1"/>
    <col min="42" max="42" width="8.6640625" customWidth="1"/>
    <col min="43" max="45" width="8.6640625" style="976" customWidth="1"/>
    <col min="46" max="50" width="8.6640625" customWidth="1"/>
    <col min="51" max="52" width="8.6640625" style="976" customWidth="1"/>
    <col min="53" max="53" width="8.6640625" style="436" customWidth="1"/>
    <col min="54" max="62" width="8.6640625" customWidth="1"/>
  </cols>
  <sheetData>
    <row r="1" spans="1:62" s="436" customFormat="1">
      <c r="D1" s="452"/>
      <c r="I1" s="1407"/>
      <c r="J1" s="1407"/>
      <c r="K1" s="1407"/>
      <c r="N1" s="452"/>
      <c r="AO1" s="976"/>
      <c r="AQ1" s="976"/>
      <c r="AR1" s="976"/>
      <c r="AS1" s="976"/>
      <c r="AY1" s="976"/>
      <c r="AZ1" s="976"/>
    </row>
    <row r="2" spans="1:62" s="1" customFormat="1" ht="13" customHeight="1">
      <c r="A2" s="443"/>
      <c r="O2" s="1408" t="s">
        <v>8</v>
      </c>
      <c r="P2" s="1408"/>
      <c r="Q2" s="1408"/>
      <c r="R2" s="1408"/>
      <c r="S2" s="1408"/>
      <c r="T2" s="442"/>
      <c r="U2" s="442"/>
      <c r="V2" s="442"/>
      <c r="W2" s="442"/>
      <c r="X2" s="442"/>
      <c r="Y2" s="1409" t="s">
        <v>9</v>
      </c>
      <c r="Z2" s="1410"/>
      <c r="AA2" s="1410"/>
      <c r="AB2" s="1410"/>
      <c r="AC2" s="1410"/>
      <c r="AD2" s="1410"/>
      <c r="AE2" s="442"/>
      <c r="AF2" s="442"/>
      <c r="AG2" s="1411" t="s">
        <v>10</v>
      </c>
      <c r="AH2" s="1410"/>
      <c r="AI2" s="1410"/>
      <c r="AJ2" s="1413" t="s">
        <v>11</v>
      </c>
      <c r="AK2" s="1413"/>
      <c r="AL2" s="1413"/>
      <c r="AM2" s="1413"/>
      <c r="AN2" s="1413"/>
      <c r="AO2" s="1413"/>
      <c r="AP2" s="1413"/>
      <c r="AQ2" s="1413"/>
      <c r="AR2" s="1413"/>
      <c r="AS2" s="1413"/>
      <c r="AT2" s="1412" t="s">
        <v>146</v>
      </c>
      <c r="AU2" s="1412"/>
      <c r="AV2" s="1412"/>
      <c r="AW2" s="1412"/>
      <c r="AX2" s="1412"/>
      <c r="AY2" s="1412"/>
      <c r="AZ2" s="1412"/>
      <c r="BA2" s="1412"/>
      <c r="BB2" s="1047"/>
      <c r="BC2" s="1047"/>
      <c r="BD2" s="1047"/>
      <c r="BE2" s="1047"/>
      <c r="BF2" s="1047"/>
      <c r="BG2" s="1047"/>
      <c r="BH2" s="1047"/>
      <c r="BI2" s="1047"/>
      <c r="BJ2" s="1056" t="s">
        <v>786</v>
      </c>
    </row>
    <row r="3" spans="1:62">
      <c r="A3" s="444"/>
      <c r="B3" s="444"/>
      <c r="C3" s="444"/>
      <c r="D3" s="444"/>
      <c r="E3" s="444"/>
      <c r="F3" s="444"/>
      <c r="G3" s="444"/>
      <c r="H3" s="444"/>
      <c r="I3" s="444"/>
      <c r="J3" s="444"/>
      <c r="K3" s="444"/>
      <c r="L3" s="444"/>
      <c r="M3" s="444"/>
      <c r="N3" s="444"/>
      <c r="O3" s="4" t="s">
        <v>12</v>
      </c>
      <c r="P3" s="4" t="s">
        <v>13</v>
      </c>
      <c r="Q3" s="4" t="s">
        <v>14</v>
      </c>
      <c r="R3" s="4" t="s">
        <v>15</v>
      </c>
      <c r="S3" s="4" t="s">
        <v>16</v>
      </c>
      <c r="T3" s="4" t="s">
        <v>17</v>
      </c>
      <c r="U3" s="4" t="s">
        <v>18</v>
      </c>
      <c r="V3" s="4" t="s">
        <v>19</v>
      </c>
      <c r="W3" s="4" t="s">
        <v>20</v>
      </c>
      <c r="X3" s="4" t="s">
        <v>21</v>
      </c>
      <c r="Y3" s="4" t="s">
        <v>22</v>
      </c>
      <c r="Z3" s="4"/>
      <c r="AA3" s="4"/>
      <c r="AB3" s="4"/>
      <c r="AC3" s="4" t="s">
        <v>23</v>
      </c>
      <c r="AD3" s="4" t="s">
        <v>24</v>
      </c>
      <c r="AE3" s="4" t="s">
        <v>25</v>
      </c>
      <c r="AF3" s="4" t="s">
        <v>26</v>
      </c>
      <c r="AG3" s="4" t="s">
        <v>27</v>
      </c>
      <c r="AH3" s="4" t="s">
        <v>28</v>
      </c>
      <c r="AI3" s="4" t="s">
        <v>29</v>
      </c>
      <c r="AJ3" s="4" t="s">
        <v>30</v>
      </c>
      <c r="AK3" s="4" t="s">
        <v>32</v>
      </c>
      <c r="AL3" s="4" t="s">
        <v>34</v>
      </c>
      <c r="AM3" s="4" t="s">
        <v>36</v>
      </c>
      <c r="AN3" s="481" t="s">
        <v>37</v>
      </c>
      <c r="AO3" s="481" t="s">
        <v>45</v>
      </c>
      <c r="AP3" s="4" t="s">
        <v>31</v>
      </c>
      <c r="AQ3" s="5" t="s">
        <v>39</v>
      </c>
      <c r="AR3" s="4" t="s">
        <v>40</v>
      </c>
      <c r="AS3" s="4" t="s">
        <v>42</v>
      </c>
      <c r="AT3" s="4" t="s">
        <v>33</v>
      </c>
      <c r="AU3" s="4" t="s">
        <v>38</v>
      </c>
      <c r="AV3" s="4" t="s">
        <v>41</v>
      </c>
      <c r="AW3" s="4" t="s">
        <v>43</v>
      </c>
      <c r="AX3" s="4" t="s">
        <v>47</v>
      </c>
      <c r="AY3" s="481" t="s">
        <v>44</v>
      </c>
      <c r="AZ3" s="4" t="s">
        <v>35</v>
      </c>
      <c r="BA3" s="4" t="s">
        <v>23</v>
      </c>
      <c r="BB3" s="4" t="s">
        <v>48</v>
      </c>
      <c r="BC3" s="4" t="s">
        <v>49</v>
      </c>
      <c r="BD3" s="4" t="s">
        <v>50</v>
      </c>
      <c r="BE3" s="4" t="s">
        <v>51</v>
      </c>
      <c r="BF3" s="4" t="s">
        <v>52</v>
      </c>
      <c r="BG3" s="4" t="s">
        <v>53</v>
      </c>
      <c r="BH3" s="4" t="s">
        <v>54</v>
      </c>
      <c r="BI3" s="4" t="s">
        <v>55</v>
      </c>
      <c r="BJ3" s="1051" t="s">
        <v>46</v>
      </c>
    </row>
    <row r="4" spans="1:62" s="1048" customFormat="1" ht="63" customHeight="1">
      <c r="A4" s="1060" t="s">
        <v>571</v>
      </c>
      <c r="B4" s="443" t="s">
        <v>133</v>
      </c>
      <c r="C4" s="443" t="s">
        <v>543</v>
      </c>
      <c r="D4" s="443" t="s">
        <v>460</v>
      </c>
      <c r="E4" s="443" t="s">
        <v>540</v>
      </c>
      <c r="F4" s="443" t="s">
        <v>542</v>
      </c>
      <c r="G4" s="443" t="s">
        <v>579</v>
      </c>
      <c r="H4" s="443" t="s">
        <v>541</v>
      </c>
      <c r="I4" s="470" t="s">
        <v>388</v>
      </c>
      <c r="J4" s="470" t="s">
        <v>309</v>
      </c>
      <c r="K4" s="470" t="s">
        <v>580</v>
      </c>
      <c r="L4" s="457" t="s">
        <v>563</v>
      </c>
      <c r="M4" s="443" t="s">
        <v>403</v>
      </c>
      <c r="N4" s="443" t="s">
        <v>578</v>
      </c>
      <c r="O4" s="1057" t="s">
        <v>57</v>
      </c>
      <c r="P4" s="1057" t="s">
        <v>58</v>
      </c>
      <c r="Q4" s="1057" t="s">
        <v>59</v>
      </c>
      <c r="R4" s="1057" t="s">
        <v>60</v>
      </c>
      <c r="S4" s="1057" t="s">
        <v>61</v>
      </c>
      <c r="T4" s="1057" t="s">
        <v>62</v>
      </c>
      <c r="U4" s="1057" t="s">
        <v>63</v>
      </c>
      <c r="V4" s="1057" t="s">
        <v>64</v>
      </c>
      <c r="W4" s="1057" t="s">
        <v>65</v>
      </c>
      <c r="X4" s="1057" t="s">
        <v>66</v>
      </c>
      <c r="Y4" s="1057" t="s">
        <v>67</v>
      </c>
      <c r="Z4" s="1057" t="s">
        <v>68</v>
      </c>
      <c r="AA4" s="1057" t="s">
        <v>69</v>
      </c>
      <c r="AB4" s="1057" t="s">
        <v>70</v>
      </c>
      <c r="AC4" s="1057" t="s">
        <v>71</v>
      </c>
      <c r="AD4" s="1057" t="s">
        <v>72</v>
      </c>
      <c r="AE4" s="1057" t="s">
        <v>73</v>
      </c>
      <c r="AF4" s="1057" t="s">
        <v>74</v>
      </c>
      <c r="AG4" s="1057" t="s">
        <v>75</v>
      </c>
      <c r="AH4" s="1057" t="s">
        <v>76</v>
      </c>
      <c r="AI4" s="1057" t="s">
        <v>77</v>
      </c>
      <c r="AJ4" s="1057" t="s">
        <v>78</v>
      </c>
      <c r="AK4" s="1057" t="s">
        <v>80</v>
      </c>
      <c r="AL4" s="1057" t="s">
        <v>4</v>
      </c>
      <c r="AM4" s="1057" t="s">
        <v>83</v>
      </c>
      <c r="AN4" s="1061" t="s">
        <v>84</v>
      </c>
      <c r="AO4" s="1061" t="s">
        <v>92</v>
      </c>
      <c r="AP4" s="1057" t="s">
        <v>79</v>
      </c>
      <c r="AQ4" s="1058" t="s">
        <v>86</v>
      </c>
      <c r="AR4" s="1057" t="s">
        <v>87</v>
      </c>
      <c r="AS4" s="1057" t="s">
        <v>89</v>
      </c>
      <c r="AT4" s="1057" t="s">
        <v>81</v>
      </c>
      <c r="AU4" s="1057" t="s">
        <v>85</v>
      </c>
      <c r="AV4" s="1057" t="s">
        <v>88</v>
      </c>
      <c r="AW4" s="1057" t="s">
        <v>90</v>
      </c>
      <c r="AX4" s="1057" t="s">
        <v>94</v>
      </c>
      <c r="AY4" s="1061" t="s">
        <v>91</v>
      </c>
      <c r="AZ4" s="1057" t="s">
        <v>82</v>
      </c>
      <c r="BA4" s="1057"/>
      <c r="BB4" s="1057" t="s">
        <v>95</v>
      </c>
      <c r="BC4" s="1057" t="s">
        <v>96</v>
      </c>
      <c r="BD4" s="1057" t="s">
        <v>97</v>
      </c>
      <c r="BE4" s="1057" t="s">
        <v>98</v>
      </c>
      <c r="BF4" s="1057" t="s">
        <v>99</v>
      </c>
      <c r="BG4" s="1057" t="s">
        <v>100</v>
      </c>
      <c r="BH4" s="1057" t="s">
        <v>101</v>
      </c>
      <c r="BI4" s="1057" t="s">
        <v>102</v>
      </c>
      <c r="BJ4" s="1059" t="s">
        <v>93</v>
      </c>
    </row>
    <row r="5" spans="1:62">
      <c r="A5" s="445">
        <v>2021</v>
      </c>
      <c r="B5" s="447">
        <f>Q5</f>
        <v>394.202</v>
      </c>
      <c r="C5" s="447">
        <f>SUM(Y5:AB5)</f>
        <v>195.7</v>
      </c>
      <c r="D5" s="447">
        <f>T5</f>
        <v>18.823</v>
      </c>
      <c r="E5" s="447">
        <f t="shared" ref="E5:E15" si="0">SUM(O5:S5)-B5</f>
        <v>26.636000000000024</v>
      </c>
      <c r="F5" s="447">
        <f t="shared" ref="F5:F15" si="1">SUM(T5:AF5)-C5-L5-D5</f>
        <v>47.722000000000016</v>
      </c>
      <c r="G5" s="447">
        <f>SUM(BA5:BI5)</f>
        <v>81.842999999999989</v>
      </c>
      <c r="H5" s="447">
        <f>SUM(AG5:AI5)</f>
        <v>7.798</v>
      </c>
      <c r="I5" s="447">
        <f>AJ5</f>
        <v>283.95749999999998</v>
      </c>
      <c r="J5" s="447">
        <f>AL5</f>
        <v>12.347</v>
      </c>
      <c r="K5" s="447">
        <f t="shared" ref="K5:K16" si="2">SUM(AM5:AS5)</f>
        <v>17.068000000000001</v>
      </c>
      <c r="L5" s="476">
        <f>103/4</f>
        <v>25.75</v>
      </c>
      <c r="M5" s="447">
        <f>SUM(AT5:BA5)</f>
        <v>44.499000000000002</v>
      </c>
      <c r="N5" s="447">
        <f>AK5</f>
        <v>3.4</v>
      </c>
      <c r="O5" s="7">
        <v>25.86</v>
      </c>
      <c r="P5" s="7">
        <v>0.55000000000000004</v>
      </c>
      <c r="Q5" s="8">
        <v>394.202</v>
      </c>
      <c r="R5" s="9">
        <v>0.14599999999999999</v>
      </c>
      <c r="S5" s="9">
        <v>0.08</v>
      </c>
      <c r="T5" s="9">
        <v>18.823</v>
      </c>
      <c r="U5" s="8">
        <v>19</v>
      </c>
      <c r="V5" s="9">
        <v>11.481999999999999</v>
      </c>
      <c r="W5" s="3">
        <v>1.5580000000000001</v>
      </c>
      <c r="X5" s="3">
        <v>0.74</v>
      </c>
      <c r="Y5" s="8">
        <v>0.2</v>
      </c>
      <c r="Z5" s="8">
        <v>43.1</v>
      </c>
      <c r="AA5" s="8">
        <v>33.9</v>
      </c>
      <c r="AB5" s="8">
        <v>118.5</v>
      </c>
      <c r="AC5" s="8">
        <v>28</v>
      </c>
      <c r="AD5" s="3">
        <v>-2.0379999999999998</v>
      </c>
      <c r="AE5" s="8">
        <v>14.31</v>
      </c>
      <c r="AF5" s="9">
        <v>0.42</v>
      </c>
      <c r="AG5" s="9">
        <v>7.7279999999999998</v>
      </c>
      <c r="AH5" s="8">
        <v>7.0000000000000007E-2</v>
      </c>
      <c r="AI5" s="8">
        <v>0</v>
      </c>
      <c r="AJ5" s="8">
        <v>283.95749999999998</v>
      </c>
      <c r="AK5" s="6">
        <v>3.4</v>
      </c>
      <c r="AL5" s="6">
        <v>12.347</v>
      </c>
      <c r="AM5" s="10">
        <v>0.28599999999999998</v>
      </c>
      <c r="AN5" s="1062">
        <v>2</v>
      </c>
      <c r="AO5" s="1063">
        <v>0.81</v>
      </c>
      <c r="AP5" s="6">
        <v>0.52100000000000002</v>
      </c>
      <c r="AQ5" s="11">
        <v>10</v>
      </c>
      <c r="AR5" s="6">
        <v>2.7</v>
      </c>
      <c r="AS5" s="6">
        <v>0.751</v>
      </c>
      <c r="AT5" s="8">
        <v>0</v>
      </c>
      <c r="AU5" s="6">
        <v>1.415</v>
      </c>
      <c r="AV5" s="6">
        <v>10.51</v>
      </c>
      <c r="AW5" s="6">
        <v>2.6</v>
      </c>
      <c r="AX5" s="8">
        <v>-0.33</v>
      </c>
      <c r="AY5" s="1063">
        <v>12.56</v>
      </c>
      <c r="AZ5" s="6">
        <v>17.744</v>
      </c>
      <c r="BA5" s="8">
        <v>0</v>
      </c>
      <c r="BB5" s="6">
        <v>4.0999999999999996</v>
      </c>
      <c r="BC5" s="6">
        <v>3.8</v>
      </c>
      <c r="BD5" s="6">
        <v>44.8</v>
      </c>
      <c r="BE5" s="9">
        <v>0.83</v>
      </c>
      <c r="BF5" s="3">
        <v>4.5110000000000001</v>
      </c>
      <c r="BG5" s="8">
        <v>3.0739999999999998</v>
      </c>
      <c r="BH5" s="12">
        <v>-0.28399999999999997</v>
      </c>
      <c r="BI5" s="6">
        <v>21.012</v>
      </c>
      <c r="BJ5" s="1052">
        <v>1.1599999999999999</v>
      </c>
    </row>
    <row r="6" spans="1:62">
      <c r="A6" s="445">
        <v>2022</v>
      </c>
      <c r="B6" s="447">
        <f t="shared" ref="B6:B15" si="3">Q6</f>
        <v>17.465</v>
      </c>
      <c r="C6" s="447">
        <f t="shared" ref="C6:C15" si="4">SUM(Y6:AB6)</f>
        <v>10.1</v>
      </c>
      <c r="D6" s="447">
        <f t="shared" ref="D6:D15" si="5">T6</f>
        <v>2.5950000000000002</v>
      </c>
      <c r="E6" s="447">
        <f t="shared" si="0"/>
        <v>98.978999999999999</v>
      </c>
      <c r="F6" s="447">
        <f t="shared" si="1"/>
        <v>52.756999999999998</v>
      </c>
      <c r="G6" s="447">
        <f t="shared" ref="G6:G15" si="6">SUM(BA6:BI6)</f>
        <v>110.24799999999999</v>
      </c>
      <c r="H6" s="447">
        <f t="shared" ref="H6:H15" si="7">SUM(AG6:AI6)</f>
        <v>7.9489999999999998</v>
      </c>
      <c r="I6" s="447">
        <f t="shared" ref="I6:I15" si="8">AJ6</f>
        <v>77.092500000000001</v>
      </c>
      <c r="J6" s="447">
        <f t="shared" ref="J6:J15" si="9">AL6</f>
        <v>46.79</v>
      </c>
      <c r="K6" s="447">
        <f t="shared" si="2"/>
        <v>23.761000000000003</v>
      </c>
      <c r="L6" s="476">
        <v>0</v>
      </c>
      <c r="M6" s="447">
        <f t="shared" ref="M6:M16" si="10">SUM(AT6:BA6)</f>
        <v>68.323000000000008</v>
      </c>
      <c r="N6" s="447">
        <f t="shared" ref="N6:N15" si="11">AK6</f>
        <v>5.0999999999999996</v>
      </c>
      <c r="O6" s="7">
        <v>79.260000000000005</v>
      </c>
      <c r="P6" s="7">
        <v>15.61</v>
      </c>
      <c r="Q6" s="8">
        <v>17.465</v>
      </c>
      <c r="R6" s="9">
        <v>0.317</v>
      </c>
      <c r="S6" s="9">
        <v>3.7919999999999998</v>
      </c>
      <c r="T6" s="8">
        <v>2.5950000000000002</v>
      </c>
      <c r="U6" s="6">
        <v>14.5</v>
      </c>
      <c r="V6" s="8">
        <v>25.070999999999998</v>
      </c>
      <c r="W6" s="3">
        <v>1.952</v>
      </c>
      <c r="X6" s="3">
        <v>0.61399999999999999</v>
      </c>
      <c r="Y6" s="6">
        <v>0</v>
      </c>
      <c r="Z6" s="6">
        <v>2.2999999999999998</v>
      </c>
      <c r="AA6" s="6">
        <v>1.6</v>
      </c>
      <c r="AB6" s="6">
        <v>6.2</v>
      </c>
      <c r="AC6" s="8">
        <v>0</v>
      </c>
      <c r="AD6" s="8">
        <v>1.31</v>
      </c>
      <c r="AE6" s="8">
        <v>8.61</v>
      </c>
      <c r="AF6" s="8">
        <v>0.7</v>
      </c>
      <c r="AG6" s="9">
        <v>7.782</v>
      </c>
      <c r="AH6" s="8">
        <v>0.12</v>
      </c>
      <c r="AI6" s="8">
        <v>4.7E-2</v>
      </c>
      <c r="AJ6" s="8">
        <v>77.092500000000001</v>
      </c>
      <c r="AK6" s="6">
        <v>5.0999999999999996</v>
      </c>
      <c r="AL6" s="6">
        <v>46.79</v>
      </c>
      <c r="AM6" s="12">
        <v>0.30499999999999999</v>
      </c>
      <c r="AN6" s="1062">
        <v>4.3</v>
      </c>
      <c r="AO6" s="1064">
        <v>1.1000000000000001</v>
      </c>
      <c r="AP6" s="6">
        <v>1.575</v>
      </c>
      <c r="AQ6" s="11">
        <v>10</v>
      </c>
      <c r="AR6" s="6">
        <v>4.5</v>
      </c>
      <c r="AS6" s="6">
        <v>1.9810000000000001</v>
      </c>
      <c r="AT6" s="8">
        <v>0</v>
      </c>
      <c r="AU6" s="6">
        <v>3.927</v>
      </c>
      <c r="AV6" s="6">
        <v>4.2880000000000003</v>
      </c>
      <c r="AW6" s="6">
        <v>3.7</v>
      </c>
      <c r="AX6" s="8">
        <v>-1.34</v>
      </c>
      <c r="AY6" s="1063">
        <v>11.91</v>
      </c>
      <c r="AZ6" s="6">
        <v>45.838000000000001</v>
      </c>
      <c r="BA6" s="8">
        <v>0</v>
      </c>
      <c r="BB6" s="6">
        <v>11.3</v>
      </c>
      <c r="BC6" s="6">
        <v>0</v>
      </c>
      <c r="BD6" s="6">
        <v>1.1000000000000001</v>
      </c>
      <c r="BE6" s="9">
        <v>1.75</v>
      </c>
      <c r="BF6" s="3">
        <v>1.7330000000000001</v>
      </c>
      <c r="BG6" s="3">
        <v>7.1440000000000001</v>
      </c>
      <c r="BH6" s="13">
        <v>81.608999999999995</v>
      </c>
      <c r="BI6" s="6">
        <v>5.6120000000000001</v>
      </c>
      <c r="BJ6" s="1052">
        <v>4.2</v>
      </c>
    </row>
    <row r="7" spans="1:62">
      <c r="A7" s="445">
        <v>2023</v>
      </c>
      <c r="B7" s="447">
        <f t="shared" si="3"/>
        <v>0.48599999999999999</v>
      </c>
      <c r="C7" s="447">
        <f t="shared" si="4"/>
        <v>0</v>
      </c>
      <c r="D7" s="447">
        <f t="shared" si="5"/>
        <v>0.93700000000000006</v>
      </c>
      <c r="E7" s="447">
        <f t="shared" si="0"/>
        <v>2.1159999999999997</v>
      </c>
      <c r="F7" s="447">
        <f t="shared" si="1"/>
        <v>12</v>
      </c>
      <c r="G7" s="447">
        <f t="shared" si="6"/>
        <v>12.726000000000001</v>
      </c>
      <c r="H7" s="447">
        <f t="shared" si="7"/>
        <v>4.7519999999999998</v>
      </c>
      <c r="I7" s="447">
        <f t="shared" si="8"/>
        <v>1</v>
      </c>
      <c r="J7" s="447">
        <f t="shared" si="9"/>
        <v>38.595999999999997</v>
      </c>
      <c r="K7" s="447">
        <f t="shared" si="2"/>
        <v>15.526</v>
      </c>
      <c r="L7" s="476">
        <v>0</v>
      </c>
      <c r="M7" s="447">
        <f t="shared" si="10"/>
        <v>24.342999999999996</v>
      </c>
      <c r="N7" s="447">
        <f t="shared" si="11"/>
        <v>0</v>
      </c>
      <c r="O7" s="7">
        <v>0.7</v>
      </c>
      <c r="P7" s="7">
        <v>0.96</v>
      </c>
      <c r="Q7" s="8">
        <v>0.48599999999999999</v>
      </c>
      <c r="R7" s="9">
        <v>0.45600000000000002</v>
      </c>
      <c r="S7" s="8">
        <v>0</v>
      </c>
      <c r="T7" s="14">
        <v>0.93700000000000006</v>
      </c>
      <c r="U7" s="6">
        <v>3</v>
      </c>
      <c r="V7" s="9">
        <v>7.891</v>
      </c>
      <c r="W7" s="3">
        <v>0.61699999999999999</v>
      </c>
      <c r="X7" s="3">
        <v>8.4000000000000005E-2</v>
      </c>
      <c r="Y7" s="6">
        <v>0</v>
      </c>
      <c r="Z7" s="6">
        <v>0</v>
      </c>
      <c r="AA7" s="6">
        <v>0</v>
      </c>
      <c r="AB7" s="6">
        <v>0</v>
      </c>
      <c r="AC7" s="8">
        <v>0</v>
      </c>
      <c r="AD7" s="8">
        <v>0.318</v>
      </c>
      <c r="AE7" s="9">
        <v>-0.11000000000000001</v>
      </c>
      <c r="AF7" s="8">
        <v>0.2</v>
      </c>
      <c r="AG7" s="9">
        <v>4.6749999999999998</v>
      </c>
      <c r="AH7" s="8">
        <v>0.06</v>
      </c>
      <c r="AI7" s="8">
        <v>1.7000000000000001E-2</v>
      </c>
      <c r="AJ7" s="8">
        <v>1</v>
      </c>
      <c r="AK7" s="6">
        <v>0</v>
      </c>
      <c r="AL7" s="6">
        <v>38.595999999999997</v>
      </c>
      <c r="AM7" s="8">
        <v>0.14899999999999999</v>
      </c>
      <c r="AN7" s="1062">
        <v>1.2</v>
      </c>
      <c r="AO7" s="1064">
        <v>0.53</v>
      </c>
      <c r="AP7" s="6">
        <v>0.38100000000000001</v>
      </c>
      <c r="AQ7" s="11">
        <v>8</v>
      </c>
      <c r="AR7" s="6">
        <v>4.5</v>
      </c>
      <c r="AS7" s="6">
        <v>0.76600000000000001</v>
      </c>
      <c r="AT7" s="8">
        <v>0</v>
      </c>
      <c r="AU7" s="6">
        <v>1.93</v>
      </c>
      <c r="AV7" s="6">
        <v>1.4379999999999999</v>
      </c>
      <c r="AW7" s="6">
        <v>2.6</v>
      </c>
      <c r="AX7" s="3">
        <v>-2.48</v>
      </c>
      <c r="AY7" s="1063">
        <v>8.69</v>
      </c>
      <c r="AZ7" s="6">
        <v>12.164999999999999</v>
      </c>
      <c r="BA7" s="3">
        <v>0</v>
      </c>
      <c r="BB7" s="6">
        <v>8.4</v>
      </c>
      <c r="BC7" s="6">
        <v>0</v>
      </c>
      <c r="BD7" s="6">
        <v>0.3</v>
      </c>
      <c r="BE7" s="9">
        <v>1.8</v>
      </c>
      <c r="BF7" s="3">
        <v>0</v>
      </c>
      <c r="BG7" s="3">
        <v>0</v>
      </c>
      <c r="BH7" s="12">
        <v>1.3759999999999999</v>
      </c>
      <c r="BI7" s="6">
        <v>0.85</v>
      </c>
      <c r="BJ7" s="1052">
        <v>2.7</v>
      </c>
    </row>
    <row r="8" spans="1:62">
      <c r="A8" s="445">
        <v>2024</v>
      </c>
      <c r="B8" s="447">
        <f t="shared" si="3"/>
        <v>0</v>
      </c>
      <c r="C8" s="447">
        <f t="shared" si="4"/>
        <v>0</v>
      </c>
      <c r="D8" s="447">
        <f t="shared" si="5"/>
        <v>0.16</v>
      </c>
      <c r="E8" s="447">
        <f t="shared" si="0"/>
        <v>2.1789999999999998</v>
      </c>
      <c r="F8" s="447">
        <f t="shared" si="1"/>
        <v>4.2219999999999995</v>
      </c>
      <c r="G8" s="447">
        <f t="shared" si="6"/>
        <v>1.365</v>
      </c>
      <c r="H8" s="447">
        <f t="shared" si="7"/>
        <v>4.637999999999999</v>
      </c>
      <c r="I8" s="447">
        <f t="shared" si="8"/>
        <v>0</v>
      </c>
      <c r="J8" s="447">
        <f t="shared" si="9"/>
        <v>31.911000000000001</v>
      </c>
      <c r="K8" s="447">
        <f t="shared" si="2"/>
        <v>4.2830000000000004</v>
      </c>
      <c r="L8" s="476">
        <v>0</v>
      </c>
      <c r="M8" s="447">
        <f t="shared" si="10"/>
        <v>9.2920000000000016</v>
      </c>
      <c r="N8" s="447">
        <f t="shared" si="11"/>
        <v>0</v>
      </c>
      <c r="O8" s="7">
        <v>0.7</v>
      </c>
      <c r="P8" s="7">
        <v>0.96</v>
      </c>
      <c r="Q8" s="6">
        <v>0</v>
      </c>
      <c r="R8" s="9">
        <v>0.51900000000000002</v>
      </c>
      <c r="S8" s="8">
        <v>0</v>
      </c>
      <c r="T8" s="15">
        <v>0.16</v>
      </c>
      <c r="U8" s="6">
        <v>2.8</v>
      </c>
      <c r="V8" s="8">
        <v>0.504</v>
      </c>
      <c r="W8" s="3">
        <v>0.47199999999999998</v>
      </c>
      <c r="X8" s="3">
        <v>2E-3</v>
      </c>
      <c r="Y8" s="6">
        <v>0</v>
      </c>
      <c r="Z8" s="6">
        <v>0</v>
      </c>
      <c r="AA8" s="6">
        <v>0</v>
      </c>
      <c r="AB8" s="6">
        <v>0</v>
      </c>
      <c r="AC8" s="8">
        <v>0</v>
      </c>
      <c r="AD8" s="8">
        <v>0.34399999999999997</v>
      </c>
      <c r="AE8" s="9">
        <v>0</v>
      </c>
      <c r="AF8" s="9">
        <v>0.1</v>
      </c>
      <c r="AG8" s="9">
        <v>4.5739999999999998</v>
      </c>
      <c r="AH8" s="8">
        <v>0.06</v>
      </c>
      <c r="AI8" s="8">
        <v>4.0000000000000001E-3</v>
      </c>
      <c r="AJ8" s="8">
        <v>0</v>
      </c>
      <c r="AK8" s="6">
        <v>0</v>
      </c>
      <c r="AL8" s="6">
        <v>31.911000000000001</v>
      </c>
      <c r="AM8" s="8">
        <v>4.1000000000000002E-2</v>
      </c>
      <c r="AN8" s="1062">
        <v>0.4</v>
      </c>
      <c r="AO8" s="1064">
        <v>0.41</v>
      </c>
      <c r="AP8" s="6">
        <v>0.13100000000000001</v>
      </c>
      <c r="AQ8" s="11">
        <v>0</v>
      </c>
      <c r="AR8" s="6">
        <v>3</v>
      </c>
      <c r="AS8" s="6">
        <v>0.30099999999999999</v>
      </c>
      <c r="AT8" s="8">
        <v>0</v>
      </c>
      <c r="AU8" s="6">
        <v>0.79600000000000004</v>
      </c>
      <c r="AV8" s="6">
        <v>0.27500000000000002</v>
      </c>
      <c r="AW8" s="6">
        <v>1</v>
      </c>
      <c r="AX8" s="3">
        <v>-2.6</v>
      </c>
      <c r="AY8" s="1064">
        <v>5.36</v>
      </c>
      <c r="AZ8" s="6">
        <v>4.4610000000000003</v>
      </c>
      <c r="BA8" s="3">
        <v>0</v>
      </c>
      <c r="BB8" s="6">
        <v>0.2</v>
      </c>
      <c r="BC8" s="6">
        <v>0</v>
      </c>
      <c r="BD8" s="6">
        <v>0</v>
      </c>
      <c r="BE8" s="9">
        <v>1.95</v>
      </c>
      <c r="BF8" s="3">
        <v>0</v>
      </c>
      <c r="BG8" s="3">
        <v>0</v>
      </c>
      <c r="BH8" s="12">
        <v>-0.875</v>
      </c>
      <c r="BI8" s="6">
        <v>0.09</v>
      </c>
      <c r="BJ8" s="1053">
        <v>0.87</v>
      </c>
    </row>
    <row r="9" spans="1:62">
      <c r="A9" s="445">
        <v>2025</v>
      </c>
      <c r="B9" s="447">
        <f t="shared" si="3"/>
        <v>0</v>
      </c>
      <c r="C9" s="447">
        <f t="shared" si="4"/>
        <v>0</v>
      </c>
      <c r="D9" s="447">
        <f t="shared" si="5"/>
        <v>3.3000000000000002E-2</v>
      </c>
      <c r="E9" s="447">
        <f t="shared" si="0"/>
        <v>2.33</v>
      </c>
      <c r="F9" s="447">
        <f t="shared" si="1"/>
        <v>2.3719999999999999</v>
      </c>
      <c r="G9" s="447">
        <f t="shared" si="6"/>
        <v>-0.90100000000000025</v>
      </c>
      <c r="H9" s="447">
        <f t="shared" si="7"/>
        <v>1.8800000000000001</v>
      </c>
      <c r="I9" s="447">
        <f t="shared" si="8"/>
        <v>0</v>
      </c>
      <c r="J9" s="447">
        <f t="shared" si="9"/>
        <v>23.099</v>
      </c>
      <c r="K9" s="447">
        <f t="shared" si="2"/>
        <v>0.84899999999999987</v>
      </c>
      <c r="L9" s="476">
        <v>0</v>
      </c>
      <c r="M9" s="447">
        <f t="shared" si="10"/>
        <v>2.9870000000000001</v>
      </c>
      <c r="N9" s="447">
        <f t="shared" si="11"/>
        <v>0</v>
      </c>
      <c r="O9" s="7">
        <v>0.7</v>
      </c>
      <c r="P9" s="7">
        <v>1.06</v>
      </c>
      <c r="Q9" s="6">
        <v>0</v>
      </c>
      <c r="R9" s="9">
        <v>0.56999999999999995</v>
      </c>
      <c r="S9" s="8">
        <v>0</v>
      </c>
      <c r="T9" s="16">
        <v>3.3000000000000002E-2</v>
      </c>
      <c r="U9" s="6">
        <v>2</v>
      </c>
      <c r="V9" s="16">
        <v>0</v>
      </c>
      <c r="W9" s="3">
        <v>0.21299999999999999</v>
      </c>
      <c r="X9" s="3">
        <v>2E-3</v>
      </c>
      <c r="Y9" s="6">
        <v>0</v>
      </c>
      <c r="Z9" s="6">
        <v>0</v>
      </c>
      <c r="AA9" s="6">
        <v>0</v>
      </c>
      <c r="AB9" s="6">
        <v>0</v>
      </c>
      <c r="AC9" s="8">
        <v>0</v>
      </c>
      <c r="AD9" s="8">
        <v>0.157</v>
      </c>
      <c r="AE9" s="9">
        <v>0</v>
      </c>
      <c r="AF9" s="9">
        <v>0</v>
      </c>
      <c r="AG9" s="8">
        <v>1.81</v>
      </c>
      <c r="AH9" s="8">
        <v>7.0000000000000007E-2</v>
      </c>
      <c r="AI9" s="8">
        <v>0</v>
      </c>
      <c r="AJ9" s="6">
        <v>0</v>
      </c>
      <c r="AK9" s="6">
        <v>0</v>
      </c>
      <c r="AL9" s="6">
        <v>23.099</v>
      </c>
      <c r="AM9" s="8">
        <v>1.2999999999999999E-2</v>
      </c>
      <c r="AN9" s="1062">
        <v>0.3</v>
      </c>
      <c r="AO9" s="1065">
        <v>0.15</v>
      </c>
      <c r="AP9" s="6">
        <v>0.112</v>
      </c>
      <c r="AQ9" s="11">
        <v>0</v>
      </c>
      <c r="AR9" s="6">
        <v>0.2</v>
      </c>
      <c r="AS9" s="6">
        <v>7.3999999999999996E-2</v>
      </c>
      <c r="AT9" s="8">
        <v>0</v>
      </c>
      <c r="AU9" s="6">
        <v>5.3999999999999999E-2</v>
      </c>
      <c r="AV9" s="6">
        <v>0.13100000000000001</v>
      </c>
      <c r="AW9" s="6">
        <v>0</v>
      </c>
      <c r="AX9" s="3">
        <v>-2.71</v>
      </c>
      <c r="AY9" s="1064">
        <v>3.73</v>
      </c>
      <c r="AZ9" s="6">
        <v>1.782</v>
      </c>
      <c r="BA9" s="3">
        <v>0</v>
      </c>
      <c r="BB9" s="6">
        <v>0</v>
      </c>
      <c r="BC9" s="6">
        <v>0</v>
      </c>
      <c r="BD9" s="6">
        <v>0</v>
      </c>
      <c r="BE9" s="9">
        <v>1.43</v>
      </c>
      <c r="BF9" s="3">
        <v>0</v>
      </c>
      <c r="BG9" s="3">
        <v>0</v>
      </c>
      <c r="BH9" s="12">
        <v>-2.3410000000000002</v>
      </c>
      <c r="BI9" s="6">
        <v>0.01</v>
      </c>
      <c r="BJ9" s="1053">
        <v>0.33</v>
      </c>
    </row>
    <row r="10" spans="1:62">
      <c r="A10" s="445">
        <v>2026</v>
      </c>
      <c r="B10" s="447">
        <f t="shared" si="3"/>
        <v>0</v>
      </c>
      <c r="C10" s="447">
        <f t="shared" si="4"/>
        <v>0</v>
      </c>
      <c r="D10" s="447">
        <f t="shared" si="5"/>
        <v>3.2000000000000001E-2</v>
      </c>
      <c r="E10" s="447">
        <f t="shared" si="0"/>
        <v>2.371</v>
      </c>
      <c r="F10" s="447">
        <f t="shared" si="1"/>
        <v>0.49</v>
      </c>
      <c r="G10" s="447">
        <f t="shared" si="6"/>
        <v>-21.150000000000002</v>
      </c>
      <c r="H10" s="447">
        <f t="shared" si="7"/>
        <v>1.446</v>
      </c>
      <c r="I10" s="447">
        <f t="shared" si="8"/>
        <v>0</v>
      </c>
      <c r="J10" s="447">
        <f t="shared" si="9"/>
        <v>10.766999999999999</v>
      </c>
      <c r="K10" s="447">
        <f t="shared" si="2"/>
        <v>0.35300000000000004</v>
      </c>
      <c r="L10" s="476"/>
      <c r="M10" s="447">
        <f t="shared" si="10"/>
        <v>-19.045999999999999</v>
      </c>
      <c r="N10" s="447">
        <f t="shared" si="11"/>
        <v>0</v>
      </c>
      <c r="O10" s="7">
        <v>0.7</v>
      </c>
      <c r="P10" s="7">
        <v>1.07</v>
      </c>
      <c r="Q10" s="6">
        <v>0</v>
      </c>
      <c r="R10" s="9">
        <v>0.60099999999999998</v>
      </c>
      <c r="S10" s="8">
        <v>0</v>
      </c>
      <c r="T10" s="12">
        <v>3.2000000000000001E-2</v>
      </c>
      <c r="U10" s="6">
        <v>0.3</v>
      </c>
      <c r="V10" s="9">
        <v>0</v>
      </c>
      <c r="W10" s="3">
        <v>0.188</v>
      </c>
      <c r="X10" s="3">
        <v>2E-3</v>
      </c>
      <c r="Y10" s="6">
        <v>0</v>
      </c>
      <c r="Z10" s="6">
        <v>0</v>
      </c>
      <c r="AA10" s="6">
        <v>0</v>
      </c>
      <c r="AB10" s="6">
        <v>0</v>
      </c>
      <c r="AC10" s="8">
        <v>0</v>
      </c>
      <c r="AD10" s="8">
        <v>0</v>
      </c>
      <c r="AE10" s="8">
        <v>0</v>
      </c>
      <c r="AF10" s="9">
        <v>0</v>
      </c>
      <c r="AG10" s="8">
        <v>1.3759999999999999</v>
      </c>
      <c r="AH10" s="8">
        <v>7.0000000000000007E-2</v>
      </c>
      <c r="AI10" s="8">
        <v>0</v>
      </c>
      <c r="AJ10" s="17">
        <v>0</v>
      </c>
      <c r="AK10" s="6">
        <v>0</v>
      </c>
      <c r="AL10" s="6">
        <v>10.766999999999999</v>
      </c>
      <c r="AM10" s="8">
        <v>3.0000000000000001E-3</v>
      </c>
      <c r="AN10" s="1062">
        <v>0.2</v>
      </c>
      <c r="AO10" s="1065">
        <v>0.1</v>
      </c>
      <c r="AP10" s="6">
        <v>0.05</v>
      </c>
      <c r="AQ10" s="11">
        <v>0</v>
      </c>
      <c r="AR10" s="6">
        <v>0</v>
      </c>
      <c r="AS10" s="6">
        <v>0</v>
      </c>
      <c r="AT10" s="8">
        <v>0</v>
      </c>
      <c r="AU10" s="6">
        <v>3.7999999999999999E-2</v>
      </c>
      <c r="AV10" s="6">
        <v>2.5999999999999999E-2</v>
      </c>
      <c r="AW10" s="6">
        <v>0</v>
      </c>
      <c r="AX10" s="3">
        <v>-2.6700000000000004</v>
      </c>
      <c r="AY10" s="1064">
        <v>2.56</v>
      </c>
      <c r="AZ10" s="6">
        <v>0</v>
      </c>
      <c r="BA10" s="3">
        <v>-19</v>
      </c>
      <c r="BB10" s="6">
        <v>0</v>
      </c>
      <c r="BC10" s="6">
        <v>0</v>
      </c>
      <c r="BD10" s="6">
        <v>0</v>
      </c>
      <c r="BE10" s="3">
        <v>0.88</v>
      </c>
      <c r="BF10" s="3">
        <v>0</v>
      </c>
      <c r="BG10" s="3">
        <v>0</v>
      </c>
      <c r="BH10" s="8">
        <v>-2.8200000000000003</v>
      </c>
      <c r="BI10" s="6">
        <v>-0.21</v>
      </c>
      <c r="BJ10" s="1053">
        <v>0.17</v>
      </c>
    </row>
    <row r="11" spans="1:62">
      <c r="A11" s="445">
        <v>2027</v>
      </c>
      <c r="B11" s="447">
        <f t="shared" si="3"/>
        <v>0</v>
      </c>
      <c r="C11" s="447">
        <f t="shared" si="4"/>
        <v>0</v>
      </c>
      <c r="D11" s="447">
        <f t="shared" si="5"/>
        <v>3.2000000000000001E-2</v>
      </c>
      <c r="E11" s="447">
        <f t="shared" si="0"/>
        <v>2.0129999999999999</v>
      </c>
      <c r="F11" s="447">
        <f t="shared" si="1"/>
        <v>0</v>
      </c>
      <c r="G11" s="447">
        <f t="shared" si="6"/>
        <v>-16.817</v>
      </c>
      <c r="H11" s="447">
        <f t="shared" si="7"/>
        <v>0.65699999999999992</v>
      </c>
      <c r="I11" s="447">
        <f t="shared" si="8"/>
        <v>0</v>
      </c>
      <c r="J11" s="447">
        <f t="shared" si="9"/>
        <v>4.0789999999999997</v>
      </c>
      <c r="K11" s="447">
        <f t="shared" si="2"/>
        <v>0.23</v>
      </c>
      <c r="L11" s="476"/>
      <c r="M11" s="447">
        <f t="shared" si="10"/>
        <v>-12.483000000000001</v>
      </c>
      <c r="N11" s="447">
        <f t="shared" si="11"/>
        <v>0</v>
      </c>
      <c r="O11" s="7">
        <v>0.3</v>
      </c>
      <c r="P11" s="7">
        <v>1.08</v>
      </c>
      <c r="Q11" s="6">
        <v>0</v>
      </c>
      <c r="R11" s="9">
        <v>0.63300000000000001</v>
      </c>
      <c r="S11" s="15">
        <v>0</v>
      </c>
      <c r="T11" s="6">
        <v>3.2000000000000001E-2</v>
      </c>
      <c r="U11" s="6">
        <v>0</v>
      </c>
      <c r="V11" s="8">
        <v>0</v>
      </c>
      <c r="W11" s="3">
        <v>0</v>
      </c>
      <c r="X11" s="3">
        <v>0</v>
      </c>
      <c r="Y11" s="6">
        <v>0</v>
      </c>
      <c r="Z11" s="6">
        <v>0</v>
      </c>
      <c r="AA11" s="6">
        <v>0</v>
      </c>
      <c r="AB11" s="6">
        <v>0</v>
      </c>
      <c r="AC11" s="8">
        <v>0</v>
      </c>
      <c r="AD11" s="9">
        <v>0</v>
      </c>
      <c r="AE11" s="8">
        <v>0</v>
      </c>
      <c r="AF11" s="9">
        <v>0</v>
      </c>
      <c r="AG11" s="8">
        <v>0.57699999999999996</v>
      </c>
      <c r="AH11" s="8">
        <v>0.08</v>
      </c>
      <c r="AI11" s="8">
        <v>0</v>
      </c>
      <c r="AJ11" s="8">
        <v>0</v>
      </c>
      <c r="AK11" s="6">
        <v>0</v>
      </c>
      <c r="AL11" s="6">
        <v>4.0789999999999997</v>
      </c>
      <c r="AM11" s="6">
        <v>0</v>
      </c>
      <c r="AN11" s="1062">
        <v>0.1</v>
      </c>
      <c r="AO11" s="1065">
        <v>0.1</v>
      </c>
      <c r="AP11" s="6">
        <v>0.03</v>
      </c>
      <c r="AQ11" s="11">
        <v>0</v>
      </c>
      <c r="AR11" s="6">
        <v>0</v>
      </c>
      <c r="AS11" s="6">
        <v>0</v>
      </c>
      <c r="AT11" s="8">
        <v>0</v>
      </c>
      <c r="AU11" s="6">
        <v>1.7000000000000001E-2</v>
      </c>
      <c r="AV11" s="6">
        <v>0</v>
      </c>
      <c r="AW11" s="6">
        <v>0</v>
      </c>
      <c r="AX11" s="3">
        <v>-2.73</v>
      </c>
      <c r="AY11" s="1065">
        <v>2.23</v>
      </c>
      <c r="AZ11" s="6">
        <v>0</v>
      </c>
      <c r="BA11" s="3">
        <v>-12</v>
      </c>
      <c r="BB11" s="6">
        <v>0</v>
      </c>
      <c r="BC11" s="6">
        <v>0</v>
      </c>
      <c r="BD11" s="6">
        <v>0</v>
      </c>
      <c r="BE11" s="3">
        <v>0.28000000000000003</v>
      </c>
      <c r="BF11" s="3">
        <v>0</v>
      </c>
      <c r="BG11" s="3">
        <v>0</v>
      </c>
      <c r="BH11" s="16">
        <v>-5.0069999999999997</v>
      </c>
      <c r="BI11" s="6">
        <v>-0.09</v>
      </c>
      <c r="BJ11" s="1054">
        <v>0.06</v>
      </c>
    </row>
    <row r="12" spans="1:62">
      <c r="A12" s="445">
        <v>2028</v>
      </c>
      <c r="B12" s="447">
        <f t="shared" si="3"/>
        <v>0</v>
      </c>
      <c r="C12" s="447">
        <f t="shared" si="4"/>
        <v>0</v>
      </c>
      <c r="D12" s="447">
        <f t="shared" si="5"/>
        <v>3.3000000000000002E-2</v>
      </c>
      <c r="E12" s="447">
        <f t="shared" si="0"/>
        <v>2.0129999999999999</v>
      </c>
      <c r="F12" s="447">
        <f t="shared" si="1"/>
        <v>0</v>
      </c>
      <c r="G12" s="447">
        <f t="shared" si="6"/>
        <v>-5.0590000000000002</v>
      </c>
      <c r="H12" s="447">
        <f t="shared" si="7"/>
        <v>-1.071</v>
      </c>
      <c r="I12" s="447">
        <f t="shared" si="8"/>
        <v>0</v>
      </c>
      <c r="J12" s="447">
        <f t="shared" si="9"/>
        <v>1.635</v>
      </c>
      <c r="K12" s="447">
        <f t="shared" si="2"/>
        <v>0.1</v>
      </c>
      <c r="L12" s="476"/>
      <c r="M12" s="447">
        <f t="shared" si="10"/>
        <v>-1.0590000000000002</v>
      </c>
      <c r="N12" s="447">
        <f t="shared" si="11"/>
        <v>0</v>
      </c>
      <c r="O12" s="7">
        <v>0.3</v>
      </c>
      <c r="P12" s="7">
        <v>1.08</v>
      </c>
      <c r="Q12" s="6">
        <v>0</v>
      </c>
      <c r="R12" s="9">
        <v>0.63300000000000001</v>
      </c>
      <c r="S12" s="15">
        <v>0</v>
      </c>
      <c r="T12" s="18">
        <v>3.3000000000000002E-2</v>
      </c>
      <c r="U12" s="6">
        <v>0</v>
      </c>
      <c r="V12" s="8">
        <v>0</v>
      </c>
      <c r="W12" s="3">
        <v>0</v>
      </c>
      <c r="X12" s="3">
        <v>0</v>
      </c>
      <c r="Y12" s="6">
        <v>0</v>
      </c>
      <c r="Z12" s="6">
        <v>0</v>
      </c>
      <c r="AA12" s="6">
        <v>0</v>
      </c>
      <c r="AB12" s="6">
        <v>0</v>
      </c>
      <c r="AC12" s="8">
        <v>0</v>
      </c>
      <c r="AD12" s="8">
        <v>0</v>
      </c>
      <c r="AE12" s="8">
        <v>0</v>
      </c>
      <c r="AF12" s="8">
        <v>0</v>
      </c>
      <c r="AG12" s="8">
        <v>-1.151</v>
      </c>
      <c r="AH12" s="8">
        <v>0.08</v>
      </c>
      <c r="AI12" s="8">
        <v>0</v>
      </c>
      <c r="AJ12" s="8">
        <v>0</v>
      </c>
      <c r="AK12" s="6">
        <v>0</v>
      </c>
      <c r="AL12" s="6">
        <v>1.635</v>
      </c>
      <c r="AM12" s="6">
        <v>0</v>
      </c>
      <c r="AN12" s="1062">
        <v>0.1</v>
      </c>
      <c r="AO12" s="1064">
        <v>0</v>
      </c>
      <c r="AP12" s="6">
        <v>0</v>
      </c>
      <c r="AQ12" s="11">
        <v>0</v>
      </c>
      <c r="AR12" s="6">
        <v>0</v>
      </c>
      <c r="AS12" s="6">
        <v>0</v>
      </c>
      <c r="AT12" s="8">
        <v>0</v>
      </c>
      <c r="AU12" s="6">
        <v>1E-3</v>
      </c>
      <c r="AV12" s="6">
        <v>0</v>
      </c>
      <c r="AW12" s="6">
        <v>0</v>
      </c>
      <c r="AX12" s="3">
        <v>-2.77</v>
      </c>
      <c r="AY12" s="1065">
        <v>1.71</v>
      </c>
      <c r="AZ12" s="6">
        <v>0</v>
      </c>
      <c r="BA12" s="3">
        <v>0</v>
      </c>
      <c r="BB12" s="6">
        <v>0</v>
      </c>
      <c r="BC12" s="6">
        <v>0</v>
      </c>
      <c r="BD12" s="6">
        <v>0</v>
      </c>
      <c r="BE12" s="3">
        <v>0.1</v>
      </c>
      <c r="BF12" s="3">
        <v>0</v>
      </c>
      <c r="BG12" s="3">
        <v>0</v>
      </c>
      <c r="BH12" s="16">
        <v>-5.069</v>
      </c>
      <c r="BI12" s="6">
        <v>-0.09</v>
      </c>
      <c r="BJ12" s="1054">
        <v>0.03</v>
      </c>
    </row>
    <row r="13" spans="1:62">
      <c r="A13" s="445">
        <v>2029</v>
      </c>
      <c r="B13" s="447">
        <f t="shared" si="3"/>
        <v>0</v>
      </c>
      <c r="C13" s="447">
        <f t="shared" si="4"/>
        <v>0</v>
      </c>
      <c r="D13" s="447">
        <f t="shared" si="5"/>
        <v>3.3000000000000002E-2</v>
      </c>
      <c r="E13" s="447">
        <f t="shared" si="0"/>
        <v>2.0129999999999999</v>
      </c>
      <c r="F13" s="447">
        <f t="shared" si="1"/>
        <v>0</v>
      </c>
      <c r="G13" s="447">
        <f t="shared" si="6"/>
        <v>-5.218</v>
      </c>
      <c r="H13" s="447">
        <f t="shared" si="7"/>
        <v>-1.964</v>
      </c>
      <c r="I13" s="447">
        <f t="shared" si="8"/>
        <v>0</v>
      </c>
      <c r="J13" s="447">
        <f t="shared" si="9"/>
        <v>-1.7000000000000001E-2</v>
      </c>
      <c r="K13" s="447">
        <f t="shared" si="2"/>
        <v>0</v>
      </c>
      <c r="L13" s="476"/>
      <c r="M13" s="447">
        <f t="shared" si="10"/>
        <v>-1.75</v>
      </c>
      <c r="N13" s="447">
        <f t="shared" si="11"/>
        <v>0</v>
      </c>
      <c r="O13" s="7">
        <v>0.3</v>
      </c>
      <c r="P13" s="7">
        <v>1.08</v>
      </c>
      <c r="Q13" s="6">
        <v>0</v>
      </c>
      <c r="R13" s="9">
        <v>0.63300000000000001</v>
      </c>
      <c r="S13" s="15">
        <v>0</v>
      </c>
      <c r="T13" s="8">
        <v>3.3000000000000002E-2</v>
      </c>
      <c r="U13" s="6">
        <v>0</v>
      </c>
      <c r="V13" s="8">
        <v>0</v>
      </c>
      <c r="W13" s="3">
        <v>0</v>
      </c>
      <c r="X13" s="3">
        <v>0</v>
      </c>
      <c r="Y13" s="6">
        <v>0</v>
      </c>
      <c r="Z13" s="6">
        <v>0</v>
      </c>
      <c r="AA13" s="6">
        <v>0</v>
      </c>
      <c r="AB13" s="6">
        <v>0</v>
      </c>
      <c r="AC13" s="8">
        <v>0</v>
      </c>
      <c r="AD13" s="8">
        <v>0</v>
      </c>
      <c r="AE13" s="8">
        <v>0</v>
      </c>
      <c r="AF13" s="8">
        <v>0</v>
      </c>
      <c r="AG13" s="6">
        <v>-2.044</v>
      </c>
      <c r="AH13" s="8">
        <v>0.08</v>
      </c>
      <c r="AI13" s="8">
        <v>0</v>
      </c>
      <c r="AJ13" s="19">
        <v>0</v>
      </c>
      <c r="AK13" s="6">
        <v>0</v>
      </c>
      <c r="AL13" s="6">
        <v>-1.7000000000000001E-2</v>
      </c>
      <c r="AM13" s="6">
        <v>0</v>
      </c>
      <c r="AN13" s="1062">
        <v>0</v>
      </c>
      <c r="AO13" s="1064">
        <v>0</v>
      </c>
      <c r="AP13" s="6">
        <v>0</v>
      </c>
      <c r="AQ13" s="11">
        <v>0</v>
      </c>
      <c r="AR13" s="6">
        <v>0</v>
      </c>
      <c r="AS13" s="6">
        <v>0</v>
      </c>
      <c r="AT13" s="8">
        <v>0</v>
      </c>
      <c r="AU13" s="6">
        <v>0</v>
      </c>
      <c r="AV13" s="6">
        <v>0</v>
      </c>
      <c r="AW13" s="6">
        <v>0</v>
      </c>
      <c r="AX13" s="3">
        <v>-2.75</v>
      </c>
      <c r="AY13" s="1065">
        <v>1</v>
      </c>
      <c r="AZ13" s="6">
        <v>0</v>
      </c>
      <c r="BA13" s="3">
        <v>0</v>
      </c>
      <c r="BB13" s="6">
        <v>0</v>
      </c>
      <c r="BC13" s="6">
        <v>0</v>
      </c>
      <c r="BD13" s="6">
        <v>0</v>
      </c>
      <c r="BE13" s="3">
        <v>0</v>
      </c>
      <c r="BF13" s="20">
        <v>0</v>
      </c>
      <c r="BG13" s="3">
        <v>0</v>
      </c>
      <c r="BH13" s="16">
        <v>-5.1180000000000003</v>
      </c>
      <c r="BI13" s="6">
        <v>-0.1</v>
      </c>
      <c r="BJ13" s="1054">
        <v>0.01</v>
      </c>
    </row>
    <row r="14" spans="1:62">
      <c r="A14" s="445">
        <v>2030</v>
      </c>
      <c r="B14" s="447">
        <f t="shared" si="3"/>
        <v>0</v>
      </c>
      <c r="C14" s="447">
        <f t="shared" si="4"/>
        <v>0</v>
      </c>
      <c r="D14" s="447">
        <f t="shared" si="5"/>
        <v>3.3000000000000002E-2</v>
      </c>
      <c r="E14" s="447">
        <f t="shared" si="0"/>
        <v>2.1130000000000004</v>
      </c>
      <c r="F14" s="447">
        <f t="shared" si="1"/>
        <v>0</v>
      </c>
      <c r="G14" s="447">
        <f t="shared" si="6"/>
        <v>-5.9420000000000002</v>
      </c>
      <c r="H14" s="447">
        <f t="shared" si="7"/>
        <v>-2.0210000000000004</v>
      </c>
      <c r="I14" s="447">
        <f t="shared" si="8"/>
        <v>0</v>
      </c>
      <c r="J14" s="447">
        <f t="shared" si="9"/>
        <v>-1.9E-2</v>
      </c>
      <c r="K14" s="447">
        <f t="shared" si="2"/>
        <v>0</v>
      </c>
      <c r="L14" s="476"/>
      <c r="M14" s="447">
        <f t="shared" si="10"/>
        <v>-7.319</v>
      </c>
      <c r="N14" s="447">
        <f t="shared" si="11"/>
        <v>0</v>
      </c>
      <c r="O14" s="7">
        <v>0.3</v>
      </c>
      <c r="P14" s="7">
        <v>1.1800000000000002</v>
      </c>
      <c r="Q14" s="6">
        <v>0</v>
      </c>
      <c r="R14" s="9">
        <v>0.63300000000000001</v>
      </c>
      <c r="S14" s="15">
        <v>0</v>
      </c>
      <c r="T14" s="8">
        <v>3.3000000000000002E-2</v>
      </c>
      <c r="U14" s="6">
        <v>0</v>
      </c>
      <c r="V14" s="8">
        <v>0</v>
      </c>
      <c r="W14" s="3">
        <v>0</v>
      </c>
      <c r="X14" s="3">
        <v>0</v>
      </c>
      <c r="Y14" s="6">
        <v>0</v>
      </c>
      <c r="Z14" s="6">
        <v>0</v>
      </c>
      <c r="AA14" s="6">
        <v>0</v>
      </c>
      <c r="AB14" s="6">
        <v>0</v>
      </c>
      <c r="AC14" s="8">
        <v>0</v>
      </c>
      <c r="AD14" s="9">
        <v>0</v>
      </c>
      <c r="AE14" s="6">
        <v>0</v>
      </c>
      <c r="AF14" s="8">
        <v>0</v>
      </c>
      <c r="AG14" s="8">
        <v>-2.1110000000000002</v>
      </c>
      <c r="AH14" s="8">
        <v>0.09</v>
      </c>
      <c r="AI14" s="8">
        <v>0</v>
      </c>
      <c r="AJ14" s="21">
        <v>0</v>
      </c>
      <c r="AK14" s="6">
        <v>0</v>
      </c>
      <c r="AL14" s="6">
        <v>-1.9E-2</v>
      </c>
      <c r="AM14" s="6">
        <v>0</v>
      </c>
      <c r="AN14" s="1062">
        <v>0</v>
      </c>
      <c r="AO14" s="1064">
        <v>0</v>
      </c>
      <c r="AP14" s="6">
        <v>0</v>
      </c>
      <c r="AQ14" s="11">
        <v>0</v>
      </c>
      <c r="AR14" s="6">
        <v>0</v>
      </c>
      <c r="AS14" s="6">
        <v>0</v>
      </c>
      <c r="AT14" s="8">
        <v>-5.4089999999999998</v>
      </c>
      <c r="AU14" s="6">
        <v>0</v>
      </c>
      <c r="AV14" s="6">
        <v>0</v>
      </c>
      <c r="AW14" s="6">
        <v>0</v>
      </c>
      <c r="AX14" s="3">
        <v>-2.71</v>
      </c>
      <c r="AY14" s="1064">
        <v>0.8</v>
      </c>
      <c r="AZ14" s="6">
        <v>0</v>
      </c>
      <c r="BA14" s="3">
        <v>0</v>
      </c>
      <c r="BB14" s="6">
        <v>0</v>
      </c>
      <c r="BC14" s="6">
        <v>0</v>
      </c>
      <c r="BD14" s="6">
        <v>0</v>
      </c>
      <c r="BE14" s="6">
        <v>0</v>
      </c>
      <c r="BF14" s="3">
        <v>0</v>
      </c>
      <c r="BG14" s="3">
        <v>0</v>
      </c>
      <c r="BH14" s="8">
        <v>-5.8319999999999999</v>
      </c>
      <c r="BI14" s="6">
        <v>-0.11</v>
      </c>
      <c r="BJ14" s="1053">
        <v>0.01</v>
      </c>
    </row>
    <row r="15" spans="1:62" ht="17" customHeight="1">
      <c r="A15" s="445">
        <v>2031</v>
      </c>
      <c r="B15" s="447">
        <f t="shared" si="3"/>
        <v>0</v>
      </c>
      <c r="C15" s="447">
        <f t="shared" si="4"/>
        <v>0</v>
      </c>
      <c r="D15" s="447">
        <f t="shared" si="5"/>
        <v>0</v>
      </c>
      <c r="E15" s="447">
        <f t="shared" si="0"/>
        <v>2.1230000000000002</v>
      </c>
      <c r="F15" s="447">
        <f t="shared" si="1"/>
        <v>0</v>
      </c>
      <c r="G15" s="447">
        <f t="shared" si="6"/>
        <v>-7.7250000000000005</v>
      </c>
      <c r="H15" s="447">
        <f t="shared" si="7"/>
        <v>-2.4630000000000001</v>
      </c>
      <c r="I15" s="447">
        <f t="shared" si="8"/>
        <v>0</v>
      </c>
      <c r="J15" s="447">
        <f t="shared" si="9"/>
        <v>-1.9E-2</v>
      </c>
      <c r="K15" s="447">
        <f t="shared" si="2"/>
        <v>0</v>
      </c>
      <c r="L15" s="476"/>
      <c r="M15" s="447">
        <f t="shared" si="10"/>
        <v>-3.0390000000000001</v>
      </c>
      <c r="N15" s="447">
        <f t="shared" si="11"/>
        <v>0</v>
      </c>
      <c r="O15" s="7">
        <v>0.3</v>
      </c>
      <c r="P15" s="7">
        <v>1.1900000000000002</v>
      </c>
      <c r="Q15" s="6">
        <v>0</v>
      </c>
      <c r="R15" s="9">
        <v>0.63300000000000001</v>
      </c>
      <c r="S15" s="15">
        <v>0</v>
      </c>
      <c r="T15" s="3">
        <v>0</v>
      </c>
      <c r="U15" s="6">
        <v>0</v>
      </c>
      <c r="V15" s="6">
        <v>0</v>
      </c>
      <c r="W15" s="3">
        <v>0</v>
      </c>
      <c r="X15" s="3">
        <v>0</v>
      </c>
      <c r="Y15" s="6">
        <v>0</v>
      </c>
      <c r="Z15" s="6">
        <v>0</v>
      </c>
      <c r="AA15" s="6">
        <v>0</v>
      </c>
      <c r="AB15" s="6">
        <v>0</v>
      </c>
      <c r="AC15" s="8">
        <v>0</v>
      </c>
      <c r="AD15" s="6">
        <v>0</v>
      </c>
      <c r="AE15" s="8">
        <v>0</v>
      </c>
      <c r="AF15" s="8">
        <v>0</v>
      </c>
      <c r="AG15" s="8">
        <v>-2.5529999999999999</v>
      </c>
      <c r="AH15" s="8">
        <v>0.09</v>
      </c>
      <c r="AI15" s="8">
        <v>0</v>
      </c>
      <c r="AJ15" s="22">
        <v>0</v>
      </c>
      <c r="AK15" s="6">
        <v>0</v>
      </c>
      <c r="AL15" s="6">
        <v>-1.9E-2</v>
      </c>
      <c r="AM15" s="6">
        <v>0</v>
      </c>
      <c r="AN15" s="1062">
        <v>0</v>
      </c>
      <c r="AO15" s="1064">
        <v>0</v>
      </c>
      <c r="AP15" s="6">
        <v>0</v>
      </c>
      <c r="AQ15" s="11">
        <v>0</v>
      </c>
      <c r="AR15" s="6">
        <v>0</v>
      </c>
      <c r="AS15" s="6">
        <v>0</v>
      </c>
      <c r="AT15" s="8">
        <v>-0.26900000000000002</v>
      </c>
      <c r="AU15" s="6">
        <v>0</v>
      </c>
      <c r="AV15" s="6">
        <v>0</v>
      </c>
      <c r="AW15" s="6">
        <v>0</v>
      </c>
      <c r="AX15" s="3">
        <v>-2.77</v>
      </c>
      <c r="AY15" s="1064">
        <v>0</v>
      </c>
      <c r="AZ15" s="6">
        <v>0</v>
      </c>
      <c r="BA15" s="3">
        <v>0</v>
      </c>
      <c r="BB15" s="6">
        <v>0</v>
      </c>
      <c r="BC15" s="6">
        <v>0</v>
      </c>
      <c r="BD15" s="6">
        <v>0</v>
      </c>
      <c r="BE15" s="6">
        <v>0</v>
      </c>
      <c r="BF15" s="3">
        <v>0</v>
      </c>
      <c r="BG15" s="3">
        <v>0</v>
      </c>
      <c r="BH15" s="8">
        <v>-5.4350000000000005</v>
      </c>
      <c r="BI15" s="6">
        <v>-2.29</v>
      </c>
      <c r="BJ15" s="1053">
        <v>0</v>
      </c>
    </row>
    <row r="16" spans="1:62">
      <c r="A16" s="446" t="s">
        <v>5</v>
      </c>
      <c r="B16" s="446">
        <f>SUM(B5:B15)</f>
        <v>412.15299999999996</v>
      </c>
      <c r="C16" s="446">
        <f>SUM(C5:C15)</f>
        <v>205.79999999999998</v>
      </c>
      <c r="D16" s="446">
        <f>SUM(D5:D15)</f>
        <v>22.711000000000006</v>
      </c>
      <c r="E16" s="446">
        <f t="shared" ref="E16:H16" si="12">SUM(E5:E15)</f>
        <v>144.88600000000005</v>
      </c>
      <c r="F16" s="446">
        <f t="shared" si="12"/>
        <v>119.563</v>
      </c>
      <c r="G16" s="446">
        <f>SUM(G5:G15)</f>
        <v>143.36999999999998</v>
      </c>
      <c r="H16" s="446">
        <f t="shared" si="12"/>
        <v>21.600999999999996</v>
      </c>
      <c r="I16" s="476">
        <f t="shared" ref="I16" si="13">SUM(I5:I15)</f>
        <v>362.04999999999995</v>
      </c>
      <c r="J16" s="476">
        <f t="shared" ref="J16" si="14">SUM(J5:J15)</f>
        <v>169.16899999999998</v>
      </c>
      <c r="K16" s="447">
        <f t="shared" si="2"/>
        <v>62.17</v>
      </c>
      <c r="L16" s="476">
        <f>SUM(L5:L15)</f>
        <v>25.75</v>
      </c>
      <c r="M16" s="447">
        <f t="shared" si="10"/>
        <v>135.74799999999999</v>
      </c>
      <c r="N16" s="447">
        <f>AK16</f>
        <v>8.5</v>
      </c>
      <c r="O16" s="6">
        <f t="shared" ref="O16:BI16" si="15">SUM(O5:O15)</f>
        <v>109.42</v>
      </c>
      <c r="P16" s="6">
        <f t="shared" si="15"/>
        <v>25.819999999999997</v>
      </c>
      <c r="Q16" s="6">
        <f t="shared" si="15"/>
        <v>412.15299999999996</v>
      </c>
      <c r="R16" s="6">
        <f t="shared" si="15"/>
        <v>5.774</v>
      </c>
      <c r="S16" s="6">
        <f t="shared" si="15"/>
        <v>3.8719999999999999</v>
      </c>
      <c r="T16" s="6">
        <f t="shared" si="15"/>
        <v>22.711000000000006</v>
      </c>
      <c r="U16" s="6">
        <f t="shared" si="15"/>
        <v>41.599999999999994</v>
      </c>
      <c r="V16" s="6">
        <f t="shared" si="15"/>
        <v>44.947999999999993</v>
      </c>
      <c r="W16" s="6">
        <f t="shared" si="15"/>
        <v>5</v>
      </c>
      <c r="X16" s="6">
        <f t="shared" si="15"/>
        <v>1.4440000000000002</v>
      </c>
      <c r="Y16" s="6">
        <f t="shared" si="15"/>
        <v>0.2</v>
      </c>
      <c r="Z16" s="6">
        <f t="shared" si="15"/>
        <v>45.4</v>
      </c>
      <c r="AA16" s="6">
        <f t="shared" si="15"/>
        <v>35.5</v>
      </c>
      <c r="AB16" s="6">
        <f t="shared" si="15"/>
        <v>124.7</v>
      </c>
      <c r="AC16" s="6">
        <f t="shared" si="15"/>
        <v>28</v>
      </c>
      <c r="AD16" s="6">
        <f t="shared" si="15"/>
        <v>9.100000000000022E-2</v>
      </c>
      <c r="AE16" s="6">
        <f t="shared" si="15"/>
        <v>22.810000000000002</v>
      </c>
      <c r="AF16" s="6">
        <f t="shared" si="15"/>
        <v>1.42</v>
      </c>
      <c r="AG16" s="6">
        <f t="shared" si="15"/>
        <v>20.662999999999997</v>
      </c>
      <c r="AH16" s="6">
        <f t="shared" si="15"/>
        <v>0.86999999999999988</v>
      </c>
      <c r="AI16" s="6">
        <f t="shared" si="15"/>
        <v>6.8000000000000005E-2</v>
      </c>
      <c r="AJ16" s="6">
        <f t="shared" si="15"/>
        <v>362.04999999999995</v>
      </c>
      <c r="AK16" s="6">
        <f t="shared" ref="AK16:AO16" si="16">SUM(AK5:AK15)</f>
        <v>8.5</v>
      </c>
      <c r="AL16" s="6">
        <f t="shared" si="16"/>
        <v>169.16899999999998</v>
      </c>
      <c r="AM16" s="23">
        <f t="shared" si="16"/>
        <v>0.79700000000000004</v>
      </c>
      <c r="AN16" s="1062">
        <f t="shared" si="16"/>
        <v>8.6</v>
      </c>
      <c r="AO16" s="1062">
        <f t="shared" si="16"/>
        <v>3.2000000000000006</v>
      </c>
      <c r="AP16" s="6">
        <f t="shared" si="15"/>
        <v>2.8000000000000003</v>
      </c>
      <c r="AQ16" s="24">
        <f>SUM(AQ5:AQ15)</f>
        <v>28</v>
      </c>
      <c r="AR16" s="6">
        <f>SUM(AR5:AR15)</f>
        <v>14.899999999999999</v>
      </c>
      <c r="AS16" s="6">
        <f>SUM(AS5:AS15)</f>
        <v>3.8730000000000002</v>
      </c>
      <c r="AT16" s="6">
        <f t="shared" si="15"/>
        <v>-5.6779999999999999</v>
      </c>
      <c r="AU16" s="6">
        <f t="shared" si="15"/>
        <v>8.177999999999999</v>
      </c>
      <c r="AV16" s="6">
        <f t="shared" si="15"/>
        <v>16.667999999999999</v>
      </c>
      <c r="AW16" s="6">
        <f t="shared" si="15"/>
        <v>9.9</v>
      </c>
      <c r="AX16" s="6">
        <f t="shared" si="15"/>
        <v>-25.860000000000003</v>
      </c>
      <c r="AY16" s="1062">
        <f t="shared" si="15"/>
        <v>50.54999999999999</v>
      </c>
      <c r="AZ16" s="6">
        <f t="shared" si="15"/>
        <v>81.99</v>
      </c>
      <c r="BA16" s="6">
        <v>0</v>
      </c>
      <c r="BB16" s="6">
        <f t="shared" si="15"/>
        <v>24</v>
      </c>
      <c r="BC16" s="6">
        <f t="shared" si="15"/>
        <v>3.8</v>
      </c>
      <c r="BD16" s="6">
        <f t="shared" si="15"/>
        <v>46.199999999999996</v>
      </c>
      <c r="BE16" s="6">
        <f t="shared" si="15"/>
        <v>9.02</v>
      </c>
      <c r="BF16" s="6">
        <f t="shared" si="15"/>
        <v>6.2439999999999998</v>
      </c>
      <c r="BG16" s="6">
        <f t="shared" si="15"/>
        <v>10.218</v>
      </c>
      <c r="BH16" s="6">
        <f t="shared" si="15"/>
        <v>50.203999999999979</v>
      </c>
      <c r="BI16" s="6">
        <f t="shared" si="15"/>
        <v>24.684000000000005</v>
      </c>
      <c r="BJ16" s="1055">
        <f>SUM(BJ5:BJ15)</f>
        <v>9.5399999999999991</v>
      </c>
    </row>
    <row r="17" spans="2:59">
      <c r="R17" s="9"/>
      <c r="S17" s="9"/>
      <c r="W17" s="9"/>
      <c r="X17" s="9"/>
      <c r="AE17" s="9"/>
      <c r="AF17" s="9"/>
      <c r="AU17" s="9"/>
      <c r="AV17" s="9"/>
      <c r="AW17" s="9"/>
      <c r="AX17" s="9"/>
      <c r="AY17" s="9"/>
      <c r="AZ17" s="9"/>
      <c r="BA17" s="9"/>
      <c r="BC17" s="9"/>
      <c r="BE17" s="9"/>
      <c r="BF17" s="9"/>
      <c r="BG17" s="9"/>
    </row>
    <row r="18" spans="2:59">
      <c r="R18" s="9"/>
      <c r="S18" s="9"/>
      <c r="W18" s="9"/>
      <c r="X18" s="9"/>
      <c r="AE18" s="9"/>
      <c r="AF18" s="9"/>
      <c r="AU18" s="9"/>
      <c r="AV18" s="9"/>
      <c r="AW18" s="9"/>
      <c r="AX18" s="9"/>
      <c r="AY18" s="9"/>
      <c r="AZ18" s="9"/>
      <c r="BA18" s="9"/>
      <c r="BC18" s="9"/>
      <c r="BE18" s="9"/>
      <c r="BF18" s="9"/>
      <c r="BG18" s="9"/>
    </row>
    <row r="19" spans="2:59">
      <c r="B19" s="25"/>
      <c r="C19" s="25"/>
      <c r="D19" s="25"/>
      <c r="E19" s="25"/>
      <c r="F19" s="25"/>
      <c r="H19" s="25"/>
      <c r="I19" s="25"/>
      <c r="J19" s="25"/>
      <c r="K19" s="25"/>
      <c r="M19" s="25"/>
      <c r="N19" s="25"/>
      <c r="R19" s="9"/>
      <c r="S19" s="9"/>
      <c r="W19" s="9"/>
      <c r="X19" s="9"/>
      <c r="AE19" s="9"/>
      <c r="AF19" s="9"/>
      <c r="AU19" s="9"/>
      <c r="AV19" s="9"/>
      <c r="AW19" s="9"/>
      <c r="AX19" s="9"/>
      <c r="AY19" s="9"/>
      <c r="AZ19" s="9"/>
      <c r="BA19" s="9"/>
      <c r="BC19" s="9"/>
      <c r="BE19" s="9"/>
      <c r="BF19" s="9"/>
      <c r="BG19" s="9"/>
    </row>
    <row r="20" spans="2:59">
      <c r="R20" s="9"/>
      <c r="S20" s="9"/>
      <c r="W20" s="9"/>
      <c r="X20" s="9"/>
      <c r="AE20" s="9"/>
      <c r="AF20" s="9"/>
      <c r="AU20" s="9"/>
      <c r="AV20" s="9"/>
      <c r="AW20" s="9"/>
      <c r="AX20" s="9"/>
      <c r="AY20" s="9"/>
      <c r="AZ20" s="9"/>
      <c r="BA20" s="9"/>
      <c r="BC20" s="9"/>
      <c r="BE20" s="9"/>
      <c r="BF20" s="9"/>
      <c r="BG20" s="9"/>
    </row>
    <row r="21" spans="2:59">
      <c r="R21" s="9"/>
      <c r="S21" s="9"/>
      <c r="W21" s="9"/>
      <c r="X21" s="9"/>
      <c r="AE21" s="9"/>
      <c r="AF21" s="9"/>
      <c r="AU21" s="9"/>
      <c r="AV21" s="9"/>
      <c r="AW21" s="9"/>
      <c r="AX21" s="9"/>
      <c r="AY21" s="9"/>
      <c r="AZ21" s="9"/>
      <c r="BA21" s="9"/>
      <c r="BC21" s="9"/>
      <c r="BE21" s="9"/>
      <c r="BF21" s="9"/>
      <c r="BG21" s="9"/>
    </row>
    <row r="22" spans="2:59">
      <c r="B22" s="25"/>
      <c r="R22" s="9"/>
      <c r="S22" s="9"/>
      <c r="W22" s="9"/>
      <c r="X22" s="9"/>
      <c r="AE22" s="9"/>
      <c r="AF22" s="9"/>
      <c r="AU22" s="9"/>
      <c r="AV22" s="9"/>
      <c r="AW22" s="9"/>
      <c r="AX22" s="9"/>
      <c r="AY22" s="9"/>
      <c r="AZ22" s="9"/>
      <c r="BA22" s="9"/>
      <c r="BC22" s="9"/>
      <c r="BE22" s="9"/>
      <c r="BF22" s="9"/>
      <c r="BG22" s="9"/>
    </row>
    <row r="23" spans="2:59">
      <c r="B23" s="25"/>
      <c r="R23" s="9"/>
      <c r="S23" s="9"/>
      <c r="W23" s="9"/>
      <c r="X23" s="9"/>
      <c r="AE23" s="9"/>
      <c r="AF23" s="9"/>
      <c r="AU23" s="9"/>
      <c r="AV23" s="9"/>
      <c r="AW23" s="9"/>
      <c r="AX23" s="9"/>
      <c r="AY23" s="9"/>
      <c r="AZ23" s="9"/>
      <c r="BA23" s="9"/>
      <c r="BC23" s="9"/>
      <c r="BE23" s="9"/>
      <c r="BF23" s="9"/>
      <c r="BG23" s="9"/>
    </row>
    <row r="24" spans="2:59">
      <c r="B24" s="25"/>
      <c r="R24" s="9"/>
      <c r="S24" s="9"/>
      <c r="W24" s="9"/>
      <c r="X24" s="9"/>
      <c r="AE24" s="9"/>
      <c r="AF24" s="9"/>
      <c r="AU24" s="9"/>
      <c r="AV24" s="9"/>
      <c r="AW24" s="9"/>
      <c r="AX24" s="9"/>
      <c r="AY24" s="9"/>
      <c r="AZ24" s="9"/>
      <c r="BA24" s="9"/>
      <c r="BC24" s="9"/>
      <c r="BE24" s="9"/>
      <c r="BF24" s="9"/>
      <c r="BG24" s="9"/>
    </row>
    <row r="25" spans="2:59">
      <c r="B25" s="25"/>
      <c r="R25" s="9"/>
      <c r="S25" s="9"/>
      <c r="W25" s="9"/>
      <c r="X25" s="9"/>
      <c r="AE25" s="9"/>
      <c r="AF25" s="9"/>
      <c r="AU25" s="9"/>
      <c r="AV25" s="9"/>
      <c r="AW25" s="9"/>
      <c r="AX25" s="9"/>
      <c r="AY25" s="9"/>
      <c r="AZ25" s="9"/>
      <c r="BA25" s="9"/>
      <c r="BC25" s="9"/>
      <c r="BE25" s="9"/>
      <c r="BF25" s="9"/>
      <c r="BG25" s="9"/>
    </row>
    <row r="26" spans="2:59">
      <c r="B26" s="25"/>
      <c r="R26" s="9"/>
      <c r="S26" s="9"/>
      <c r="W26" s="9"/>
      <c r="X26" s="9"/>
      <c r="AE26" s="9"/>
      <c r="AF26" s="9"/>
      <c r="AU26" s="9"/>
      <c r="AV26" s="9"/>
      <c r="AW26" s="9"/>
      <c r="AX26" s="9"/>
      <c r="AY26" s="9"/>
      <c r="AZ26" s="9"/>
      <c r="BA26" s="9"/>
      <c r="BC26" s="9"/>
      <c r="BE26" s="9"/>
      <c r="BF26" s="9"/>
      <c r="BG26" s="9"/>
    </row>
    <row r="27" spans="2:59">
      <c r="B27" s="25"/>
      <c r="R27" s="9"/>
      <c r="S27" s="9"/>
      <c r="W27" s="9"/>
      <c r="X27" s="9"/>
      <c r="AE27" s="9"/>
      <c r="AF27" s="9"/>
      <c r="AU27" s="9"/>
      <c r="AV27" s="9"/>
      <c r="AW27" s="9"/>
      <c r="AX27" s="9"/>
      <c r="AY27" s="9"/>
      <c r="AZ27" s="9"/>
      <c r="BA27" s="9"/>
      <c r="BC27" s="9"/>
      <c r="BE27" s="9"/>
      <c r="BF27" s="9"/>
      <c r="BG27" s="9"/>
    </row>
    <row r="28" spans="2:59">
      <c r="B28" s="25"/>
      <c r="R28" s="9"/>
      <c r="S28" s="9"/>
      <c r="W28" s="9"/>
      <c r="X28" s="9"/>
      <c r="AE28" s="9"/>
      <c r="AF28" s="9"/>
      <c r="AU28" s="9"/>
      <c r="AV28" s="9"/>
      <c r="AW28" s="9"/>
      <c r="AX28" s="9"/>
      <c r="AY28" s="9"/>
      <c r="AZ28" s="9"/>
      <c r="BA28" s="9"/>
      <c r="BC28" s="9"/>
      <c r="BE28" s="9"/>
      <c r="BF28" s="9"/>
      <c r="BG28" s="9"/>
    </row>
    <row r="29" spans="2:59">
      <c r="R29" s="9"/>
      <c r="S29" s="9"/>
      <c r="W29" s="9"/>
      <c r="X29" s="9"/>
      <c r="AE29" s="9"/>
      <c r="AF29" s="9"/>
      <c r="AU29" s="9"/>
      <c r="AV29" s="9"/>
      <c r="AW29" s="9"/>
      <c r="AX29" s="9"/>
      <c r="AY29" s="9"/>
      <c r="AZ29" s="9"/>
      <c r="BA29" s="9"/>
      <c r="BC29" s="9"/>
      <c r="BE29" s="9"/>
      <c r="BF29" s="9"/>
      <c r="BG29" s="9"/>
    </row>
    <row r="30" spans="2:59">
      <c r="R30" s="9"/>
      <c r="S30" s="9"/>
      <c r="W30" s="9"/>
      <c r="X30" s="9"/>
      <c r="AE30" s="9"/>
      <c r="AF30" s="9"/>
      <c r="AU30" s="9"/>
      <c r="AV30" s="9"/>
      <c r="AW30" s="9"/>
      <c r="AX30" s="9"/>
      <c r="AY30" s="9"/>
      <c r="AZ30" s="9"/>
      <c r="BA30" s="9"/>
      <c r="BC30" s="9"/>
      <c r="BE30" s="9"/>
      <c r="BF30" s="9"/>
      <c r="BG30" s="9"/>
    </row>
    <row r="31" spans="2:59">
      <c r="R31" s="9"/>
      <c r="S31" s="9"/>
      <c r="W31" s="9"/>
      <c r="X31" s="9"/>
      <c r="AE31" s="9"/>
      <c r="AF31" s="9"/>
      <c r="AU31" s="9"/>
      <c r="AV31" s="9"/>
      <c r="AW31" s="9"/>
      <c r="AX31" s="9"/>
      <c r="AY31" s="9"/>
      <c r="AZ31" s="9"/>
      <c r="BA31" s="9"/>
      <c r="BC31" s="9"/>
      <c r="BE31" s="9"/>
      <c r="BF31" s="9"/>
      <c r="BG31" s="9"/>
    </row>
    <row r="32" spans="2:59">
      <c r="R32" s="9"/>
      <c r="S32" s="9"/>
      <c r="W32" s="9"/>
      <c r="X32" s="9"/>
      <c r="AE32" s="9"/>
      <c r="AF32" s="9"/>
      <c r="AU32" s="9"/>
      <c r="AV32" s="9"/>
      <c r="AW32" s="9"/>
      <c r="AX32" s="9"/>
      <c r="AY32" s="9"/>
      <c r="AZ32" s="9"/>
      <c r="BA32" s="9"/>
      <c r="BC32" s="9"/>
      <c r="BE32" s="9"/>
      <c r="BF32" s="9"/>
      <c r="BG32" s="9"/>
    </row>
    <row r="33" spans="18:59">
      <c r="R33" s="9"/>
      <c r="S33" s="9"/>
      <c r="W33" s="9"/>
      <c r="X33" s="9"/>
      <c r="AE33" s="9"/>
      <c r="AF33" s="9"/>
      <c r="AU33" s="9"/>
      <c r="AV33" s="9"/>
      <c r="AW33" s="9"/>
      <c r="AX33" s="9"/>
      <c r="AY33" s="9"/>
      <c r="AZ33" s="9"/>
      <c r="BA33" s="9"/>
      <c r="BC33" s="9"/>
      <c r="BE33" s="9"/>
      <c r="BF33" s="9"/>
      <c r="BG33" s="9"/>
    </row>
    <row r="34" spans="18:59">
      <c r="R34" s="9"/>
      <c r="S34" s="9"/>
      <c r="W34" s="9"/>
      <c r="X34" s="9"/>
      <c r="AE34" s="9"/>
      <c r="AF34" s="9"/>
      <c r="AU34" s="9"/>
      <c r="AV34" s="9"/>
      <c r="AW34" s="9"/>
      <c r="AX34" s="9"/>
      <c r="AY34" s="9"/>
      <c r="AZ34" s="9"/>
      <c r="BA34" s="9"/>
      <c r="BC34" s="9"/>
      <c r="BE34" s="9"/>
      <c r="BF34" s="9"/>
      <c r="BG34" s="9"/>
    </row>
    <row r="35" spans="18:59">
      <c r="R35" s="9"/>
      <c r="S35" s="9"/>
      <c r="W35" s="9"/>
      <c r="X35" s="9"/>
      <c r="AE35" s="9"/>
      <c r="AF35" s="9"/>
      <c r="AU35" s="9"/>
      <c r="AV35" s="9"/>
      <c r="AW35" s="9"/>
      <c r="AX35" s="9"/>
      <c r="AY35" s="9"/>
      <c r="AZ35" s="9"/>
      <c r="BA35" s="9"/>
      <c r="BC35" s="9"/>
      <c r="BE35" s="9"/>
      <c r="BF35" s="9"/>
      <c r="BG35" s="9"/>
    </row>
    <row r="36" spans="18:59">
      <c r="R36" s="9"/>
      <c r="S36" s="9"/>
      <c r="W36" s="9"/>
      <c r="X36" s="9"/>
      <c r="AE36" s="9"/>
      <c r="AF36" s="9"/>
      <c r="AU36" s="9"/>
      <c r="AV36" s="9"/>
      <c r="AW36" s="9"/>
      <c r="AX36" s="9"/>
      <c r="AY36" s="9"/>
      <c r="AZ36" s="9"/>
      <c r="BA36" s="9"/>
      <c r="BC36" s="9"/>
      <c r="BE36" s="9"/>
      <c r="BF36" s="9"/>
      <c r="BG36" s="9"/>
    </row>
    <row r="37" spans="18:59">
      <c r="R37" s="9"/>
      <c r="S37" s="9"/>
      <c r="W37" s="9"/>
      <c r="X37" s="9"/>
      <c r="AE37" s="9"/>
      <c r="AF37" s="9"/>
      <c r="AU37" s="9"/>
      <c r="AV37" s="9"/>
      <c r="AW37" s="9"/>
      <c r="AX37" s="9"/>
      <c r="AY37" s="9"/>
      <c r="AZ37" s="9"/>
      <c r="BA37" s="9"/>
      <c r="BC37" s="9"/>
      <c r="BE37" s="9"/>
      <c r="BF37" s="9"/>
      <c r="BG37" s="9"/>
    </row>
    <row r="38" spans="18:59">
      <c r="R38" s="9"/>
      <c r="S38" s="9"/>
      <c r="W38" s="9"/>
      <c r="X38" s="9"/>
      <c r="AE38" s="9"/>
      <c r="AF38" s="9"/>
      <c r="AU38" s="9"/>
      <c r="AV38" s="9"/>
      <c r="AW38" s="9"/>
      <c r="AX38" s="9"/>
      <c r="AY38" s="9"/>
      <c r="AZ38" s="9"/>
      <c r="BA38" s="9"/>
      <c r="BC38" s="9"/>
      <c r="BE38" s="9"/>
      <c r="BF38" s="9"/>
      <c r="BG38" s="9"/>
    </row>
    <row r="39" spans="18:59">
      <c r="R39" s="9"/>
      <c r="S39" s="9"/>
      <c r="W39" s="9"/>
      <c r="X39" s="9"/>
      <c r="AE39" s="9"/>
      <c r="AF39" s="9"/>
      <c r="AU39" s="9"/>
      <c r="AV39" s="9"/>
      <c r="AW39" s="9"/>
      <c r="AX39" s="9"/>
      <c r="AY39" s="9"/>
      <c r="AZ39" s="9"/>
      <c r="BA39" s="9"/>
      <c r="BC39" s="9"/>
      <c r="BE39" s="9"/>
      <c r="BF39" s="9"/>
      <c r="BG39" s="9"/>
    </row>
    <row r="40" spans="18:59">
      <c r="R40" s="9"/>
      <c r="S40" s="9"/>
      <c r="W40" s="9"/>
      <c r="X40" s="9"/>
      <c r="AE40" s="9"/>
      <c r="AF40" s="9"/>
      <c r="AU40" s="9"/>
      <c r="AV40" s="9"/>
      <c r="AW40" s="9"/>
      <c r="AX40" s="9"/>
      <c r="AY40" s="9"/>
      <c r="AZ40" s="9"/>
      <c r="BA40" s="9"/>
      <c r="BC40" s="9"/>
      <c r="BE40" s="9"/>
      <c r="BF40" s="9"/>
      <c r="BG40" s="9"/>
    </row>
    <row r="41" spans="18:59">
      <c r="R41" s="9"/>
      <c r="S41" s="9"/>
      <c r="W41" s="9"/>
      <c r="X41" s="9"/>
      <c r="AE41" s="9"/>
      <c r="AF41" s="9"/>
      <c r="AU41" s="9"/>
      <c r="AV41" s="9"/>
      <c r="AW41" s="9"/>
      <c r="AX41" s="9"/>
      <c r="AY41" s="9"/>
      <c r="AZ41" s="9"/>
      <c r="BA41" s="9"/>
      <c r="BC41" s="9"/>
      <c r="BE41" s="9"/>
      <c r="BF41" s="9"/>
      <c r="BG41" s="9"/>
    </row>
    <row r="42" spans="18:59">
      <c r="R42" s="9"/>
      <c r="S42" s="9"/>
      <c r="W42" s="9"/>
      <c r="X42" s="9"/>
      <c r="AE42" s="9"/>
      <c r="AF42" s="9"/>
      <c r="AU42" s="9"/>
      <c r="AV42" s="9"/>
      <c r="AW42" s="9"/>
      <c r="AX42" s="9"/>
      <c r="AY42" s="9"/>
      <c r="AZ42" s="9"/>
      <c r="BA42" s="9"/>
      <c r="BC42" s="9"/>
      <c r="BE42" s="9"/>
      <c r="BF42" s="9"/>
      <c r="BG42" s="9"/>
    </row>
    <row r="43" spans="18:59">
      <c r="R43" s="9"/>
      <c r="S43" s="9"/>
      <c r="W43" s="9"/>
      <c r="X43" s="9"/>
      <c r="AE43" s="9"/>
      <c r="AF43" s="9"/>
      <c r="AU43" s="9"/>
      <c r="AV43" s="9"/>
      <c r="AW43" s="9"/>
      <c r="AX43" s="9"/>
      <c r="AY43" s="9"/>
      <c r="AZ43" s="9"/>
      <c r="BA43" s="9"/>
      <c r="BC43" s="9"/>
      <c r="BE43" s="9"/>
      <c r="BF43" s="9"/>
      <c r="BG43" s="9"/>
    </row>
    <row r="44" spans="18:59">
      <c r="R44" s="9"/>
      <c r="S44" s="9"/>
      <c r="W44" s="9"/>
      <c r="X44" s="9"/>
      <c r="AE44" s="9"/>
      <c r="AF44" s="9"/>
      <c r="AU44" s="9"/>
      <c r="AV44" s="9"/>
      <c r="AW44" s="9"/>
      <c r="AX44" s="9"/>
      <c r="AY44" s="9"/>
      <c r="AZ44" s="9"/>
      <c r="BA44" s="9"/>
      <c r="BC44" s="9"/>
      <c r="BE44" s="9"/>
      <c r="BF44" s="9"/>
      <c r="BG44" s="9"/>
    </row>
    <row r="45" spans="18:59">
      <c r="R45" s="9"/>
      <c r="S45" s="9"/>
      <c r="W45" s="9"/>
      <c r="X45" s="9"/>
      <c r="AE45" s="9"/>
      <c r="AF45" s="9"/>
      <c r="AU45" s="9"/>
      <c r="AV45" s="9"/>
      <c r="AW45" s="9"/>
      <c r="AX45" s="9"/>
      <c r="AY45" s="9"/>
      <c r="AZ45" s="9"/>
      <c r="BA45" s="9"/>
      <c r="BC45" s="9"/>
      <c r="BE45" s="9"/>
      <c r="BF45" s="9"/>
      <c r="BG45" s="9"/>
    </row>
    <row r="46" spans="18:59">
      <c r="R46" s="9"/>
      <c r="S46" s="9"/>
      <c r="W46" s="9"/>
      <c r="X46" s="9"/>
      <c r="AE46" s="9"/>
      <c r="AF46" s="9"/>
      <c r="AU46" s="9"/>
      <c r="AV46" s="9"/>
      <c r="AW46" s="9"/>
      <c r="AX46" s="9"/>
      <c r="AY46" s="9"/>
      <c r="AZ46" s="9"/>
      <c r="BA46" s="9"/>
      <c r="BC46" s="9"/>
      <c r="BE46" s="9"/>
      <c r="BF46" s="9"/>
      <c r="BG46" s="9"/>
    </row>
    <row r="47" spans="18:59">
      <c r="R47" s="9"/>
      <c r="S47" s="9"/>
      <c r="W47" s="9"/>
      <c r="X47" s="9"/>
      <c r="AE47" s="9"/>
      <c r="AF47" s="9"/>
      <c r="AU47" s="9"/>
      <c r="AV47" s="9"/>
      <c r="AW47" s="9"/>
      <c r="AX47" s="9"/>
      <c r="AY47" s="9"/>
      <c r="AZ47" s="9"/>
      <c r="BA47" s="9"/>
      <c r="BC47" s="9"/>
      <c r="BE47" s="9"/>
      <c r="BF47" s="9"/>
      <c r="BG47" s="9"/>
    </row>
    <row r="48" spans="18:59">
      <c r="R48" s="9"/>
      <c r="S48" s="9"/>
      <c r="W48" s="9"/>
      <c r="X48" s="9"/>
      <c r="AE48" s="9"/>
      <c r="AF48" s="9"/>
      <c r="AU48" s="9"/>
      <c r="AV48" s="9"/>
      <c r="AW48" s="9"/>
      <c r="AX48" s="9"/>
      <c r="AY48" s="9"/>
      <c r="AZ48" s="9"/>
      <c r="BA48" s="9"/>
      <c r="BC48" s="9"/>
      <c r="BE48" s="9"/>
      <c r="BF48" s="9"/>
      <c r="BG48" s="9"/>
    </row>
    <row r="49" spans="18:59">
      <c r="R49" s="9"/>
      <c r="S49" s="9"/>
      <c r="W49" s="9"/>
      <c r="X49" s="9"/>
      <c r="AE49" s="9"/>
      <c r="AF49" s="9"/>
      <c r="AU49" s="9"/>
      <c r="AV49" s="9"/>
      <c r="AW49" s="9"/>
      <c r="AX49" s="9"/>
      <c r="AY49" s="9"/>
      <c r="AZ49" s="9"/>
      <c r="BA49" s="9"/>
      <c r="BC49" s="9"/>
      <c r="BE49" s="9"/>
      <c r="BF49" s="9"/>
      <c r="BG49" s="9"/>
    </row>
    <row r="50" spans="18:59">
      <c r="R50" s="9"/>
      <c r="S50" s="9"/>
      <c r="W50" s="9"/>
      <c r="X50" s="9"/>
      <c r="AE50" s="9"/>
      <c r="AF50" s="9"/>
      <c r="AU50" s="9"/>
      <c r="AV50" s="9"/>
      <c r="AW50" s="9"/>
      <c r="AX50" s="9"/>
      <c r="AY50" s="9"/>
      <c r="AZ50" s="9"/>
      <c r="BA50" s="9"/>
      <c r="BC50" s="9"/>
      <c r="BE50" s="9"/>
      <c r="BF50" s="9"/>
      <c r="BG50" s="9"/>
    </row>
    <row r="51" spans="18:59">
      <c r="R51" s="9"/>
      <c r="S51" s="9"/>
      <c r="W51" s="9"/>
      <c r="X51" s="9"/>
      <c r="AE51" s="9"/>
      <c r="AF51" s="9"/>
      <c r="AU51" s="9"/>
      <c r="AV51" s="9"/>
      <c r="AW51" s="9"/>
      <c r="AX51" s="9"/>
      <c r="AY51" s="9"/>
      <c r="AZ51" s="9"/>
      <c r="BA51" s="9"/>
      <c r="BC51" s="9"/>
      <c r="BE51" s="9"/>
      <c r="BF51" s="9"/>
      <c r="BG51" s="9"/>
    </row>
    <row r="52" spans="18:59">
      <c r="R52" s="9"/>
      <c r="S52" s="9"/>
      <c r="W52" s="9"/>
      <c r="X52" s="9"/>
      <c r="AE52" s="9"/>
      <c r="AF52" s="9"/>
      <c r="AU52" s="9"/>
      <c r="AV52" s="9"/>
      <c r="AW52" s="9"/>
      <c r="AX52" s="9"/>
      <c r="AY52" s="9"/>
      <c r="AZ52" s="9"/>
      <c r="BA52" s="9"/>
      <c r="BC52" s="9"/>
      <c r="BE52" s="9"/>
      <c r="BF52" s="9"/>
      <c r="BG52" s="9"/>
    </row>
    <row r="53" spans="18:59">
      <c r="R53" s="9"/>
      <c r="S53" s="9"/>
      <c r="W53" s="9"/>
      <c r="X53" s="9"/>
      <c r="AE53" s="9"/>
      <c r="AF53" s="9"/>
      <c r="AU53" s="9"/>
      <c r="AV53" s="9"/>
      <c r="AW53" s="9"/>
      <c r="AX53" s="9"/>
      <c r="AY53" s="9"/>
      <c r="AZ53" s="9"/>
      <c r="BA53" s="9"/>
      <c r="BC53" s="9"/>
      <c r="BE53" s="9"/>
      <c r="BF53" s="9"/>
      <c r="BG53" s="9"/>
    </row>
    <row r="54" spans="18:59">
      <c r="R54" s="9"/>
      <c r="S54" s="9"/>
      <c r="W54" s="9"/>
      <c r="X54" s="9"/>
      <c r="AE54" s="9"/>
      <c r="AF54" s="9"/>
      <c r="AU54" s="9"/>
      <c r="AV54" s="9"/>
      <c r="AW54" s="9"/>
      <c r="AX54" s="9"/>
      <c r="AY54" s="9"/>
      <c r="AZ54" s="9"/>
      <c r="BA54" s="9"/>
      <c r="BC54" s="9"/>
      <c r="BE54" s="9"/>
      <c r="BF54" s="9"/>
      <c r="BG54" s="9"/>
    </row>
    <row r="55" spans="18:59">
      <c r="R55" s="9"/>
      <c r="S55" s="9"/>
      <c r="W55" s="9"/>
      <c r="X55" s="9"/>
      <c r="AE55" s="9"/>
      <c r="AF55" s="9"/>
      <c r="AU55" s="9"/>
      <c r="AV55" s="9"/>
      <c r="AW55" s="9"/>
      <c r="AX55" s="9"/>
      <c r="AY55" s="9"/>
      <c r="AZ55" s="9"/>
      <c r="BA55" s="9"/>
      <c r="BC55" s="9"/>
      <c r="BE55" s="9"/>
      <c r="BF55" s="9"/>
      <c r="BG55" s="9"/>
    </row>
    <row r="56" spans="18:59">
      <c r="R56" s="9"/>
      <c r="S56" s="9"/>
      <c r="W56" s="9"/>
      <c r="X56" s="9"/>
      <c r="AE56" s="9"/>
      <c r="AF56" s="9"/>
      <c r="AU56" s="9"/>
      <c r="AV56" s="9"/>
      <c r="AW56" s="9"/>
      <c r="AX56" s="9"/>
      <c r="AY56" s="9"/>
      <c r="AZ56" s="9"/>
      <c r="BA56" s="9"/>
      <c r="BC56" s="9"/>
      <c r="BE56" s="9"/>
      <c r="BF56" s="9"/>
      <c r="BG56" s="9"/>
    </row>
    <row r="57" spans="18:59">
      <c r="R57" s="9"/>
      <c r="S57" s="9"/>
      <c r="W57" s="9"/>
      <c r="X57" s="9"/>
      <c r="AE57" s="9"/>
      <c r="AF57" s="9"/>
      <c r="AU57" s="9"/>
      <c r="AV57" s="9"/>
      <c r="AW57" s="9"/>
      <c r="AX57" s="9"/>
      <c r="AY57" s="9"/>
      <c r="AZ57" s="9"/>
      <c r="BA57" s="9"/>
      <c r="BC57" s="9"/>
      <c r="BE57" s="9"/>
      <c r="BF57" s="9"/>
      <c r="BG57" s="9"/>
    </row>
    <row r="58" spans="18:59">
      <c r="R58" s="9"/>
      <c r="S58" s="9"/>
      <c r="W58" s="9"/>
      <c r="X58" s="9"/>
      <c r="AE58" s="9"/>
      <c r="AF58" s="9"/>
      <c r="AU58" s="9"/>
      <c r="AV58" s="9"/>
      <c r="AW58" s="9"/>
      <c r="AX58" s="9"/>
      <c r="AY58" s="9"/>
      <c r="AZ58" s="9"/>
      <c r="BA58" s="9"/>
      <c r="BC58" s="9"/>
      <c r="BE58" s="9"/>
      <c r="BF58" s="9"/>
      <c r="BG58" s="9"/>
    </row>
    <row r="59" spans="18:59">
      <c r="R59" s="9"/>
      <c r="S59" s="9"/>
      <c r="W59" s="9"/>
      <c r="X59" s="9"/>
      <c r="AE59" s="9"/>
      <c r="AF59" s="9"/>
      <c r="AU59" s="9"/>
      <c r="AV59" s="9"/>
      <c r="AW59" s="9"/>
      <c r="AX59" s="9"/>
      <c r="AY59" s="9"/>
      <c r="AZ59" s="9"/>
      <c r="BA59" s="9"/>
      <c r="BC59" s="9"/>
      <c r="BE59" s="9"/>
      <c r="BF59" s="9"/>
      <c r="BG59" s="9"/>
    </row>
    <row r="60" spans="18:59">
      <c r="R60" s="9"/>
      <c r="S60" s="9"/>
      <c r="W60" s="9"/>
      <c r="X60" s="9"/>
      <c r="AE60" s="9"/>
      <c r="AF60" s="9"/>
      <c r="AU60" s="9"/>
      <c r="AV60" s="9"/>
      <c r="AW60" s="9"/>
      <c r="AX60" s="9"/>
      <c r="AY60" s="9"/>
      <c r="AZ60" s="9"/>
      <c r="BA60" s="9"/>
      <c r="BC60" s="9"/>
      <c r="BE60" s="9"/>
      <c r="BF60" s="9"/>
      <c r="BG60" s="9"/>
    </row>
    <row r="61" spans="18:59">
      <c r="R61" s="9"/>
      <c r="S61" s="9"/>
      <c r="W61" s="9"/>
      <c r="X61" s="9"/>
      <c r="AE61" s="9"/>
      <c r="AF61" s="9"/>
      <c r="AU61" s="9"/>
      <c r="AV61" s="9"/>
      <c r="AW61" s="9"/>
      <c r="AX61" s="9"/>
      <c r="AY61" s="9"/>
      <c r="AZ61" s="9"/>
      <c r="BA61" s="9"/>
      <c r="BC61" s="9"/>
      <c r="BE61" s="9"/>
      <c r="BF61" s="9"/>
      <c r="BG61" s="9"/>
    </row>
    <row r="62" spans="18:59">
      <c r="R62" s="9"/>
      <c r="S62" s="9"/>
      <c r="W62" s="9"/>
      <c r="X62" s="9"/>
      <c r="AE62" s="9"/>
      <c r="AF62" s="9"/>
      <c r="AU62" s="9"/>
      <c r="AV62" s="9"/>
      <c r="AW62" s="9"/>
      <c r="AX62" s="9"/>
      <c r="AY62" s="9"/>
      <c r="AZ62" s="9"/>
      <c r="BA62" s="9"/>
      <c r="BC62" s="9"/>
      <c r="BE62" s="9"/>
      <c r="BF62" s="9"/>
      <c r="BG62" s="9"/>
    </row>
    <row r="63" spans="18:59">
      <c r="R63" s="9"/>
      <c r="S63" s="9"/>
      <c r="W63" s="9"/>
      <c r="X63" s="9"/>
      <c r="AE63" s="9"/>
      <c r="AF63" s="9"/>
      <c r="AU63" s="9"/>
      <c r="AV63" s="9"/>
      <c r="AW63" s="9"/>
      <c r="AX63" s="9"/>
      <c r="AY63" s="9"/>
      <c r="AZ63" s="9"/>
      <c r="BA63" s="9"/>
      <c r="BC63" s="9"/>
      <c r="BE63" s="9"/>
      <c r="BF63" s="9"/>
      <c r="BG63" s="9"/>
    </row>
    <row r="64" spans="18:59">
      <c r="R64" s="9"/>
      <c r="S64" s="9"/>
      <c r="W64" s="9"/>
      <c r="X64" s="9"/>
      <c r="AE64" s="9"/>
      <c r="AF64" s="9"/>
      <c r="AU64" s="9"/>
      <c r="AV64" s="9"/>
      <c r="AW64" s="9"/>
      <c r="AX64" s="9"/>
      <c r="AY64" s="9"/>
      <c r="AZ64" s="9"/>
      <c r="BA64" s="9"/>
      <c r="BC64" s="9"/>
      <c r="BE64" s="9"/>
      <c r="BF64" s="9"/>
      <c r="BG64" s="9"/>
    </row>
    <row r="65" spans="18:59">
      <c r="R65" s="9"/>
      <c r="S65" s="9"/>
      <c r="W65" s="9"/>
      <c r="X65" s="9"/>
      <c r="AE65" s="9"/>
      <c r="AF65" s="9"/>
      <c r="AU65" s="9"/>
      <c r="AV65" s="9"/>
      <c r="AW65" s="9"/>
      <c r="AX65" s="9"/>
      <c r="AY65" s="9"/>
      <c r="AZ65" s="9"/>
      <c r="BA65" s="9"/>
      <c r="BC65" s="9"/>
      <c r="BE65" s="9"/>
      <c r="BF65" s="9"/>
      <c r="BG65" s="9"/>
    </row>
    <row r="66" spans="18:59">
      <c r="R66" s="9"/>
      <c r="S66" s="9"/>
      <c r="W66" s="9"/>
      <c r="X66" s="9"/>
      <c r="AE66" s="9"/>
      <c r="AF66" s="9"/>
      <c r="AU66" s="9"/>
      <c r="AV66" s="9"/>
      <c r="AW66" s="9"/>
      <c r="AX66" s="9"/>
      <c r="AY66" s="9"/>
      <c r="AZ66" s="9"/>
      <c r="BA66" s="9"/>
      <c r="BC66" s="9"/>
      <c r="BE66" s="9"/>
      <c r="BF66" s="9"/>
      <c r="BG66" s="9"/>
    </row>
    <row r="67" spans="18:59">
      <c r="R67" s="9"/>
      <c r="S67" s="9"/>
      <c r="W67" s="9"/>
      <c r="X67" s="9"/>
      <c r="AE67" s="9"/>
      <c r="AF67" s="9"/>
      <c r="AU67" s="9"/>
      <c r="AV67" s="9"/>
      <c r="AW67" s="9"/>
      <c r="AX67" s="9"/>
      <c r="AY67" s="9"/>
      <c r="AZ67" s="9"/>
      <c r="BA67" s="9"/>
      <c r="BC67" s="9"/>
      <c r="BE67" s="9"/>
      <c r="BF67" s="9"/>
      <c r="BG67" s="9"/>
    </row>
    <row r="68" spans="18:59">
      <c r="R68" s="9"/>
      <c r="S68" s="9"/>
      <c r="W68" s="9"/>
      <c r="X68" s="9"/>
      <c r="AE68" s="9"/>
      <c r="AF68" s="9"/>
      <c r="AU68" s="9"/>
      <c r="AV68" s="9"/>
      <c r="AW68" s="9"/>
      <c r="AX68" s="9"/>
      <c r="AY68" s="9"/>
      <c r="AZ68" s="9"/>
      <c r="BA68" s="9"/>
      <c r="BC68" s="9"/>
      <c r="BE68" s="9"/>
      <c r="BF68" s="9"/>
      <c r="BG68" s="9"/>
    </row>
    <row r="69" spans="18:59">
      <c r="R69" s="9"/>
      <c r="S69" s="9"/>
      <c r="W69" s="9"/>
      <c r="X69" s="9"/>
      <c r="AE69" s="9"/>
      <c r="AF69" s="9"/>
      <c r="AU69" s="9"/>
      <c r="AV69" s="9"/>
      <c r="AW69" s="9"/>
      <c r="AX69" s="9"/>
      <c r="AY69" s="9"/>
      <c r="AZ69" s="9"/>
      <c r="BA69" s="9"/>
      <c r="BC69" s="9"/>
      <c r="BE69" s="9"/>
      <c r="BF69" s="9"/>
      <c r="BG69" s="9"/>
    </row>
    <row r="70" spans="18:59">
      <c r="R70" s="9"/>
      <c r="S70" s="9"/>
      <c r="W70" s="9"/>
      <c r="X70" s="9"/>
      <c r="AE70" s="9"/>
      <c r="AF70" s="9"/>
      <c r="AU70" s="9"/>
      <c r="AV70" s="9"/>
      <c r="AW70" s="9"/>
      <c r="AX70" s="9"/>
      <c r="AY70" s="9"/>
      <c r="AZ70" s="9"/>
      <c r="BA70" s="9"/>
      <c r="BC70" s="9"/>
      <c r="BE70" s="9"/>
      <c r="BF70" s="9"/>
      <c r="BG70" s="9"/>
    </row>
    <row r="71" spans="18:59">
      <c r="R71" s="9"/>
      <c r="S71" s="9"/>
      <c r="W71" s="9"/>
      <c r="X71" s="9"/>
      <c r="AE71" s="9"/>
      <c r="AF71" s="9"/>
      <c r="AU71" s="9"/>
      <c r="AV71" s="9"/>
      <c r="AW71" s="9"/>
      <c r="AX71" s="9"/>
      <c r="AY71" s="9"/>
      <c r="AZ71" s="9"/>
      <c r="BA71" s="9"/>
      <c r="BC71" s="9"/>
      <c r="BE71" s="9"/>
      <c r="BF71" s="9"/>
      <c r="BG71" s="9"/>
    </row>
    <row r="72" spans="18:59">
      <c r="R72" s="9"/>
      <c r="S72" s="9"/>
      <c r="W72" s="9"/>
      <c r="X72" s="9"/>
      <c r="AE72" s="9"/>
      <c r="AF72" s="9"/>
      <c r="AU72" s="9"/>
      <c r="AV72" s="9"/>
      <c r="AW72" s="9"/>
      <c r="AX72" s="9"/>
      <c r="AY72" s="9"/>
      <c r="AZ72" s="9"/>
      <c r="BA72" s="9"/>
      <c r="BC72" s="9"/>
      <c r="BE72" s="9"/>
      <c r="BF72" s="9"/>
      <c r="BG72" s="9"/>
    </row>
    <row r="73" spans="18:59">
      <c r="R73" s="9"/>
      <c r="S73" s="9"/>
      <c r="W73" s="9"/>
      <c r="X73" s="9"/>
      <c r="AE73" s="9"/>
      <c r="AF73" s="9"/>
      <c r="AU73" s="9"/>
      <c r="AV73" s="9"/>
      <c r="AW73" s="9"/>
      <c r="AX73" s="9"/>
      <c r="AY73" s="9"/>
      <c r="AZ73" s="9"/>
      <c r="BA73" s="9"/>
      <c r="BC73" s="9"/>
      <c r="BE73" s="9"/>
      <c r="BF73" s="9"/>
      <c r="BG73" s="9"/>
    </row>
    <row r="74" spans="18:59">
      <c r="R74" s="9"/>
      <c r="S74" s="9"/>
      <c r="W74" s="9"/>
      <c r="X74" s="9"/>
      <c r="AE74" s="9"/>
      <c r="AF74" s="9"/>
      <c r="AU74" s="9"/>
      <c r="AV74" s="9"/>
      <c r="AW74" s="9"/>
      <c r="AX74" s="9"/>
      <c r="AY74" s="9"/>
      <c r="AZ74" s="9"/>
      <c r="BA74" s="9"/>
      <c r="BC74" s="9"/>
      <c r="BE74" s="9"/>
      <c r="BF74" s="9"/>
      <c r="BG74" s="9"/>
    </row>
    <row r="75" spans="18:59">
      <c r="R75" s="9"/>
      <c r="S75" s="9"/>
      <c r="W75" s="9"/>
      <c r="X75" s="9"/>
      <c r="AE75" s="9"/>
      <c r="AF75" s="9"/>
      <c r="AU75" s="9"/>
      <c r="AV75" s="9"/>
      <c r="AW75" s="9"/>
      <c r="AX75" s="9"/>
      <c r="AY75" s="9"/>
      <c r="AZ75" s="9"/>
      <c r="BA75" s="9"/>
      <c r="BC75" s="9"/>
      <c r="BE75" s="9"/>
      <c r="BF75" s="9"/>
      <c r="BG75" s="9"/>
    </row>
    <row r="76" spans="18:59">
      <c r="R76" s="9"/>
      <c r="S76" s="9"/>
      <c r="W76" s="9"/>
      <c r="X76" s="9"/>
      <c r="AE76" s="9"/>
      <c r="AF76" s="9"/>
      <c r="AU76" s="9"/>
      <c r="AV76" s="9"/>
      <c r="AW76" s="9"/>
      <c r="AX76" s="9"/>
      <c r="AY76" s="9"/>
      <c r="AZ76" s="9"/>
      <c r="BA76" s="9"/>
      <c r="BC76" s="9"/>
      <c r="BE76" s="9"/>
      <c r="BF76" s="9"/>
      <c r="BG76" s="9"/>
    </row>
    <row r="77" spans="18:59">
      <c r="R77" s="9"/>
      <c r="S77" s="9"/>
      <c r="W77" s="9"/>
      <c r="X77" s="9"/>
      <c r="AE77" s="9"/>
      <c r="AF77" s="9"/>
      <c r="AU77" s="9"/>
      <c r="AV77" s="9"/>
      <c r="AW77" s="9"/>
      <c r="AX77" s="9"/>
      <c r="AY77" s="9"/>
      <c r="AZ77" s="9"/>
      <c r="BA77" s="9"/>
      <c r="BC77" s="9"/>
      <c r="BE77" s="9"/>
      <c r="BF77" s="9"/>
      <c r="BG77" s="9"/>
    </row>
    <row r="78" spans="18:59">
      <c r="R78" s="9"/>
      <c r="S78" s="9"/>
      <c r="W78" s="9"/>
      <c r="X78" s="9"/>
      <c r="AE78" s="9"/>
      <c r="AF78" s="9"/>
      <c r="AU78" s="9"/>
      <c r="AV78" s="9"/>
      <c r="AW78" s="9"/>
      <c r="AX78" s="9"/>
      <c r="AY78" s="9"/>
      <c r="AZ78" s="9"/>
      <c r="BA78" s="9"/>
      <c r="BC78" s="9"/>
      <c r="BE78" s="9"/>
      <c r="BF78" s="9"/>
      <c r="BG78" s="9"/>
    </row>
    <row r="79" spans="18:59">
      <c r="R79" s="9"/>
      <c r="S79" s="9"/>
      <c r="W79" s="9"/>
      <c r="X79" s="9"/>
      <c r="AE79" s="9"/>
      <c r="AF79" s="9"/>
      <c r="AU79" s="9"/>
      <c r="AV79" s="9"/>
      <c r="AW79" s="9"/>
      <c r="AX79" s="9"/>
      <c r="AY79" s="9"/>
      <c r="AZ79" s="9"/>
      <c r="BA79" s="9"/>
      <c r="BC79" s="9"/>
      <c r="BE79" s="9"/>
      <c r="BF79" s="9"/>
      <c r="BG79" s="9"/>
    </row>
    <row r="80" spans="18:59">
      <c r="R80" s="9"/>
      <c r="S80" s="9"/>
      <c r="W80" s="9"/>
      <c r="X80" s="9"/>
      <c r="AE80" s="9"/>
      <c r="AF80" s="9"/>
      <c r="AU80" s="9"/>
      <c r="AV80" s="9"/>
      <c r="AW80" s="9"/>
      <c r="AX80" s="9"/>
      <c r="AY80" s="9"/>
      <c r="AZ80" s="9"/>
      <c r="BA80" s="9"/>
      <c r="BC80" s="9"/>
      <c r="BE80" s="9"/>
      <c r="BF80" s="9"/>
      <c r="BG80" s="9"/>
    </row>
    <row r="81" spans="18:59">
      <c r="R81" s="9"/>
      <c r="S81" s="9"/>
      <c r="W81" s="9"/>
      <c r="X81" s="9"/>
      <c r="AE81" s="9"/>
      <c r="AF81" s="9"/>
      <c r="AU81" s="9"/>
      <c r="AV81" s="9"/>
      <c r="AW81" s="9"/>
      <c r="AX81" s="9"/>
      <c r="AY81" s="9"/>
      <c r="AZ81" s="9"/>
      <c r="BA81" s="9"/>
      <c r="BC81" s="9"/>
      <c r="BE81" s="9"/>
      <c r="BF81" s="9"/>
      <c r="BG81" s="9"/>
    </row>
    <row r="82" spans="18:59">
      <c r="R82" s="9"/>
      <c r="S82" s="9"/>
      <c r="W82" s="9"/>
      <c r="X82" s="9"/>
      <c r="AE82" s="9"/>
      <c r="AF82" s="9"/>
      <c r="AU82" s="9"/>
      <c r="AV82" s="9"/>
      <c r="AW82" s="9"/>
      <c r="AX82" s="9"/>
      <c r="AY82" s="9"/>
      <c r="AZ82" s="9"/>
      <c r="BA82" s="9"/>
      <c r="BC82" s="9"/>
      <c r="BE82" s="9"/>
      <c r="BF82" s="9"/>
      <c r="BG82" s="9"/>
    </row>
    <row r="83" spans="18:59">
      <c r="R83" s="9"/>
      <c r="S83" s="9"/>
      <c r="W83" s="9"/>
      <c r="X83" s="9"/>
      <c r="AE83" s="9"/>
      <c r="AF83" s="9"/>
      <c r="AU83" s="9"/>
      <c r="AV83" s="9"/>
      <c r="AW83" s="9"/>
      <c r="AX83" s="9"/>
      <c r="AY83" s="9"/>
      <c r="AZ83" s="9"/>
      <c r="BA83" s="9"/>
      <c r="BC83" s="9"/>
      <c r="BE83" s="9"/>
      <c r="BF83" s="9"/>
      <c r="BG83" s="9"/>
    </row>
    <row r="84" spans="18:59">
      <c r="R84" s="9"/>
      <c r="S84" s="9"/>
      <c r="W84" s="9"/>
      <c r="X84" s="9"/>
      <c r="AE84" s="9"/>
      <c r="AF84" s="9"/>
      <c r="AU84" s="9"/>
      <c r="AV84" s="9"/>
      <c r="AW84" s="9"/>
      <c r="AX84" s="9"/>
      <c r="AY84" s="9"/>
      <c r="AZ84" s="9"/>
      <c r="BA84" s="9"/>
      <c r="BC84" s="9"/>
      <c r="BE84" s="9"/>
      <c r="BF84" s="9"/>
      <c r="BG84" s="9"/>
    </row>
    <row r="85" spans="18:59">
      <c r="R85" s="9"/>
      <c r="S85" s="9"/>
      <c r="W85" s="9"/>
      <c r="X85" s="9"/>
      <c r="AE85" s="9"/>
      <c r="AF85" s="9"/>
      <c r="AU85" s="9"/>
      <c r="AV85" s="9"/>
      <c r="AW85" s="9"/>
      <c r="AX85" s="9"/>
      <c r="AY85" s="9"/>
      <c r="AZ85" s="9"/>
      <c r="BA85" s="9"/>
      <c r="BC85" s="9"/>
      <c r="BE85" s="9"/>
      <c r="BF85" s="9"/>
      <c r="BG85" s="9"/>
    </row>
    <row r="86" spans="18:59">
      <c r="R86" s="9"/>
      <c r="S86" s="9"/>
      <c r="W86" s="9"/>
      <c r="X86" s="9"/>
      <c r="AE86" s="9"/>
      <c r="AF86" s="9"/>
      <c r="AU86" s="9"/>
      <c r="AV86" s="9"/>
      <c r="AW86" s="9"/>
      <c r="AX86" s="9"/>
      <c r="AY86" s="9"/>
      <c r="AZ86" s="9"/>
      <c r="BA86" s="9"/>
      <c r="BC86" s="9"/>
      <c r="BE86" s="9"/>
      <c r="BF86" s="9"/>
      <c r="BG86" s="9"/>
    </row>
    <row r="87" spans="18:59">
      <c r="R87" s="9"/>
      <c r="S87" s="9"/>
      <c r="W87" s="9"/>
      <c r="X87" s="9"/>
      <c r="AE87" s="9"/>
      <c r="AF87" s="9"/>
      <c r="AU87" s="9"/>
      <c r="AV87" s="9"/>
      <c r="AW87" s="9"/>
      <c r="AX87" s="9"/>
      <c r="AY87" s="9"/>
      <c r="AZ87" s="9"/>
      <c r="BA87" s="9"/>
      <c r="BC87" s="9"/>
      <c r="BE87" s="9"/>
      <c r="BF87" s="9"/>
      <c r="BG87" s="9"/>
    </row>
    <row r="88" spans="18:59">
      <c r="R88" s="9"/>
      <c r="S88" s="9"/>
      <c r="W88" s="9"/>
      <c r="X88" s="9"/>
      <c r="AE88" s="9"/>
      <c r="AF88" s="9"/>
      <c r="AU88" s="9"/>
      <c r="AV88" s="9"/>
      <c r="AW88" s="9"/>
      <c r="AX88" s="9"/>
      <c r="AY88" s="9"/>
      <c r="AZ88" s="9"/>
      <c r="BA88" s="9"/>
      <c r="BC88" s="9"/>
      <c r="BE88" s="9"/>
      <c r="BF88" s="9"/>
      <c r="BG88" s="9"/>
    </row>
    <row r="89" spans="18:59">
      <c r="R89" s="9"/>
      <c r="S89" s="9"/>
      <c r="W89" s="9"/>
      <c r="X89" s="9"/>
      <c r="AE89" s="9"/>
      <c r="AF89" s="9"/>
      <c r="AU89" s="9"/>
      <c r="AV89" s="9"/>
      <c r="AW89" s="9"/>
      <c r="AX89" s="9"/>
      <c r="AY89" s="9"/>
      <c r="AZ89" s="9"/>
      <c r="BA89" s="9"/>
      <c r="BC89" s="9"/>
      <c r="BE89" s="9"/>
      <c r="BF89" s="9"/>
      <c r="BG89" s="9"/>
    </row>
    <row r="90" spans="18:59">
      <c r="R90" s="9"/>
      <c r="S90" s="9"/>
      <c r="W90" s="9"/>
      <c r="X90" s="9"/>
      <c r="AE90" s="9"/>
      <c r="AF90" s="9"/>
      <c r="AU90" s="9"/>
      <c r="AV90" s="9"/>
      <c r="AW90" s="9"/>
      <c r="AX90" s="9"/>
      <c r="AY90" s="9"/>
      <c r="AZ90" s="9"/>
      <c r="BA90" s="9"/>
      <c r="BC90" s="9"/>
      <c r="BE90" s="9"/>
      <c r="BF90" s="9"/>
      <c r="BG90" s="9"/>
    </row>
    <row r="91" spans="18:59">
      <c r="R91" s="9"/>
      <c r="S91" s="9"/>
      <c r="W91" s="9"/>
      <c r="X91" s="9"/>
      <c r="AE91" s="9"/>
      <c r="AF91" s="9"/>
      <c r="AU91" s="9"/>
      <c r="AV91" s="9"/>
      <c r="AW91" s="9"/>
      <c r="AX91" s="9"/>
      <c r="AY91" s="9"/>
      <c r="AZ91" s="9"/>
      <c r="BA91" s="9"/>
      <c r="BC91" s="9"/>
      <c r="BE91" s="9"/>
      <c r="BF91" s="9"/>
      <c r="BG91" s="9"/>
    </row>
    <row r="92" spans="18:59">
      <c r="R92" s="9"/>
      <c r="S92" s="9"/>
      <c r="W92" s="9"/>
      <c r="X92" s="9"/>
      <c r="AE92" s="9"/>
      <c r="AF92" s="9"/>
      <c r="AU92" s="9"/>
      <c r="AV92" s="9"/>
      <c r="AW92" s="9"/>
      <c r="AX92" s="9"/>
      <c r="AY92" s="9"/>
      <c r="AZ92" s="9"/>
      <c r="BA92" s="9"/>
      <c r="BC92" s="9"/>
      <c r="BE92" s="9"/>
      <c r="BF92" s="9"/>
      <c r="BG92" s="9"/>
    </row>
    <row r="93" spans="18:59">
      <c r="R93" s="9"/>
      <c r="S93" s="9"/>
      <c r="W93" s="9"/>
      <c r="X93" s="9"/>
      <c r="AE93" s="9"/>
      <c r="AF93" s="9"/>
      <c r="AU93" s="9"/>
      <c r="AV93" s="9"/>
      <c r="AW93" s="9"/>
      <c r="AX93" s="9"/>
      <c r="AY93" s="9"/>
      <c r="AZ93" s="9"/>
      <c r="BA93" s="9"/>
      <c r="BC93" s="9"/>
      <c r="BE93" s="9"/>
      <c r="BF93" s="9"/>
      <c r="BG93" s="9"/>
    </row>
    <row r="94" spans="18:59">
      <c r="R94" s="9"/>
      <c r="S94" s="9"/>
      <c r="W94" s="9"/>
      <c r="X94" s="9"/>
      <c r="AE94" s="9"/>
      <c r="AF94" s="9"/>
      <c r="AU94" s="9"/>
      <c r="AV94" s="9"/>
      <c r="AW94" s="9"/>
      <c r="AX94" s="9"/>
      <c r="AY94" s="9"/>
      <c r="AZ94" s="9"/>
      <c r="BA94" s="9"/>
      <c r="BC94" s="9"/>
      <c r="BE94" s="9"/>
      <c r="BF94" s="9"/>
      <c r="BG94" s="9"/>
    </row>
    <row r="95" spans="18:59">
      <c r="R95" s="9"/>
      <c r="S95" s="9"/>
      <c r="W95" s="9"/>
      <c r="X95" s="9"/>
      <c r="AE95" s="9"/>
      <c r="AF95" s="9"/>
      <c r="AU95" s="9"/>
      <c r="AV95" s="9"/>
      <c r="AW95" s="9"/>
      <c r="AX95" s="9"/>
      <c r="AY95" s="9"/>
      <c r="AZ95" s="9"/>
      <c r="BA95" s="9"/>
      <c r="BC95" s="9"/>
      <c r="BE95" s="9"/>
      <c r="BF95" s="9"/>
      <c r="BG95" s="9"/>
    </row>
    <row r="96" spans="18:59">
      <c r="R96" s="9"/>
      <c r="S96" s="9"/>
      <c r="W96" s="9"/>
      <c r="X96" s="9"/>
      <c r="AE96" s="9"/>
      <c r="AF96" s="9"/>
      <c r="AU96" s="9"/>
      <c r="AV96" s="9"/>
      <c r="AW96" s="9"/>
      <c r="AX96" s="9"/>
      <c r="AY96" s="9"/>
      <c r="AZ96" s="9"/>
      <c r="BA96" s="9"/>
      <c r="BC96" s="9"/>
      <c r="BE96" s="9"/>
      <c r="BF96" s="9"/>
      <c r="BG96" s="9"/>
    </row>
    <row r="97" spans="18:59">
      <c r="R97" s="9"/>
      <c r="S97" s="9"/>
      <c r="W97" s="9"/>
      <c r="X97" s="9"/>
      <c r="AE97" s="9"/>
      <c r="AF97" s="9"/>
      <c r="AU97" s="9"/>
      <c r="AV97" s="9"/>
      <c r="AW97" s="9"/>
      <c r="AX97" s="9"/>
      <c r="AY97" s="9"/>
      <c r="AZ97" s="9"/>
      <c r="BA97" s="9"/>
      <c r="BC97" s="9"/>
      <c r="BE97" s="9"/>
      <c r="BF97" s="9"/>
      <c r="BG97" s="9"/>
    </row>
    <row r="98" spans="18:59">
      <c r="R98" s="9"/>
      <c r="S98" s="9"/>
      <c r="W98" s="9"/>
      <c r="X98" s="9"/>
      <c r="AE98" s="9"/>
      <c r="AF98" s="9"/>
      <c r="AU98" s="9"/>
      <c r="AV98" s="9"/>
      <c r="AW98" s="9"/>
      <c r="AX98" s="9"/>
      <c r="AY98" s="9"/>
      <c r="AZ98" s="9"/>
      <c r="BA98" s="9"/>
      <c r="BC98" s="9"/>
      <c r="BE98" s="9"/>
      <c r="BF98" s="9"/>
      <c r="BG98" s="9"/>
    </row>
    <row r="99" spans="18:59">
      <c r="R99" s="9"/>
      <c r="S99" s="9"/>
      <c r="W99" s="9"/>
      <c r="X99" s="9"/>
      <c r="AE99" s="9"/>
      <c r="AF99" s="9"/>
      <c r="AU99" s="9"/>
      <c r="AV99" s="9"/>
      <c r="AW99" s="9"/>
      <c r="AX99" s="9"/>
      <c r="AY99" s="9"/>
      <c r="AZ99" s="9"/>
      <c r="BA99" s="9"/>
      <c r="BC99" s="9"/>
      <c r="BE99" s="9"/>
      <c r="BF99" s="9"/>
      <c r="BG99" s="9"/>
    </row>
    <row r="100" spans="18:59">
      <c r="R100" s="9"/>
      <c r="S100" s="9"/>
      <c r="W100" s="9"/>
      <c r="X100" s="9"/>
      <c r="AE100" s="9"/>
      <c r="AF100" s="9"/>
      <c r="AU100" s="9"/>
      <c r="AV100" s="9"/>
      <c r="AW100" s="9"/>
      <c r="AX100" s="9"/>
      <c r="AY100" s="9"/>
      <c r="AZ100" s="9"/>
      <c r="BA100" s="9"/>
      <c r="BC100" s="9"/>
      <c r="BE100" s="9"/>
      <c r="BF100" s="9"/>
      <c r="BG100" s="9"/>
    </row>
    <row r="101" spans="18:59">
      <c r="R101" s="9"/>
      <c r="S101" s="9"/>
      <c r="W101" s="9"/>
      <c r="X101" s="9"/>
      <c r="AE101" s="9"/>
      <c r="AF101" s="9"/>
      <c r="AU101" s="9"/>
      <c r="AV101" s="9"/>
      <c r="AW101" s="9"/>
      <c r="AX101" s="9"/>
      <c r="AY101" s="9"/>
      <c r="AZ101" s="9"/>
      <c r="BA101" s="9"/>
      <c r="BC101" s="9"/>
      <c r="BE101" s="9"/>
      <c r="BF101" s="9"/>
      <c r="BG101" s="9"/>
    </row>
    <row r="102" spans="18:59">
      <c r="R102" s="9"/>
      <c r="S102" s="9"/>
      <c r="W102" s="9"/>
      <c r="X102" s="9"/>
      <c r="AE102" s="9"/>
      <c r="AF102" s="9"/>
      <c r="AU102" s="9"/>
      <c r="AV102" s="9"/>
      <c r="AW102" s="9"/>
      <c r="AX102" s="9"/>
      <c r="AY102" s="9"/>
      <c r="AZ102" s="9"/>
      <c r="BA102" s="9"/>
      <c r="BC102" s="9"/>
      <c r="BE102" s="9"/>
      <c r="BF102" s="9"/>
      <c r="BG102" s="9"/>
    </row>
    <row r="103" spans="18:59">
      <c r="R103" s="9"/>
      <c r="S103" s="9"/>
      <c r="W103" s="9"/>
      <c r="X103" s="9"/>
      <c r="AE103" s="9"/>
      <c r="AF103" s="9"/>
      <c r="AU103" s="9"/>
      <c r="AV103" s="9"/>
      <c r="AW103" s="9"/>
      <c r="AX103" s="9"/>
      <c r="AY103" s="9"/>
      <c r="AZ103" s="9"/>
      <c r="BA103" s="9"/>
      <c r="BC103" s="9"/>
      <c r="BE103" s="9"/>
      <c r="BF103" s="9"/>
      <c r="BG103" s="9"/>
    </row>
    <row r="104" spans="18:59">
      <c r="R104" s="9"/>
      <c r="S104" s="9"/>
      <c r="W104" s="9"/>
      <c r="X104" s="9"/>
      <c r="AE104" s="9"/>
      <c r="AF104" s="9"/>
      <c r="AU104" s="9"/>
      <c r="AV104" s="9"/>
      <c r="AW104" s="9"/>
      <c r="AX104" s="9"/>
      <c r="AY104" s="9"/>
      <c r="AZ104" s="9"/>
      <c r="BA104" s="9"/>
      <c r="BC104" s="9"/>
      <c r="BE104" s="9"/>
      <c r="BF104" s="9"/>
      <c r="BG104" s="9"/>
    </row>
    <row r="105" spans="18:59">
      <c r="R105" s="9"/>
      <c r="S105" s="9"/>
      <c r="W105" s="9"/>
      <c r="X105" s="9"/>
      <c r="AE105" s="9"/>
      <c r="AF105" s="9"/>
      <c r="AU105" s="9"/>
      <c r="AV105" s="9"/>
      <c r="AW105" s="9"/>
      <c r="AX105" s="9"/>
      <c r="AY105" s="9"/>
      <c r="AZ105" s="9"/>
      <c r="BA105" s="9"/>
      <c r="BC105" s="9"/>
      <c r="BE105" s="9"/>
      <c r="BF105" s="9"/>
      <c r="BG105" s="9"/>
    </row>
    <row r="106" spans="18:59">
      <c r="R106" s="9"/>
      <c r="S106" s="9"/>
      <c r="W106" s="9"/>
      <c r="X106" s="9"/>
      <c r="AE106" s="9"/>
      <c r="AF106" s="9"/>
      <c r="AU106" s="9"/>
      <c r="AV106" s="9"/>
      <c r="AW106" s="9"/>
      <c r="AX106" s="9"/>
      <c r="AY106" s="9"/>
      <c r="AZ106" s="9"/>
      <c r="BA106" s="9"/>
      <c r="BC106" s="9"/>
      <c r="BE106" s="9"/>
      <c r="BF106" s="9"/>
      <c r="BG106" s="9"/>
    </row>
    <row r="107" spans="18:59">
      <c r="R107" s="9"/>
      <c r="S107" s="9"/>
      <c r="W107" s="9"/>
      <c r="X107" s="9"/>
      <c r="AE107" s="9"/>
      <c r="AF107" s="9"/>
      <c r="AU107" s="9"/>
      <c r="AV107" s="9"/>
      <c r="AW107" s="9"/>
      <c r="AX107" s="9"/>
      <c r="AY107" s="9"/>
      <c r="AZ107" s="9"/>
      <c r="BA107" s="9"/>
      <c r="BC107" s="9"/>
      <c r="BE107" s="9"/>
      <c r="BF107" s="9"/>
      <c r="BG107" s="9"/>
    </row>
    <row r="108" spans="18:59">
      <c r="R108" s="9"/>
      <c r="S108" s="9"/>
      <c r="W108" s="9"/>
      <c r="X108" s="9"/>
      <c r="AE108" s="9"/>
      <c r="AF108" s="9"/>
      <c r="AU108" s="9"/>
      <c r="AV108" s="9"/>
      <c r="AW108" s="9"/>
      <c r="AX108" s="9"/>
      <c r="AY108" s="9"/>
      <c r="AZ108" s="9"/>
      <c r="BA108" s="9"/>
      <c r="BC108" s="9"/>
      <c r="BE108" s="9"/>
      <c r="BF108" s="9"/>
      <c r="BG108" s="9"/>
    </row>
    <row r="109" spans="18:59">
      <c r="R109" s="9"/>
      <c r="S109" s="9"/>
      <c r="W109" s="9"/>
      <c r="X109" s="9"/>
      <c r="AE109" s="9"/>
      <c r="AF109" s="9"/>
      <c r="AU109" s="9"/>
      <c r="AV109" s="9"/>
      <c r="AW109" s="9"/>
      <c r="AX109" s="9"/>
      <c r="AY109" s="9"/>
      <c r="AZ109" s="9"/>
      <c r="BA109" s="9"/>
      <c r="BC109" s="9"/>
      <c r="BE109" s="9"/>
      <c r="BF109" s="9"/>
      <c r="BG109" s="9"/>
    </row>
    <row r="110" spans="18:59">
      <c r="R110" s="9"/>
      <c r="S110" s="9"/>
      <c r="W110" s="9"/>
      <c r="X110" s="9"/>
      <c r="AE110" s="9"/>
      <c r="AF110" s="9"/>
      <c r="AU110" s="9"/>
      <c r="AV110" s="9"/>
      <c r="AW110" s="9"/>
      <c r="AX110" s="9"/>
      <c r="AY110" s="9"/>
      <c r="AZ110" s="9"/>
      <c r="BA110" s="9"/>
      <c r="BC110" s="9"/>
      <c r="BE110" s="9"/>
      <c r="BF110" s="9"/>
      <c r="BG110" s="9"/>
    </row>
    <row r="111" spans="18:59">
      <c r="R111" s="9"/>
      <c r="S111" s="9"/>
      <c r="W111" s="9"/>
      <c r="X111" s="9"/>
      <c r="AE111" s="9"/>
      <c r="AF111" s="9"/>
      <c r="AU111" s="9"/>
      <c r="AV111" s="9"/>
      <c r="AW111" s="9"/>
      <c r="AX111" s="9"/>
      <c r="AY111" s="9"/>
      <c r="AZ111" s="9"/>
      <c r="BA111" s="9"/>
      <c r="BC111" s="9"/>
      <c r="BE111" s="9"/>
      <c r="BF111" s="9"/>
      <c r="BG111" s="9"/>
    </row>
    <row r="112" spans="18:59">
      <c r="R112" s="9"/>
      <c r="S112" s="9"/>
      <c r="W112" s="9"/>
      <c r="X112" s="9"/>
      <c r="AE112" s="9"/>
      <c r="AF112" s="9"/>
      <c r="AU112" s="9"/>
      <c r="AV112" s="9"/>
      <c r="AW112" s="9"/>
      <c r="AX112" s="9"/>
      <c r="AY112" s="9"/>
      <c r="AZ112" s="9"/>
      <c r="BA112" s="9"/>
      <c r="BC112" s="9"/>
      <c r="BE112" s="9"/>
      <c r="BF112" s="9"/>
      <c r="BG112" s="9"/>
    </row>
    <row r="113" spans="18:59">
      <c r="R113" s="9"/>
      <c r="S113" s="9"/>
      <c r="W113" s="9"/>
      <c r="X113" s="9"/>
      <c r="AE113" s="9"/>
      <c r="AF113" s="9"/>
      <c r="AU113" s="9"/>
      <c r="AV113" s="9"/>
      <c r="AW113" s="9"/>
      <c r="AX113" s="9"/>
      <c r="AY113" s="9"/>
      <c r="AZ113" s="9"/>
      <c r="BA113" s="9"/>
      <c r="BC113" s="9"/>
      <c r="BE113" s="9"/>
      <c r="BF113" s="9"/>
      <c r="BG113" s="9"/>
    </row>
    <row r="114" spans="18:59">
      <c r="R114" s="9"/>
      <c r="S114" s="9"/>
      <c r="W114" s="9"/>
      <c r="X114" s="9"/>
      <c r="AE114" s="9"/>
      <c r="AF114" s="9"/>
      <c r="AU114" s="9"/>
      <c r="AV114" s="9"/>
      <c r="AW114" s="9"/>
      <c r="AX114" s="9"/>
      <c r="AY114" s="9"/>
      <c r="AZ114" s="9"/>
      <c r="BA114" s="9"/>
      <c r="BC114" s="9"/>
      <c r="BE114" s="9"/>
      <c r="BF114" s="9"/>
      <c r="BG114" s="9"/>
    </row>
    <row r="115" spans="18:59">
      <c r="R115" s="9"/>
      <c r="S115" s="9"/>
      <c r="W115" s="9"/>
      <c r="X115" s="9"/>
      <c r="AE115" s="9"/>
      <c r="AF115" s="9"/>
      <c r="AU115" s="9"/>
      <c r="AV115" s="9"/>
      <c r="AW115" s="9"/>
      <c r="AX115" s="9"/>
      <c r="AY115" s="9"/>
      <c r="AZ115" s="9"/>
      <c r="BA115" s="9"/>
      <c r="BC115" s="9"/>
      <c r="BE115" s="9"/>
      <c r="BF115" s="9"/>
      <c r="BG115" s="9"/>
    </row>
    <row r="116" spans="18:59">
      <c r="R116" s="9"/>
      <c r="S116" s="9"/>
      <c r="W116" s="9"/>
      <c r="X116" s="9"/>
      <c r="AE116" s="9"/>
      <c r="AF116" s="9"/>
      <c r="AU116" s="9"/>
      <c r="AV116" s="9"/>
      <c r="AW116" s="9"/>
      <c r="AX116" s="9"/>
      <c r="AY116" s="9"/>
      <c r="AZ116" s="9"/>
      <c r="BA116" s="9"/>
      <c r="BC116" s="9"/>
      <c r="BE116" s="9"/>
      <c r="BF116" s="9"/>
      <c r="BG116" s="9"/>
    </row>
    <row r="117" spans="18:59">
      <c r="R117" s="9"/>
      <c r="S117" s="9"/>
      <c r="W117" s="9"/>
      <c r="X117" s="9"/>
      <c r="AE117" s="9"/>
      <c r="AF117" s="9"/>
      <c r="AU117" s="9"/>
      <c r="AV117" s="9"/>
      <c r="AW117" s="9"/>
      <c r="AX117" s="9"/>
      <c r="AY117" s="9"/>
      <c r="AZ117" s="9"/>
      <c r="BA117" s="9"/>
      <c r="BC117" s="9"/>
      <c r="BE117" s="9"/>
      <c r="BF117" s="9"/>
      <c r="BG117" s="9"/>
    </row>
    <row r="118" spans="18:59">
      <c r="R118" s="9"/>
      <c r="S118" s="9"/>
      <c r="W118" s="9"/>
      <c r="X118" s="9"/>
      <c r="AE118" s="9"/>
      <c r="AF118" s="9"/>
      <c r="AU118" s="9"/>
      <c r="AV118" s="9"/>
      <c r="AW118" s="9"/>
      <c r="AX118" s="9"/>
      <c r="AY118" s="9"/>
      <c r="AZ118" s="9"/>
      <c r="BA118" s="9"/>
      <c r="BC118" s="9"/>
      <c r="BE118" s="9"/>
      <c r="BF118" s="9"/>
      <c r="BG118" s="9"/>
    </row>
    <row r="119" spans="18:59">
      <c r="R119" s="9"/>
      <c r="S119" s="9"/>
      <c r="W119" s="9"/>
      <c r="X119" s="9"/>
      <c r="AE119" s="9"/>
      <c r="AF119" s="9"/>
      <c r="AU119" s="9"/>
      <c r="AV119" s="9"/>
      <c r="AW119" s="9"/>
      <c r="AX119" s="9"/>
      <c r="AY119" s="9"/>
      <c r="AZ119" s="9"/>
      <c r="BA119" s="9"/>
      <c r="BC119" s="9"/>
      <c r="BE119" s="9"/>
      <c r="BF119" s="9"/>
      <c r="BG119" s="9"/>
    </row>
    <row r="120" spans="18:59">
      <c r="R120" s="9"/>
      <c r="S120" s="9"/>
      <c r="W120" s="9"/>
      <c r="X120" s="9"/>
      <c r="AE120" s="9"/>
      <c r="AF120" s="9"/>
      <c r="AU120" s="9"/>
      <c r="AV120" s="9"/>
      <c r="AW120" s="9"/>
      <c r="AX120" s="9"/>
      <c r="AY120" s="9"/>
      <c r="AZ120" s="9"/>
      <c r="BA120" s="9"/>
      <c r="BC120" s="9"/>
      <c r="BE120" s="9"/>
      <c r="BF120" s="9"/>
      <c r="BG120" s="9"/>
    </row>
    <row r="121" spans="18:59">
      <c r="R121" s="9"/>
      <c r="S121" s="9"/>
      <c r="W121" s="9"/>
      <c r="X121" s="9"/>
      <c r="AE121" s="9"/>
      <c r="AF121" s="9"/>
      <c r="AU121" s="9"/>
      <c r="AV121" s="9"/>
      <c r="AW121" s="9"/>
      <c r="AX121" s="9"/>
      <c r="AY121" s="9"/>
      <c r="AZ121" s="9"/>
      <c r="BA121" s="9"/>
      <c r="BC121" s="9"/>
      <c r="BE121" s="9"/>
      <c r="BF121" s="9"/>
      <c r="BG121" s="9"/>
    </row>
    <row r="122" spans="18:59">
      <c r="R122" s="9"/>
      <c r="S122" s="9"/>
      <c r="W122" s="9"/>
      <c r="X122" s="9"/>
      <c r="AE122" s="9"/>
      <c r="AF122" s="9"/>
      <c r="AU122" s="9"/>
      <c r="AV122" s="9"/>
      <c r="AW122" s="9"/>
      <c r="AX122" s="9"/>
      <c r="AY122" s="9"/>
      <c r="AZ122" s="9"/>
      <c r="BA122" s="9"/>
      <c r="BC122" s="9"/>
      <c r="BE122" s="9"/>
      <c r="BF122" s="9"/>
      <c r="BG122" s="9"/>
    </row>
    <row r="123" spans="18:59">
      <c r="R123" s="9"/>
      <c r="S123" s="9"/>
      <c r="W123" s="9"/>
      <c r="X123" s="9"/>
      <c r="AE123" s="9"/>
      <c r="AF123" s="9"/>
      <c r="AU123" s="9"/>
      <c r="AV123" s="9"/>
      <c r="AW123" s="9"/>
      <c r="AX123" s="9"/>
      <c r="AY123" s="9"/>
      <c r="AZ123" s="9"/>
      <c r="BA123" s="9"/>
      <c r="BC123" s="9"/>
      <c r="BE123" s="9"/>
      <c r="BF123" s="9"/>
      <c r="BG123" s="9"/>
    </row>
    <row r="124" spans="18:59">
      <c r="R124" s="9"/>
      <c r="S124" s="9"/>
      <c r="W124" s="9"/>
      <c r="X124" s="9"/>
      <c r="AE124" s="9"/>
      <c r="AF124" s="9"/>
      <c r="AU124" s="9"/>
      <c r="AV124" s="9"/>
      <c r="AW124" s="9"/>
      <c r="AX124" s="9"/>
      <c r="AY124" s="9"/>
      <c r="AZ124" s="9"/>
      <c r="BA124" s="9"/>
      <c r="BC124" s="9"/>
      <c r="BE124" s="9"/>
      <c r="BF124" s="9"/>
      <c r="BG124" s="9"/>
    </row>
    <row r="125" spans="18:59">
      <c r="R125" s="9"/>
      <c r="S125" s="9"/>
      <c r="W125" s="9"/>
      <c r="X125" s="9"/>
      <c r="AE125" s="9"/>
      <c r="AF125" s="9"/>
      <c r="AU125" s="9"/>
      <c r="AV125" s="9"/>
      <c r="AW125" s="9"/>
      <c r="AX125" s="9"/>
      <c r="AY125" s="9"/>
      <c r="AZ125" s="9"/>
      <c r="BA125" s="9"/>
      <c r="BC125" s="9"/>
      <c r="BE125" s="9"/>
      <c r="BF125" s="9"/>
      <c r="BG125" s="9"/>
    </row>
    <row r="126" spans="18:59">
      <c r="R126" s="9"/>
      <c r="S126" s="9"/>
      <c r="W126" s="9"/>
      <c r="X126" s="9"/>
      <c r="AE126" s="9"/>
      <c r="AF126" s="9"/>
      <c r="AU126" s="9"/>
      <c r="AV126" s="9"/>
      <c r="AW126" s="9"/>
      <c r="AX126" s="9"/>
      <c r="AY126" s="9"/>
      <c r="AZ126" s="9"/>
      <c r="BA126" s="9"/>
      <c r="BC126" s="9"/>
      <c r="BE126" s="9"/>
      <c r="BF126" s="9"/>
      <c r="BG126" s="9"/>
    </row>
    <row r="127" spans="18:59">
      <c r="R127" s="9"/>
      <c r="S127" s="9"/>
      <c r="W127" s="9"/>
      <c r="X127" s="9"/>
      <c r="AE127" s="9"/>
      <c r="AF127" s="9"/>
      <c r="AU127" s="9"/>
      <c r="AV127" s="9"/>
      <c r="AW127" s="9"/>
      <c r="AX127" s="9"/>
      <c r="AY127" s="9"/>
      <c r="AZ127" s="9"/>
      <c r="BA127" s="9"/>
      <c r="BC127" s="9"/>
      <c r="BE127" s="9"/>
      <c r="BF127" s="9"/>
      <c r="BG127" s="9"/>
    </row>
    <row r="128" spans="18:59">
      <c r="R128" s="9"/>
      <c r="S128" s="9"/>
      <c r="W128" s="9"/>
      <c r="X128" s="9"/>
      <c r="AE128" s="9"/>
      <c r="AF128" s="9"/>
      <c r="AU128" s="9"/>
      <c r="AV128" s="9"/>
      <c r="AW128" s="9"/>
      <c r="AX128" s="9"/>
      <c r="AY128" s="9"/>
      <c r="AZ128" s="9"/>
      <c r="BA128" s="9"/>
      <c r="BC128" s="9"/>
      <c r="BE128" s="9"/>
      <c r="BF128" s="9"/>
      <c r="BG128" s="9"/>
    </row>
    <row r="129" spans="18:59">
      <c r="R129" s="9"/>
      <c r="S129" s="9"/>
      <c r="W129" s="9"/>
      <c r="X129" s="9"/>
      <c r="AE129" s="9"/>
      <c r="AF129" s="9"/>
      <c r="AU129" s="9"/>
      <c r="AV129" s="9"/>
      <c r="AW129" s="9"/>
      <c r="AX129" s="9"/>
      <c r="AY129" s="9"/>
      <c r="AZ129" s="9"/>
      <c r="BA129" s="9"/>
      <c r="BC129" s="9"/>
      <c r="BE129" s="9"/>
      <c r="BF129" s="9"/>
      <c r="BG129" s="9"/>
    </row>
    <row r="130" spans="18:59">
      <c r="R130" s="9"/>
      <c r="S130" s="9"/>
      <c r="W130" s="9"/>
      <c r="X130" s="9"/>
      <c r="AE130" s="9"/>
      <c r="AF130" s="9"/>
      <c r="AU130" s="9"/>
      <c r="AV130" s="9"/>
      <c r="AW130" s="9"/>
      <c r="AX130" s="9"/>
      <c r="AY130" s="9"/>
      <c r="AZ130" s="9"/>
      <c r="BA130" s="9"/>
      <c r="BC130" s="9"/>
      <c r="BE130" s="9"/>
      <c r="BF130" s="9"/>
      <c r="BG130" s="9"/>
    </row>
    <row r="131" spans="18:59">
      <c r="R131" s="9"/>
      <c r="S131" s="9"/>
      <c r="W131" s="9"/>
      <c r="X131" s="9"/>
      <c r="AE131" s="9"/>
      <c r="AF131" s="9"/>
      <c r="AU131" s="9"/>
      <c r="AV131" s="9"/>
      <c r="AW131" s="9"/>
      <c r="AX131" s="9"/>
      <c r="AY131" s="9"/>
      <c r="AZ131" s="9"/>
      <c r="BA131" s="9"/>
      <c r="BC131" s="9"/>
      <c r="BE131" s="9"/>
      <c r="BF131" s="9"/>
      <c r="BG131" s="9"/>
    </row>
    <row r="132" spans="18:59">
      <c r="R132" s="9"/>
      <c r="S132" s="9"/>
      <c r="W132" s="9"/>
      <c r="X132" s="9"/>
      <c r="AE132" s="9"/>
      <c r="AF132" s="9"/>
      <c r="AU132" s="9"/>
      <c r="AV132" s="9"/>
      <c r="AW132" s="9"/>
      <c r="AX132" s="9"/>
      <c r="AY132" s="9"/>
      <c r="AZ132" s="9"/>
      <c r="BA132" s="9"/>
      <c r="BC132" s="9"/>
      <c r="BE132" s="9"/>
      <c r="BF132" s="9"/>
      <c r="BG132" s="9"/>
    </row>
    <row r="133" spans="18:59">
      <c r="R133" s="9"/>
      <c r="S133" s="9"/>
      <c r="W133" s="9"/>
      <c r="X133" s="9"/>
      <c r="AE133" s="9"/>
      <c r="AF133" s="9"/>
      <c r="AU133" s="9"/>
      <c r="AV133" s="9"/>
      <c r="AW133" s="9"/>
      <c r="AX133" s="9"/>
      <c r="AY133" s="9"/>
      <c r="AZ133" s="9"/>
      <c r="BA133" s="9"/>
      <c r="BC133" s="9"/>
      <c r="BE133" s="9"/>
      <c r="BF133" s="9"/>
      <c r="BG133" s="9"/>
    </row>
    <row r="134" spans="18:59">
      <c r="R134" s="9"/>
      <c r="S134" s="9"/>
      <c r="W134" s="9"/>
      <c r="X134" s="9"/>
      <c r="AE134" s="9"/>
      <c r="AF134" s="9"/>
      <c r="AU134" s="9"/>
      <c r="AV134" s="9"/>
      <c r="AW134" s="9"/>
      <c r="AX134" s="9"/>
      <c r="AY134" s="9"/>
      <c r="AZ134" s="9"/>
      <c r="BA134" s="9"/>
      <c r="BC134" s="9"/>
      <c r="BE134" s="9"/>
      <c r="BF134" s="9"/>
      <c r="BG134" s="9"/>
    </row>
    <row r="135" spans="18:59">
      <c r="R135" s="9"/>
      <c r="S135" s="9"/>
      <c r="W135" s="9"/>
      <c r="X135" s="9"/>
      <c r="AE135" s="9"/>
      <c r="AF135" s="9"/>
      <c r="AU135" s="9"/>
      <c r="AV135" s="9"/>
      <c r="AW135" s="9"/>
      <c r="AX135" s="9"/>
      <c r="AY135" s="9"/>
      <c r="AZ135" s="9"/>
      <c r="BA135" s="9"/>
      <c r="BC135" s="9"/>
      <c r="BE135" s="9"/>
      <c r="BF135" s="9"/>
      <c r="BG135" s="9"/>
    </row>
    <row r="136" spans="18:59">
      <c r="R136" s="9"/>
      <c r="S136" s="9"/>
      <c r="W136" s="9"/>
      <c r="X136" s="9"/>
      <c r="AE136" s="9"/>
      <c r="AF136" s="9"/>
      <c r="AU136" s="9"/>
      <c r="AV136" s="9"/>
      <c r="AW136" s="9"/>
      <c r="AX136" s="9"/>
      <c r="AY136" s="9"/>
      <c r="AZ136" s="9"/>
      <c r="BA136" s="9"/>
      <c r="BC136" s="9"/>
      <c r="BE136" s="9"/>
      <c r="BF136" s="9"/>
      <c r="BG136" s="9"/>
    </row>
    <row r="137" spans="18:59">
      <c r="R137" s="9"/>
      <c r="S137" s="9"/>
      <c r="W137" s="9"/>
      <c r="X137" s="9"/>
      <c r="AE137" s="9"/>
      <c r="AF137" s="9"/>
      <c r="AU137" s="9"/>
      <c r="AV137" s="9"/>
      <c r="AW137" s="9"/>
      <c r="AX137" s="9"/>
      <c r="AY137" s="9"/>
      <c r="AZ137" s="9"/>
      <c r="BA137" s="9"/>
      <c r="BC137" s="9"/>
      <c r="BE137" s="9"/>
      <c r="BF137" s="9"/>
      <c r="BG137" s="9"/>
    </row>
    <row r="138" spans="18:59">
      <c r="R138" s="9"/>
      <c r="S138" s="9"/>
      <c r="W138" s="9"/>
      <c r="X138" s="9"/>
      <c r="AE138" s="9"/>
      <c r="AF138" s="9"/>
      <c r="AU138" s="9"/>
      <c r="AV138" s="9"/>
      <c r="AW138" s="9"/>
      <c r="AX138" s="9"/>
      <c r="AY138" s="9"/>
      <c r="AZ138" s="9"/>
      <c r="BA138" s="9"/>
      <c r="BC138" s="9"/>
      <c r="BE138" s="9"/>
      <c r="BF138" s="9"/>
      <c r="BG138" s="9"/>
    </row>
    <row r="139" spans="18:59">
      <c r="R139" s="9"/>
      <c r="S139" s="9"/>
      <c r="W139" s="9"/>
      <c r="X139" s="9"/>
      <c r="AE139" s="9"/>
      <c r="AF139" s="9"/>
      <c r="AU139" s="9"/>
      <c r="AV139" s="9"/>
      <c r="AW139" s="9"/>
      <c r="AX139" s="9"/>
      <c r="AY139" s="9"/>
      <c r="AZ139" s="9"/>
      <c r="BA139" s="9"/>
      <c r="BC139" s="9"/>
      <c r="BE139" s="9"/>
      <c r="BF139" s="9"/>
      <c r="BG139" s="9"/>
    </row>
    <row r="140" spans="18:59">
      <c r="R140" s="9"/>
      <c r="S140" s="9"/>
      <c r="W140" s="9"/>
      <c r="X140" s="9"/>
      <c r="AE140" s="9"/>
      <c r="AF140" s="9"/>
      <c r="AU140" s="9"/>
      <c r="AV140" s="9"/>
      <c r="AW140" s="9"/>
      <c r="AX140" s="9"/>
      <c r="AY140" s="9"/>
      <c r="AZ140" s="9"/>
      <c r="BA140" s="9"/>
      <c r="BC140" s="9"/>
      <c r="BE140" s="9"/>
      <c r="BF140" s="9"/>
      <c r="BG140" s="9"/>
    </row>
    <row r="141" spans="18:59">
      <c r="R141" s="9"/>
      <c r="S141" s="9"/>
      <c r="W141" s="9"/>
      <c r="X141" s="9"/>
      <c r="AE141" s="9"/>
      <c r="AF141" s="9"/>
      <c r="AU141" s="9"/>
      <c r="AV141" s="9"/>
      <c r="AW141" s="9"/>
      <c r="AX141" s="9"/>
      <c r="AY141" s="9"/>
      <c r="AZ141" s="9"/>
      <c r="BA141" s="9"/>
      <c r="BC141" s="9"/>
      <c r="BE141" s="9"/>
      <c r="BF141" s="9"/>
      <c r="BG141" s="9"/>
    </row>
    <row r="142" spans="18:59">
      <c r="R142" s="9"/>
      <c r="S142" s="9"/>
      <c r="W142" s="9"/>
      <c r="X142" s="9"/>
      <c r="AE142" s="9"/>
      <c r="AF142" s="9"/>
      <c r="AU142" s="9"/>
      <c r="AV142" s="9"/>
      <c r="AW142" s="9"/>
      <c r="AX142" s="9"/>
      <c r="AY142" s="9"/>
      <c r="AZ142" s="9"/>
      <c r="BA142" s="9"/>
      <c r="BC142" s="9"/>
      <c r="BE142" s="9"/>
      <c r="BF142" s="9"/>
      <c r="BG142" s="9"/>
    </row>
    <row r="143" spans="18:59">
      <c r="R143" s="9"/>
      <c r="S143" s="9"/>
      <c r="W143" s="9"/>
      <c r="X143" s="9"/>
      <c r="AE143" s="9"/>
      <c r="AF143" s="9"/>
      <c r="AU143" s="9"/>
      <c r="AV143" s="9"/>
      <c r="AW143" s="9"/>
      <c r="AX143" s="9"/>
      <c r="AY143" s="9"/>
      <c r="AZ143" s="9"/>
      <c r="BA143" s="9"/>
      <c r="BC143" s="9"/>
      <c r="BE143" s="9"/>
      <c r="BF143" s="9"/>
      <c r="BG143" s="9"/>
    </row>
    <row r="144" spans="18:59">
      <c r="R144" s="9"/>
      <c r="S144" s="9"/>
      <c r="W144" s="9"/>
      <c r="X144" s="9"/>
      <c r="AE144" s="9"/>
      <c r="AF144" s="9"/>
      <c r="AU144" s="9"/>
      <c r="AV144" s="9"/>
      <c r="AW144" s="9"/>
      <c r="AX144" s="9"/>
      <c r="AY144" s="9"/>
      <c r="AZ144" s="9"/>
      <c r="BA144" s="9"/>
      <c r="BC144" s="9"/>
      <c r="BE144" s="9"/>
      <c r="BF144" s="9"/>
      <c r="BG144" s="9"/>
    </row>
    <row r="145" spans="18:59">
      <c r="R145" s="9"/>
      <c r="S145" s="9"/>
      <c r="W145" s="9"/>
      <c r="X145" s="9"/>
      <c r="AE145" s="9"/>
      <c r="AF145" s="9"/>
      <c r="AU145" s="9"/>
      <c r="AV145" s="9"/>
      <c r="AW145" s="9"/>
      <c r="AX145" s="9"/>
      <c r="AY145" s="9"/>
      <c r="AZ145" s="9"/>
      <c r="BA145" s="9"/>
      <c r="BC145" s="9"/>
      <c r="BE145" s="9"/>
      <c r="BF145" s="9"/>
      <c r="BG145" s="9"/>
    </row>
    <row r="146" spans="18:59">
      <c r="R146" s="9"/>
      <c r="S146" s="9"/>
      <c r="W146" s="9"/>
      <c r="X146" s="9"/>
      <c r="AE146" s="9"/>
      <c r="AF146" s="9"/>
      <c r="AU146" s="9"/>
      <c r="AV146" s="9"/>
      <c r="AW146" s="9"/>
      <c r="AX146" s="9"/>
      <c r="AY146" s="9"/>
      <c r="AZ146" s="9"/>
      <c r="BA146" s="9"/>
      <c r="BC146" s="9"/>
      <c r="BE146" s="9"/>
      <c r="BF146" s="9"/>
      <c r="BG146" s="9"/>
    </row>
    <row r="147" spans="18:59">
      <c r="R147" s="9"/>
      <c r="S147" s="9"/>
      <c r="W147" s="9"/>
      <c r="X147" s="9"/>
      <c r="AE147" s="9"/>
      <c r="AF147" s="9"/>
      <c r="AU147" s="9"/>
      <c r="AV147" s="9"/>
      <c r="AW147" s="9"/>
      <c r="AX147" s="9"/>
      <c r="AY147" s="9"/>
      <c r="AZ147" s="9"/>
      <c r="BA147" s="9"/>
      <c r="BC147" s="9"/>
      <c r="BE147" s="9"/>
      <c r="BF147" s="9"/>
      <c r="BG147" s="9"/>
    </row>
    <row r="148" spans="18:59">
      <c r="R148" s="9"/>
      <c r="S148" s="9"/>
      <c r="W148" s="9"/>
      <c r="X148" s="9"/>
      <c r="AE148" s="9"/>
      <c r="AF148" s="9"/>
      <c r="AU148" s="9"/>
      <c r="AV148" s="9"/>
      <c r="AW148" s="9"/>
      <c r="AX148" s="9"/>
      <c r="AY148" s="9"/>
      <c r="AZ148" s="9"/>
      <c r="BA148" s="9"/>
      <c r="BC148" s="9"/>
      <c r="BE148" s="9"/>
      <c r="BF148" s="9"/>
      <c r="BG148" s="9"/>
    </row>
    <row r="149" spans="18:59">
      <c r="R149" s="9"/>
      <c r="S149" s="9"/>
      <c r="W149" s="9"/>
      <c r="X149" s="9"/>
      <c r="AE149" s="9"/>
      <c r="AF149" s="9"/>
      <c r="AU149" s="9"/>
      <c r="AV149" s="9"/>
      <c r="AW149" s="9"/>
      <c r="AX149" s="9"/>
      <c r="AY149" s="9"/>
      <c r="AZ149" s="9"/>
      <c r="BA149" s="9"/>
      <c r="BC149" s="9"/>
      <c r="BE149" s="9"/>
      <c r="BF149" s="9"/>
      <c r="BG149" s="9"/>
    </row>
    <row r="150" spans="18:59">
      <c r="R150" s="9"/>
      <c r="S150" s="9"/>
      <c r="W150" s="9"/>
      <c r="X150" s="9"/>
      <c r="AE150" s="9"/>
      <c r="AF150" s="9"/>
      <c r="AU150" s="9"/>
      <c r="AV150" s="9"/>
      <c r="AW150" s="9"/>
      <c r="AX150" s="9"/>
      <c r="AY150" s="9"/>
      <c r="AZ150" s="9"/>
      <c r="BA150" s="9"/>
      <c r="BC150" s="9"/>
      <c r="BE150" s="9"/>
      <c r="BF150" s="9"/>
      <c r="BG150" s="9"/>
    </row>
    <row r="151" spans="18:59">
      <c r="R151" s="9"/>
      <c r="S151" s="9"/>
      <c r="W151" s="9"/>
      <c r="X151" s="9"/>
      <c r="AE151" s="9"/>
      <c r="AF151" s="9"/>
      <c r="AU151" s="9"/>
      <c r="AV151" s="9"/>
      <c r="AW151" s="9"/>
      <c r="AX151" s="9"/>
      <c r="AY151" s="9"/>
      <c r="AZ151" s="9"/>
      <c r="BA151" s="9"/>
      <c r="BC151" s="9"/>
      <c r="BE151" s="9"/>
      <c r="BF151" s="9"/>
      <c r="BG151" s="9"/>
    </row>
    <row r="152" spans="18:59">
      <c r="R152" s="9"/>
      <c r="S152" s="9"/>
      <c r="W152" s="9"/>
      <c r="X152" s="9"/>
      <c r="AE152" s="9"/>
      <c r="AF152" s="9"/>
      <c r="AU152" s="9"/>
      <c r="AV152" s="9"/>
      <c r="AW152" s="9"/>
      <c r="AX152" s="9"/>
      <c r="AY152" s="9"/>
      <c r="AZ152" s="9"/>
      <c r="BA152" s="9"/>
      <c r="BC152" s="9"/>
      <c r="BE152" s="9"/>
      <c r="BF152" s="9"/>
      <c r="BG152" s="9"/>
    </row>
    <row r="153" spans="18:59">
      <c r="R153" s="9"/>
      <c r="S153" s="9"/>
      <c r="W153" s="9"/>
      <c r="X153" s="9"/>
      <c r="AE153" s="9"/>
      <c r="AF153" s="9"/>
      <c r="AU153" s="9"/>
      <c r="AV153" s="9"/>
      <c r="AW153" s="9"/>
      <c r="AX153" s="9"/>
      <c r="AY153" s="9"/>
      <c r="AZ153" s="9"/>
      <c r="BA153" s="9"/>
      <c r="BC153" s="9"/>
      <c r="BE153" s="9"/>
      <c r="BF153" s="9"/>
      <c r="BG153" s="9"/>
    </row>
    <row r="154" spans="18:59">
      <c r="R154" s="9"/>
      <c r="S154" s="9"/>
      <c r="W154" s="9"/>
      <c r="X154" s="9"/>
      <c r="AE154" s="9"/>
      <c r="AF154" s="9"/>
      <c r="AU154" s="9"/>
      <c r="AV154" s="9"/>
      <c r="AW154" s="9"/>
      <c r="AX154" s="9"/>
      <c r="AY154" s="9"/>
      <c r="AZ154" s="9"/>
      <c r="BA154" s="9"/>
      <c r="BC154" s="9"/>
      <c r="BE154" s="9"/>
      <c r="BF154" s="9"/>
      <c r="BG154" s="9"/>
    </row>
    <row r="155" spans="18:59">
      <c r="R155" s="9"/>
      <c r="S155" s="9"/>
      <c r="W155" s="9"/>
      <c r="X155" s="9"/>
      <c r="AE155" s="9"/>
      <c r="AF155" s="9"/>
      <c r="AU155" s="9"/>
      <c r="AV155" s="9"/>
      <c r="AW155" s="9"/>
      <c r="AX155" s="9"/>
      <c r="AY155" s="9"/>
      <c r="AZ155" s="9"/>
      <c r="BA155" s="9"/>
      <c r="BC155" s="9"/>
      <c r="BE155" s="9"/>
      <c r="BF155" s="9"/>
      <c r="BG155" s="9"/>
    </row>
    <row r="156" spans="18:59">
      <c r="R156" s="9"/>
      <c r="S156" s="9"/>
      <c r="W156" s="9"/>
      <c r="X156" s="9"/>
      <c r="AE156" s="9"/>
      <c r="AF156" s="9"/>
      <c r="AU156" s="9"/>
      <c r="AV156" s="9"/>
      <c r="AW156" s="9"/>
      <c r="AX156" s="9"/>
      <c r="AY156" s="9"/>
      <c r="AZ156" s="9"/>
      <c r="BA156" s="9"/>
      <c r="BC156" s="9"/>
      <c r="BE156" s="9"/>
      <c r="BF156" s="9"/>
      <c r="BG156" s="9"/>
    </row>
    <row r="157" spans="18:59">
      <c r="R157" s="9"/>
      <c r="S157" s="9"/>
      <c r="W157" s="9"/>
      <c r="X157" s="9"/>
      <c r="AE157" s="9"/>
      <c r="AF157" s="9"/>
      <c r="AU157" s="9"/>
      <c r="AV157" s="9"/>
      <c r="AW157" s="9"/>
      <c r="AX157" s="9"/>
      <c r="AY157" s="9"/>
      <c r="AZ157" s="9"/>
      <c r="BA157" s="9"/>
      <c r="BC157" s="9"/>
      <c r="BE157" s="9"/>
      <c r="BF157" s="9"/>
      <c r="BG157" s="9"/>
    </row>
    <row r="158" spans="18:59">
      <c r="R158" s="9"/>
      <c r="S158" s="9"/>
      <c r="W158" s="9"/>
      <c r="X158" s="9"/>
      <c r="AE158" s="9"/>
      <c r="AF158" s="9"/>
      <c r="AU158" s="9"/>
      <c r="AV158" s="9"/>
      <c r="AW158" s="9"/>
      <c r="AX158" s="9"/>
      <c r="AY158" s="9"/>
      <c r="AZ158" s="9"/>
      <c r="BA158" s="9"/>
      <c r="BC158" s="9"/>
      <c r="BE158" s="9"/>
      <c r="BF158" s="9"/>
      <c r="BG158" s="9"/>
    </row>
    <row r="159" spans="18:59">
      <c r="R159" s="9"/>
      <c r="S159" s="9"/>
      <c r="W159" s="9"/>
      <c r="X159" s="9"/>
      <c r="AE159" s="9"/>
      <c r="AF159" s="9"/>
      <c r="AU159" s="9"/>
      <c r="AV159" s="9"/>
      <c r="AW159" s="9"/>
      <c r="AX159" s="9"/>
      <c r="AY159" s="9"/>
      <c r="AZ159" s="9"/>
      <c r="BA159" s="9"/>
      <c r="BC159" s="9"/>
      <c r="BE159" s="9"/>
      <c r="BF159" s="9"/>
      <c r="BG159" s="9"/>
    </row>
    <row r="160" spans="18:59">
      <c r="R160" s="9"/>
      <c r="S160" s="9"/>
      <c r="W160" s="9"/>
      <c r="X160" s="9"/>
      <c r="AE160" s="9"/>
      <c r="AF160" s="9"/>
      <c r="AU160" s="9"/>
      <c r="AV160" s="9"/>
      <c r="AW160" s="9"/>
      <c r="AX160" s="9"/>
      <c r="AY160" s="9"/>
      <c r="AZ160" s="9"/>
      <c r="BA160" s="9"/>
      <c r="BC160" s="9"/>
      <c r="BE160" s="9"/>
      <c r="BF160" s="9"/>
      <c r="BG160" s="9"/>
    </row>
    <row r="161" spans="18:59">
      <c r="R161" s="9"/>
      <c r="S161" s="9"/>
      <c r="W161" s="9"/>
      <c r="X161" s="9"/>
      <c r="AE161" s="9"/>
      <c r="AF161" s="9"/>
      <c r="AU161" s="9"/>
      <c r="AV161" s="9"/>
      <c r="AW161" s="9"/>
      <c r="AX161" s="9"/>
      <c r="AY161" s="9"/>
      <c r="AZ161" s="9"/>
      <c r="BA161" s="9"/>
      <c r="BC161" s="9"/>
      <c r="BE161" s="9"/>
      <c r="BF161" s="9"/>
      <c r="BG161" s="9"/>
    </row>
    <row r="162" spans="18:59">
      <c r="R162" s="9"/>
      <c r="S162" s="9"/>
      <c r="W162" s="9"/>
      <c r="X162" s="9"/>
      <c r="AE162" s="9"/>
      <c r="AF162" s="9"/>
      <c r="AU162" s="9"/>
      <c r="AV162" s="9"/>
      <c r="AW162" s="9"/>
      <c r="AX162" s="9"/>
      <c r="AY162" s="9"/>
      <c r="AZ162" s="9"/>
      <c r="BA162" s="9"/>
      <c r="BC162" s="9"/>
      <c r="BE162" s="9"/>
      <c r="BF162" s="9"/>
      <c r="BG162" s="9"/>
    </row>
    <row r="163" spans="18:59">
      <c r="R163" s="9"/>
      <c r="S163" s="9"/>
      <c r="W163" s="9"/>
      <c r="X163" s="9"/>
      <c r="AE163" s="9"/>
      <c r="AF163" s="9"/>
      <c r="AU163" s="9"/>
      <c r="AV163" s="9"/>
      <c r="AW163" s="9"/>
      <c r="AX163" s="9"/>
      <c r="AY163" s="9"/>
      <c r="AZ163" s="9"/>
      <c r="BA163" s="9"/>
      <c r="BC163" s="9"/>
      <c r="BE163" s="9"/>
      <c r="BF163" s="9"/>
      <c r="BG163" s="9"/>
    </row>
    <row r="164" spans="18:59">
      <c r="R164" s="9"/>
      <c r="S164" s="9"/>
      <c r="W164" s="9"/>
      <c r="X164" s="9"/>
      <c r="AE164" s="9"/>
      <c r="AF164" s="9"/>
      <c r="AU164" s="9"/>
      <c r="AV164" s="9"/>
      <c r="AW164" s="9"/>
      <c r="AX164" s="9"/>
      <c r="AY164" s="9"/>
      <c r="AZ164" s="9"/>
      <c r="BA164" s="9"/>
      <c r="BC164" s="9"/>
      <c r="BE164" s="9"/>
      <c r="BF164" s="9"/>
      <c r="BG164" s="9"/>
    </row>
    <row r="165" spans="18:59">
      <c r="R165" s="9"/>
      <c r="S165" s="9"/>
      <c r="W165" s="9"/>
      <c r="X165" s="9"/>
      <c r="AE165" s="9"/>
      <c r="AF165" s="9"/>
      <c r="AU165" s="9"/>
      <c r="AV165" s="9"/>
      <c r="AW165" s="9"/>
      <c r="AX165" s="9"/>
      <c r="AY165" s="9"/>
      <c r="AZ165" s="9"/>
      <c r="BA165" s="9"/>
      <c r="BC165" s="9"/>
      <c r="BE165" s="9"/>
      <c r="BF165" s="9"/>
      <c r="BG165" s="9"/>
    </row>
    <row r="166" spans="18:59">
      <c r="R166" s="9"/>
      <c r="S166" s="9"/>
      <c r="W166" s="9"/>
      <c r="X166" s="9"/>
      <c r="AE166" s="9"/>
      <c r="AF166" s="9"/>
      <c r="AU166" s="9"/>
      <c r="AV166" s="9"/>
      <c r="AW166" s="9"/>
      <c r="AX166" s="9"/>
      <c r="AY166" s="9"/>
      <c r="AZ166" s="9"/>
      <c r="BA166" s="9"/>
      <c r="BC166" s="9"/>
      <c r="BE166" s="9"/>
      <c r="BF166" s="9"/>
      <c r="BG166" s="9"/>
    </row>
    <row r="167" spans="18:59">
      <c r="R167" s="9"/>
      <c r="S167" s="9"/>
      <c r="W167" s="9"/>
      <c r="X167" s="9"/>
      <c r="AE167" s="9"/>
      <c r="AF167" s="9"/>
      <c r="AU167" s="9"/>
      <c r="AV167" s="9"/>
      <c r="AW167" s="9"/>
      <c r="AX167" s="9"/>
      <c r="AY167" s="9"/>
      <c r="AZ167" s="9"/>
      <c r="BA167" s="9"/>
      <c r="BC167" s="9"/>
      <c r="BE167" s="9"/>
      <c r="BF167" s="9"/>
      <c r="BG167" s="9"/>
    </row>
    <row r="168" spans="18:59">
      <c r="R168" s="9"/>
      <c r="S168" s="9"/>
      <c r="W168" s="9"/>
      <c r="X168" s="9"/>
      <c r="AE168" s="9"/>
      <c r="AF168" s="9"/>
      <c r="AU168" s="9"/>
      <c r="AV168" s="9"/>
      <c r="AW168" s="9"/>
      <c r="AX168" s="9"/>
      <c r="AY168" s="9"/>
      <c r="AZ168" s="9"/>
      <c r="BA168" s="9"/>
      <c r="BC168" s="9"/>
      <c r="BE168" s="9"/>
      <c r="BF168" s="9"/>
      <c r="BG168" s="9"/>
    </row>
    <row r="169" spans="18:59">
      <c r="R169" s="9"/>
      <c r="S169" s="9"/>
      <c r="W169" s="9"/>
      <c r="X169" s="9"/>
      <c r="AE169" s="9"/>
      <c r="AF169" s="9"/>
      <c r="AU169" s="9"/>
      <c r="AV169" s="9"/>
      <c r="AW169" s="9"/>
      <c r="AX169" s="9"/>
      <c r="AY169" s="9"/>
      <c r="AZ169" s="9"/>
      <c r="BA169" s="9"/>
      <c r="BC169" s="9"/>
      <c r="BE169" s="9"/>
      <c r="BF169" s="9"/>
      <c r="BG169" s="9"/>
    </row>
    <row r="170" spans="18:59">
      <c r="R170" s="9"/>
      <c r="S170" s="9"/>
      <c r="W170" s="9"/>
      <c r="X170" s="9"/>
      <c r="AE170" s="9"/>
      <c r="AF170" s="9"/>
      <c r="AU170" s="9"/>
      <c r="AV170" s="9"/>
      <c r="AW170" s="9"/>
      <c r="AX170" s="9"/>
      <c r="AY170" s="9"/>
      <c r="AZ170" s="9"/>
      <c r="BA170" s="9"/>
      <c r="BC170" s="9"/>
      <c r="BE170" s="9"/>
      <c r="BF170" s="9"/>
      <c r="BG170" s="9"/>
    </row>
    <row r="171" spans="18:59">
      <c r="R171" s="9"/>
      <c r="S171" s="9"/>
      <c r="W171" s="9"/>
      <c r="X171" s="9"/>
      <c r="AE171" s="9"/>
      <c r="AF171" s="9"/>
      <c r="AU171" s="9"/>
      <c r="AV171" s="9"/>
      <c r="AW171" s="9"/>
      <c r="AX171" s="9"/>
      <c r="AY171" s="9"/>
      <c r="AZ171" s="9"/>
      <c r="BA171" s="9"/>
      <c r="BC171" s="9"/>
      <c r="BE171" s="9"/>
      <c r="BF171" s="9"/>
      <c r="BG171" s="9"/>
    </row>
    <row r="172" spans="18:59">
      <c r="R172" s="9"/>
      <c r="S172" s="9"/>
      <c r="W172" s="9"/>
      <c r="X172" s="9"/>
      <c r="AE172" s="9"/>
      <c r="AF172" s="9"/>
      <c r="AU172" s="9"/>
      <c r="AV172" s="9"/>
      <c r="AW172" s="9"/>
      <c r="AX172" s="9"/>
      <c r="AY172" s="9"/>
      <c r="AZ172" s="9"/>
      <c r="BA172" s="9"/>
      <c r="BC172" s="9"/>
      <c r="BE172" s="9"/>
      <c r="BF172" s="9"/>
      <c r="BG172" s="9"/>
    </row>
    <row r="173" spans="18:59">
      <c r="R173" s="9"/>
      <c r="S173" s="9"/>
      <c r="W173" s="9"/>
      <c r="X173" s="9"/>
      <c r="AE173" s="9"/>
      <c r="AF173" s="9"/>
      <c r="AU173" s="9"/>
      <c r="AV173" s="9"/>
      <c r="AW173" s="9"/>
      <c r="AX173" s="9"/>
      <c r="AY173" s="9"/>
      <c r="AZ173" s="9"/>
      <c r="BA173" s="9"/>
      <c r="BC173" s="9"/>
      <c r="BE173" s="9"/>
      <c r="BF173" s="9"/>
      <c r="BG173" s="9"/>
    </row>
    <row r="174" spans="18:59">
      <c r="R174" s="9"/>
      <c r="S174" s="9"/>
      <c r="W174" s="9"/>
      <c r="X174" s="9"/>
      <c r="AE174" s="9"/>
      <c r="AF174" s="9"/>
      <c r="AU174" s="9"/>
      <c r="AV174" s="9"/>
      <c r="AW174" s="9"/>
      <c r="AX174" s="9"/>
      <c r="AY174" s="9"/>
      <c r="AZ174" s="9"/>
      <c r="BA174" s="9"/>
      <c r="BC174" s="9"/>
      <c r="BE174" s="9"/>
      <c r="BF174" s="9"/>
      <c r="BG174" s="9"/>
    </row>
    <row r="175" spans="18:59">
      <c r="R175" s="9"/>
      <c r="S175" s="9"/>
      <c r="W175" s="9"/>
      <c r="X175" s="9"/>
      <c r="AE175" s="9"/>
      <c r="AF175" s="9"/>
      <c r="AU175" s="9"/>
      <c r="AV175" s="9"/>
      <c r="AW175" s="9"/>
      <c r="AX175" s="9"/>
      <c r="AY175" s="9"/>
      <c r="AZ175" s="9"/>
      <c r="BA175" s="9"/>
      <c r="BC175" s="9"/>
      <c r="BE175" s="9"/>
      <c r="BF175" s="9"/>
      <c r="BG175" s="9"/>
    </row>
    <row r="176" spans="18:59">
      <c r="R176" s="9"/>
      <c r="S176" s="9"/>
      <c r="W176" s="9"/>
      <c r="X176" s="9"/>
      <c r="AE176" s="9"/>
      <c r="AF176" s="9"/>
      <c r="AU176" s="9"/>
      <c r="AV176" s="9"/>
      <c r="AW176" s="9"/>
      <c r="AX176" s="9"/>
      <c r="AY176" s="9"/>
      <c r="AZ176" s="9"/>
      <c r="BA176" s="9"/>
      <c r="BC176" s="9"/>
      <c r="BE176" s="9"/>
      <c r="BF176" s="9"/>
      <c r="BG176" s="9"/>
    </row>
    <row r="177" spans="18:59">
      <c r="R177" s="9"/>
      <c r="S177" s="9"/>
      <c r="W177" s="9"/>
      <c r="X177" s="9"/>
      <c r="AE177" s="9"/>
      <c r="AF177" s="9"/>
      <c r="AU177" s="9"/>
      <c r="AV177" s="9"/>
      <c r="AW177" s="9"/>
      <c r="AX177" s="9"/>
      <c r="AY177" s="9"/>
      <c r="AZ177" s="9"/>
      <c r="BA177" s="9"/>
      <c r="BC177" s="9"/>
      <c r="BE177" s="9"/>
      <c r="BF177" s="9"/>
      <c r="BG177" s="9"/>
    </row>
    <row r="178" spans="18:59">
      <c r="R178" s="9"/>
      <c r="S178" s="9"/>
      <c r="W178" s="9"/>
      <c r="X178" s="9"/>
      <c r="AE178" s="9"/>
      <c r="AF178" s="9"/>
      <c r="AU178" s="9"/>
      <c r="AV178" s="9"/>
      <c r="AW178" s="9"/>
      <c r="AX178" s="9"/>
      <c r="AY178" s="9"/>
      <c r="AZ178" s="9"/>
      <c r="BA178" s="9"/>
      <c r="BC178" s="9"/>
      <c r="BE178" s="9"/>
      <c r="BF178" s="9"/>
      <c r="BG178" s="9"/>
    </row>
    <row r="179" spans="18:59">
      <c r="R179" s="9"/>
      <c r="S179" s="9"/>
      <c r="W179" s="9"/>
      <c r="X179" s="9"/>
      <c r="AE179" s="9"/>
      <c r="AF179" s="9"/>
      <c r="AU179" s="9"/>
      <c r="AV179" s="9"/>
      <c r="AW179" s="9"/>
      <c r="AX179" s="9"/>
      <c r="AY179" s="9"/>
      <c r="AZ179" s="9"/>
      <c r="BA179" s="9"/>
      <c r="BC179" s="9"/>
      <c r="BE179" s="9"/>
      <c r="BF179" s="9"/>
      <c r="BG179" s="9"/>
    </row>
    <row r="180" spans="18:59">
      <c r="R180" s="9"/>
      <c r="S180" s="9"/>
      <c r="W180" s="9"/>
      <c r="X180" s="9"/>
      <c r="AE180" s="9"/>
      <c r="AF180" s="9"/>
      <c r="AU180" s="9"/>
      <c r="AV180" s="9"/>
      <c r="AW180" s="9"/>
      <c r="AX180" s="9"/>
      <c r="AY180" s="9"/>
      <c r="AZ180" s="9"/>
      <c r="BA180" s="9"/>
      <c r="BC180" s="9"/>
      <c r="BE180" s="9"/>
      <c r="BF180" s="9"/>
      <c r="BG180" s="9"/>
    </row>
    <row r="181" spans="18:59">
      <c r="R181" s="9"/>
      <c r="S181" s="9"/>
      <c r="W181" s="9"/>
      <c r="X181" s="9"/>
      <c r="AE181" s="9"/>
      <c r="AF181" s="9"/>
      <c r="AU181" s="9"/>
      <c r="AV181" s="9"/>
      <c r="AW181" s="9"/>
      <c r="AX181" s="9"/>
      <c r="AY181" s="9"/>
      <c r="AZ181" s="9"/>
      <c r="BA181" s="9"/>
      <c r="BC181" s="9"/>
      <c r="BE181" s="9"/>
      <c r="BF181" s="9"/>
      <c r="BG181" s="9"/>
    </row>
    <row r="182" spans="18:59">
      <c r="R182" s="9"/>
      <c r="S182" s="9"/>
      <c r="W182" s="9"/>
      <c r="X182" s="9"/>
      <c r="AE182" s="9"/>
      <c r="AF182" s="9"/>
      <c r="AU182" s="9"/>
      <c r="AV182" s="9"/>
      <c r="AW182" s="9"/>
      <c r="AX182" s="9"/>
      <c r="AY182" s="9"/>
      <c r="AZ182" s="9"/>
      <c r="BA182" s="9"/>
      <c r="BC182" s="9"/>
      <c r="BE182" s="9"/>
      <c r="BF182" s="9"/>
      <c r="BG182" s="9"/>
    </row>
    <row r="183" spans="18:59">
      <c r="R183" s="9"/>
      <c r="S183" s="9"/>
      <c r="W183" s="9"/>
      <c r="X183" s="9"/>
      <c r="AE183" s="9"/>
      <c r="AF183" s="9"/>
      <c r="AU183" s="9"/>
      <c r="AV183" s="9"/>
      <c r="AW183" s="9"/>
      <c r="AX183" s="9"/>
      <c r="AY183" s="9"/>
      <c r="AZ183" s="9"/>
      <c r="BA183" s="9"/>
      <c r="BC183" s="9"/>
      <c r="BE183" s="9"/>
      <c r="BF183" s="9"/>
      <c r="BG183" s="9"/>
    </row>
    <row r="184" spans="18:59">
      <c r="R184" s="9"/>
      <c r="S184" s="9"/>
      <c r="W184" s="9"/>
      <c r="X184" s="9"/>
      <c r="AE184" s="9"/>
      <c r="AF184" s="9"/>
      <c r="AU184" s="9"/>
      <c r="AV184" s="9"/>
      <c r="AW184" s="9"/>
      <c r="AX184" s="9"/>
      <c r="AY184" s="9"/>
      <c r="AZ184" s="9"/>
      <c r="BA184" s="9"/>
      <c r="BC184" s="9"/>
      <c r="BE184" s="9"/>
      <c r="BF184" s="9"/>
      <c r="BG184" s="9"/>
    </row>
    <row r="185" spans="18:59">
      <c r="R185" s="9"/>
      <c r="S185" s="9"/>
      <c r="W185" s="9"/>
      <c r="X185" s="9"/>
      <c r="AE185" s="9"/>
      <c r="AF185" s="9"/>
      <c r="AU185" s="9"/>
      <c r="AV185" s="9"/>
      <c r="AW185" s="9"/>
      <c r="AX185" s="9"/>
      <c r="AY185" s="9"/>
      <c r="AZ185" s="9"/>
      <c r="BA185" s="9"/>
      <c r="BC185" s="9"/>
      <c r="BE185" s="9"/>
      <c r="BF185" s="9"/>
      <c r="BG185" s="9"/>
    </row>
    <row r="186" spans="18:59">
      <c r="R186" s="9"/>
      <c r="S186" s="9"/>
      <c r="W186" s="9"/>
      <c r="X186" s="9"/>
      <c r="AE186" s="9"/>
      <c r="AF186" s="9"/>
      <c r="AU186" s="9"/>
      <c r="AV186" s="9"/>
      <c r="AW186" s="9"/>
      <c r="AX186" s="9"/>
      <c r="AY186" s="9"/>
      <c r="AZ186" s="9"/>
      <c r="BA186" s="9"/>
      <c r="BC186" s="9"/>
      <c r="BE186" s="9"/>
      <c r="BF186" s="9"/>
      <c r="BG186" s="9"/>
    </row>
    <row r="187" spans="18:59">
      <c r="R187" s="9"/>
      <c r="S187" s="9"/>
      <c r="W187" s="9"/>
      <c r="X187" s="9"/>
      <c r="AE187" s="9"/>
      <c r="AF187" s="9"/>
      <c r="AU187" s="9"/>
      <c r="AV187" s="9"/>
      <c r="AW187" s="9"/>
      <c r="AX187" s="9"/>
      <c r="AY187" s="9"/>
      <c r="AZ187" s="9"/>
      <c r="BA187" s="9"/>
      <c r="BC187" s="9"/>
      <c r="BE187" s="9"/>
      <c r="BF187" s="9"/>
      <c r="BG187" s="9"/>
    </row>
    <row r="188" spans="18:59">
      <c r="R188" s="9"/>
      <c r="S188" s="9"/>
      <c r="W188" s="9"/>
      <c r="X188" s="9"/>
      <c r="AE188" s="9"/>
      <c r="AF188" s="9"/>
      <c r="AU188" s="9"/>
      <c r="AV188" s="9"/>
      <c r="AW188" s="9"/>
      <c r="AX188" s="9"/>
      <c r="AY188" s="9"/>
      <c r="AZ188" s="9"/>
      <c r="BA188" s="9"/>
      <c r="BC188" s="9"/>
      <c r="BE188" s="9"/>
      <c r="BF188" s="9"/>
      <c r="BG188" s="9"/>
    </row>
    <row r="189" spans="18:59">
      <c r="R189" s="9"/>
      <c r="S189" s="9"/>
      <c r="W189" s="9"/>
      <c r="X189" s="9"/>
      <c r="AE189" s="9"/>
      <c r="AF189" s="9"/>
      <c r="AU189" s="9"/>
      <c r="AV189" s="9"/>
      <c r="AW189" s="9"/>
      <c r="AX189" s="9"/>
      <c r="AY189" s="9"/>
      <c r="AZ189" s="9"/>
      <c r="BA189" s="9"/>
      <c r="BC189" s="9"/>
      <c r="BE189" s="9"/>
      <c r="BF189" s="9"/>
      <c r="BG189" s="9"/>
    </row>
    <row r="190" spans="18:59">
      <c r="R190" s="9"/>
      <c r="S190" s="9"/>
      <c r="W190" s="9"/>
      <c r="X190" s="9"/>
      <c r="AE190" s="9"/>
      <c r="AF190" s="9"/>
      <c r="AU190" s="9"/>
      <c r="AV190" s="9"/>
      <c r="AW190" s="9"/>
      <c r="AX190" s="9"/>
      <c r="AY190" s="9"/>
      <c r="AZ190" s="9"/>
      <c r="BA190" s="9"/>
      <c r="BC190" s="9"/>
      <c r="BE190" s="9"/>
      <c r="BF190" s="9"/>
      <c r="BG190" s="9"/>
    </row>
    <row r="191" spans="18:59">
      <c r="R191" s="9"/>
      <c r="S191" s="9"/>
      <c r="W191" s="9"/>
      <c r="X191" s="9"/>
      <c r="AE191" s="9"/>
      <c r="AF191" s="9"/>
      <c r="AU191" s="9"/>
      <c r="AV191" s="9"/>
      <c r="AW191" s="9"/>
      <c r="AX191" s="9"/>
      <c r="AY191" s="9"/>
      <c r="AZ191" s="9"/>
      <c r="BA191" s="9"/>
      <c r="BC191" s="9"/>
      <c r="BE191" s="9"/>
      <c r="BF191" s="9"/>
      <c r="BG191" s="9"/>
    </row>
    <row r="192" spans="18:59">
      <c r="R192" s="9"/>
      <c r="S192" s="9"/>
      <c r="W192" s="9"/>
      <c r="X192" s="9"/>
      <c r="AE192" s="9"/>
      <c r="AF192" s="9"/>
      <c r="AU192" s="9"/>
      <c r="AV192" s="9"/>
      <c r="AW192" s="9"/>
      <c r="AX192" s="9"/>
      <c r="AY192" s="9"/>
      <c r="AZ192" s="9"/>
      <c r="BA192" s="9"/>
      <c r="BC192" s="9"/>
      <c r="BE192" s="9"/>
      <c r="BF192" s="9"/>
      <c r="BG192" s="9"/>
    </row>
    <row r="193" spans="18:59">
      <c r="R193" s="9"/>
      <c r="S193" s="9"/>
      <c r="W193" s="9"/>
      <c r="X193" s="9"/>
      <c r="AE193" s="9"/>
      <c r="AF193" s="9"/>
      <c r="AU193" s="9"/>
      <c r="AV193" s="9"/>
      <c r="AW193" s="9"/>
      <c r="AX193" s="9"/>
      <c r="AY193" s="9"/>
      <c r="AZ193" s="9"/>
      <c r="BA193" s="9"/>
      <c r="BC193" s="9"/>
      <c r="BE193" s="9"/>
      <c r="BF193" s="9"/>
      <c r="BG193" s="9"/>
    </row>
    <row r="194" spans="18:59">
      <c r="R194" s="9"/>
      <c r="S194" s="9"/>
      <c r="W194" s="9"/>
      <c r="X194" s="9"/>
      <c r="AE194" s="9"/>
      <c r="AF194" s="9"/>
      <c r="AU194" s="9"/>
      <c r="AV194" s="9"/>
      <c r="AW194" s="9"/>
      <c r="AX194" s="9"/>
      <c r="AY194" s="9"/>
      <c r="AZ194" s="9"/>
      <c r="BA194" s="9"/>
      <c r="BC194" s="9"/>
      <c r="BE194" s="9"/>
      <c r="BF194" s="9"/>
      <c r="BG194" s="9"/>
    </row>
    <row r="195" spans="18:59">
      <c r="R195" s="9"/>
      <c r="S195" s="9"/>
      <c r="W195" s="9"/>
      <c r="X195" s="9"/>
      <c r="AE195" s="9"/>
      <c r="AF195" s="9"/>
      <c r="AU195" s="9"/>
      <c r="AV195" s="9"/>
      <c r="AW195" s="9"/>
      <c r="AX195" s="9"/>
      <c r="AY195" s="9"/>
      <c r="AZ195" s="9"/>
      <c r="BA195" s="9"/>
      <c r="BC195" s="9"/>
      <c r="BE195" s="9"/>
      <c r="BF195" s="9"/>
      <c r="BG195" s="9"/>
    </row>
    <row r="196" spans="18:59">
      <c r="R196" s="9"/>
      <c r="S196" s="9"/>
      <c r="W196" s="9"/>
      <c r="X196" s="9"/>
      <c r="AE196" s="9"/>
      <c r="AF196" s="9"/>
      <c r="AU196" s="9"/>
      <c r="AV196" s="9"/>
      <c r="AW196" s="9"/>
      <c r="AX196" s="9"/>
      <c r="AY196" s="9"/>
      <c r="AZ196" s="9"/>
      <c r="BA196" s="9"/>
      <c r="BC196" s="9"/>
      <c r="BE196" s="9"/>
      <c r="BF196" s="9"/>
      <c r="BG196" s="9"/>
    </row>
    <row r="197" spans="18:59">
      <c r="R197" s="9"/>
      <c r="S197" s="9"/>
      <c r="W197" s="9"/>
      <c r="X197" s="9"/>
      <c r="AE197" s="9"/>
      <c r="AF197" s="9"/>
      <c r="AU197" s="9"/>
      <c r="AV197" s="9"/>
      <c r="AW197" s="9"/>
      <c r="AX197" s="9"/>
      <c r="AY197" s="9"/>
      <c r="AZ197" s="9"/>
      <c r="BA197" s="9"/>
      <c r="BC197" s="9"/>
      <c r="BE197" s="9"/>
      <c r="BF197" s="9"/>
      <c r="BG197" s="9"/>
    </row>
    <row r="198" spans="18:59">
      <c r="R198" s="9"/>
      <c r="S198" s="9"/>
      <c r="W198" s="9"/>
      <c r="X198" s="9"/>
      <c r="AE198" s="9"/>
      <c r="AF198" s="9"/>
      <c r="AU198" s="9"/>
      <c r="AV198" s="9"/>
      <c r="AW198" s="9"/>
      <c r="AX198" s="9"/>
      <c r="AY198" s="9"/>
      <c r="AZ198" s="9"/>
      <c r="BA198" s="9"/>
      <c r="BC198" s="9"/>
      <c r="BE198" s="9"/>
      <c r="BF198" s="9"/>
      <c r="BG198" s="9"/>
    </row>
    <row r="199" spans="18:59">
      <c r="R199" s="9"/>
      <c r="S199" s="9"/>
      <c r="W199" s="9"/>
      <c r="X199" s="9"/>
      <c r="AE199" s="9"/>
      <c r="AF199" s="9"/>
      <c r="AU199" s="9"/>
      <c r="AV199" s="9"/>
      <c r="AW199" s="9"/>
      <c r="AX199" s="9"/>
      <c r="AY199" s="9"/>
      <c r="AZ199" s="9"/>
      <c r="BA199" s="9"/>
      <c r="BC199" s="9"/>
      <c r="BE199" s="9"/>
      <c r="BF199" s="9"/>
      <c r="BG199" s="9"/>
    </row>
    <row r="200" spans="18:59">
      <c r="R200" s="9"/>
      <c r="S200" s="9"/>
      <c r="W200" s="9"/>
      <c r="X200" s="9"/>
      <c r="AE200" s="9"/>
      <c r="AF200" s="9"/>
      <c r="AU200" s="9"/>
      <c r="AV200" s="9"/>
      <c r="AW200" s="9"/>
      <c r="AX200" s="9"/>
      <c r="AY200" s="9"/>
      <c r="AZ200" s="9"/>
      <c r="BA200" s="9"/>
      <c r="BC200" s="9"/>
      <c r="BE200" s="9"/>
      <c r="BF200" s="9"/>
      <c r="BG200" s="9"/>
    </row>
    <row r="201" spans="18:59">
      <c r="R201" s="9"/>
      <c r="S201" s="9"/>
      <c r="W201" s="9"/>
      <c r="X201" s="9"/>
      <c r="AE201" s="9"/>
      <c r="AF201" s="9"/>
      <c r="AU201" s="9"/>
      <c r="AV201" s="9"/>
      <c r="AW201" s="9"/>
      <c r="AX201" s="9"/>
      <c r="AY201" s="9"/>
      <c r="AZ201" s="9"/>
      <c r="BA201" s="9"/>
      <c r="BC201" s="9"/>
      <c r="BE201" s="9"/>
      <c r="BF201" s="9"/>
      <c r="BG201" s="9"/>
    </row>
    <row r="202" spans="18:59">
      <c r="R202" s="9"/>
      <c r="S202" s="9"/>
      <c r="W202" s="9"/>
      <c r="X202" s="9"/>
      <c r="AE202" s="9"/>
      <c r="AF202" s="9"/>
      <c r="AU202" s="9"/>
      <c r="AV202" s="9"/>
      <c r="AW202" s="9"/>
      <c r="AX202" s="9"/>
      <c r="AY202" s="9"/>
      <c r="AZ202" s="9"/>
      <c r="BA202" s="9"/>
      <c r="BC202" s="9"/>
      <c r="BE202" s="9"/>
      <c r="BF202" s="9"/>
      <c r="BG202" s="9"/>
    </row>
    <row r="203" spans="18:59">
      <c r="R203" s="9"/>
      <c r="S203" s="9"/>
      <c r="W203" s="9"/>
      <c r="X203" s="9"/>
      <c r="AE203" s="9"/>
      <c r="AF203" s="9"/>
      <c r="AU203" s="9"/>
      <c r="AV203" s="9"/>
      <c r="AW203" s="9"/>
      <c r="AX203" s="9"/>
      <c r="AY203" s="9"/>
      <c r="AZ203" s="9"/>
      <c r="BA203" s="9"/>
      <c r="BC203" s="9"/>
      <c r="BE203" s="9"/>
      <c r="BF203" s="9"/>
      <c r="BG203" s="9"/>
    </row>
    <row r="204" spans="18:59">
      <c r="R204" s="9"/>
      <c r="S204" s="9"/>
      <c r="W204" s="9"/>
      <c r="X204" s="9"/>
      <c r="AE204" s="9"/>
      <c r="AF204" s="9"/>
      <c r="AU204" s="9"/>
      <c r="AV204" s="9"/>
      <c r="AW204" s="9"/>
      <c r="AX204" s="9"/>
      <c r="AY204" s="9"/>
      <c r="AZ204" s="9"/>
      <c r="BA204" s="9"/>
      <c r="BC204" s="9"/>
      <c r="BE204" s="9"/>
      <c r="BF204" s="9"/>
      <c r="BG204" s="9"/>
    </row>
    <row r="205" spans="18:59">
      <c r="R205" s="9"/>
      <c r="S205" s="9"/>
      <c r="W205" s="9"/>
      <c r="X205" s="9"/>
      <c r="AE205" s="9"/>
      <c r="AF205" s="9"/>
      <c r="AU205" s="9"/>
      <c r="AV205" s="9"/>
      <c r="AW205" s="9"/>
      <c r="AX205" s="9"/>
      <c r="AY205" s="9"/>
      <c r="AZ205" s="9"/>
      <c r="BA205" s="9"/>
      <c r="BC205" s="9"/>
      <c r="BE205" s="9"/>
      <c r="BF205" s="9"/>
      <c r="BG205" s="9"/>
    </row>
    <row r="206" spans="18:59">
      <c r="R206" s="9"/>
      <c r="S206" s="9"/>
      <c r="W206" s="9"/>
      <c r="X206" s="9"/>
      <c r="AE206" s="9"/>
      <c r="AF206" s="9"/>
      <c r="AU206" s="9"/>
      <c r="AV206" s="9"/>
      <c r="AW206" s="9"/>
      <c r="AX206" s="9"/>
      <c r="AY206" s="9"/>
      <c r="AZ206" s="9"/>
      <c r="BA206" s="9"/>
      <c r="BC206" s="9"/>
      <c r="BE206" s="9"/>
      <c r="BF206" s="9"/>
      <c r="BG206" s="9"/>
    </row>
    <row r="207" spans="18:59">
      <c r="R207" s="9"/>
      <c r="S207" s="9"/>
      <c r="W207" s="9"/>
      <c r="X207" s="9"/>
      <c r="AE207" s="9"/>
      <c r="AF207" s="9"/>
      <c r="AU207" s="9"/>
      <c r="AV207" s="9"/>
      <c r="AW207" s="9"/>
      <c r="AX207" s="9"/>
      <c r="AY207" s="9"/>
      <c r="AZ207" s="9"/>
      <c r="BA207" s="9"/>
      <c r="BC207" s="9"/>
      <c r="BE207" s="9"/>
      <c r="BF207" s="9"/>
      <c r="BG207" s="9"/>
    </row>
    <row r="208" spans="18:59">
      <c r="R208" s="9"/>
      <c r="S208" s="9"/>
      <c r="W208" s="9"/>
      <c r="X208" s="9"/>
      <c r="AE208" s="9"/>
      <c r="AF208" s="9"/>
      <c r="AU208" s="9"/>
      <c r="AV208" s="9"/>
      <c r="AW208" s="9"/>
      <c r="AX208" s="9"/>
      <c r="AY208" s="9"/>
      <c r="AZ208" s="9"/>
      <c r="BA208" s="9"/>
      <c r="BC208" s="9"/>
      <c r="BE208" s="9"/>
      <c r="BF208" s="9"/>
      <c r="BG208" s="9"/>
    </row>
    <row r="209" spans="18:59">
      <c r="R209" s="9"/>
      <c r="S209" s="9"/>
      <c r="W209" s="9"/>
      <c r="X209" s="9"/>
      <c r="AE209" s="9"/>
      <c r="AF209" s="9"/>
      <c r="AU209" s="9"/>
      <c r="AV209" s="9"/>
      <c r="AW209" s="9"/>
      <c r="AX209" s="9"/>
      <c r="AY209" s="9"/>
      <c r="AZ209" s="9"/>
      <c r="BA209" s="9"/>
      <c r="BC209" s="9"/>
      <c r="BE209" s="9"/>
      <c r="BF209" s="9"/>
      <c r="BG209" s="9"/>
    </row>
    <row r="210" spans="18:59">
      <c r="R210" s="9"/>
      <c r="S210" s="9"/>
      <c r="W210" s="9"/>
      <c r="X210" s="9"/>
      <c r="AE210" s="9"/>
      <c r="AF210" s="9"/>
      <c r="AU210" s="9"/>
      <c r="AV210" s="9"/>
      <c r="AW210" s="9"/>
      <c r="AX210" s="9"/>
      <c r="AY210" s="9"/>
      <c r="AZ210" s="9"/>
      <c r="BA210" s="9"/>
      <c r="BC210" s="9"/>
      <c r="BE210" s="9"/>
      <c r="BF210" s="9"/>
      <c r="BG210" s="9"/>
    </row>
    <row r="211" spans="18:59">
      <c r="R211" s="9"/>
      <c r="S211" s="9"/>
      <c r="W211" s="9"/>
      <c r="X211" s="9"/>
      <c r="AE211" s="9"/>
      <c r="AF211" s="9"/>
      <c r="AU211" s="9"/>
      <c r="AV211" s="9"/>
      <c r="AW211" s="9"/>
      <c r="AX211" s="9"/>
      <c r="AY211" s="9"/>
      <c r="AZ211" s="9"/>
      <c r="BA211" s="9"/>
      <c r="BC211" s="9"/>
      <c r="BE211" s="9"/>
      <c r="BF211" s="9"/>
      <c r="BG211" s="9"/>
    </row>
    <row r="212" spans="18:59">
      <c r="R212" s="9"/>
      <c r="S212" s="9"/>
      <c r="W212" s="9"/>
      <c r="X212" s="9"/>
      <c r="AE212" s="9"/>
      <c r="AF212" s="9"/>
      <c r="AU212" s="9"/>
      <c r="AV212" s="9"/>
      <c r="AW212" s="9"/>
      <c r="AX212" s="9"/>
      <c r="AY212" s="9"/>
      <c r="AZ212" s="9"/>
      <c r="BA212" s="9"/>
      <c r="BC212" s="9"/>
      <c r="BE212" s="9"/>
      <c r="BF212" s="9"/>
      <c r="BG212" s="9"/>
    </row>
    <row r="213" spans="18:59">
      <c r="R213" s="9"/>
      <c r="S213" s="9"/>
      <c r="W213" s="9"/>
      <c r="X213" s="9"/>
      <c r="AE213" s="9"/>
      <c r="AF213" s="9"/>
      <c r="AU213" s="9"/>
      <c r="AV213" s="9"/>
      <c r="AW213" s="9"/>
      <c r="AX213" s="9"/>
      <c r="AY213" s="9"/>
      <c r="AZ213" s="9"/>
      <c r="BA213" s="9"/>
      <c r="BC213" s="9"/>
      <c r="BE213" s="9"/>
      <c r="BF213" s="9"/>
      <c r="BG213" s="9"/>
    </row>
    <row r="214" spans="18:59">
      <c r="R214" s="9"/>
      <c r="S214" s="9"/>
      <c r="W214" s="9"/>
      <c r="X214" s="9"/>
      <c r="AE214" s="9"/>
      <c r="AF214" s="9"/>
      <c r="AU214" s="9"/>
      <c r="AV214" s="9"/>
      <c r="AW214" s="9"/>
      <c r="AX214" s="9"/>
      <c r="AY214" s="9"/>
      <c r="AZ214" s="9"/>
      <c r="BA214" s="9"/>
      <c r="BC214" s="9"/>
      <c r="BE214" s="9"/>
      <c r="BF214" s="9"/>
      <c r="BG214" s="9"/>
    </row>
    <row r="215" spans="18:59">
      <c r="R215" s="9"/>
      <c r="S215" s="9"/>
      <c r="W215" s="9"/>
      <c r="X215" s="9"/>
      <c r="AE215" s="9"/>
      <c r="AF215" s="9"/>
      <c r="AU215" s="9"/>
      <c r="AV215" s="9"/>
      <c r="AW215" s="9"/>
      <c r="AX215" s="9"/>
      <c r="AY215" s="9"/>
      <c r="AZ215" s="9"/>
      <c r="BA215" s="9"/>
      <c r="BC215" s="9"/>
      <c r="BE215" s="9"/>
      <c r="BF215" s="9"/>
      <c r="BG215" s="9"/>
    </row>
    <row r="216" spans="18:59">
      <c r="R216" s="9"/>
      <c r="S216" s="9"/>
      <c r="W216" s="9"/>
      <c r="X216" s="9"/>
      <c r="AE216" s="9"/>
      <c r="AF216" s="9"/>
      <c r="AU216" s="9"/>
      <c r="AV216" s="9"/>
      <c r="AW216" s="9"/>
      <c r="AX216" s="9"/>
      <c r="AY216" s="9"/>
      <c r="AZ216" s="9"/>
      <c r="BA216" s="9"/>
      <c r="BC216" s="9"/>
      <c r="BE216" s="9"/>
      <c r="BF216" s="9"/>
      <c r="BG216" s="9"/>
    </row>
    <row r="217" spans="18:59">
      <c r="R217" s="9"/>
      <c r="S217" s="9"/>
      <c r="W217" s="9"/>
      <c r="X217" s="9"/>
      <c r="AE217" s="9"/>
      <c r="AF217" s="9"/>
      <c r="AU217" s="9"/>
      <c r="AV217" s="9"/>
      <c r="AW217" s="9"/>
      <c r="AX217" s="9"/>
      <c r="AY217" s="9"/>
      <c r="AZ217" s="9"/>
      <c r="BA217" s="9"/>
      <c r="BC217" s="9"/>
      <c r="BE217" s="9"/>
      <c r="BF217" s="9"/>
      <c r="BG217" s="9"/>
    </row>
    <row r="218" spans="18:59">
      <c r="R218" s="9"/>
      <c r="S218" s="9"/>
      <c r="W218" s="9"/>
      <c r="X218" s="9"/>
      <c r="AE218" s="9"/>
      <c r="AF218" s="9"/>
      <c r="AU218" s="9"/>
      <c r="AV218" s="9"/>
      <c r="AW218" s="9"/>
      <c r="AX218" s="9"/>
      <c r="AY218" s="9"/>
      <c r="AZ218" s="9"/>
      <c r="BA218" s="9"/>
      <c r="BC218" s="9"/>
      <c r="BE218" s="9"/>
      <c r="BF218" s="9"/>
      <c r="BG218" s="9"/>
    </row>
    <row r="219" spans="18:59">
      <c r="R219" s="9"/>
      <c r="S219" s="9"/>
      <c r="W219" s="9"/>
      <c r="X219" s="9"/>
      <c r="AE219" s="9"/>
      <c r="AF219" s="9"/>
      <c r="AU219" s="9"/>
      <c r="AV219" s="9"/>
      <c r="AW219" s="9"/>
      <c r="AX219" s="9"/>
      <c r="AY219" s="9"/>
      <c r="AZ219" s="9"/>
      <c r="BA219" s="9"/>
      <c r="BC219" s="9"/>
      <c r="BE219" s="9"/>
      <c r="BF219" s="9"/>
      <c r="BG219" s="9"/>
    </row>
    <row r="220" spans="18:59">
      <c r="R220" s="9"/>
      <c r="S220" s="9"/>
      <c r="W220" s="9"/>
      <c r="X220" s="9"/>
      <c r="AE220" s="9"/>
      <c r="AF220" s="9"/>
      <c r="AU220" s="9"/>
      <c r="AV220" s="9"/>
      <c r="AW220" s="9"/>
      <c r="AX220" s="9"/>
      <c r="AY220" s="9"/>
      <c r="AZ220" s="9"/>
      <c r="BA220" s="9"/>
      <c r="BC220" s="9"/>
      <c r="BE220" s="9"/>
      <c r="BF220" s="9"/>
      <c r="BG220" s="9"/>
    </row>
    <row r="221" spans="18:59">
      <c r="R221" s="9"/>
      <c r="S221" s="9"/>
      <c r="W221" s="9"/>
      <c r="X221" s="9"/>
      <c r="AE221" s="9"/>
      <c r="AF221" s="9"/>
      <c r="AU221" s="9"/>
      <c r="AV221" s="9"/>
      <c r="AW221" s="9"/>
      <c r="AX221" s="9"/>
      <c r="AY221" s="9"/>
      <c r="AZ221" s="9"/>
      <c r="BA221" s="9"/>
      <c r="BC221" s="9"/>
      <c r="BE221" s="9"/>
      <c r="BF221" s="9"/>
      <c r="BG221" s="9"/>
    </row>
    <row r="222" spans="18:59">
      <c r="R222" s="9"/>
      <c r="S222" s="9"/>
      <c r="W222" s="9"/>
      <c r="X222" s="9"/>
      <c r="AE222" s="9"/>
      <c r="AF222" s="9"/>
      <c r="AU222" s="9"/>
      <c r="AV222" s="9"/>
      <c r="AW222" s="9"/>
      <c r="AX222" s="9"/>
      <c r="AY222" s="9"/>
      <c r="AZ222" s="9"/>
      <c r="BA222" s="9"/>
      <c r="BC222" s="9"/>
      <c r="BE222" s="9"/>
      <c r="BF222" s="9"/>
      <c r="BG222" s="9"/>
    </row>
    <row r="223" spans="18:59">
      <c r="R223" s="9"/>
      <c r="S223" s="9"/>
      <c r="W223" s="9"/>
      <c r="X223" s="9"/>
      <c r="AE223" s="9"/>
      <c r="AF223" s="9"/>
      <c r="AU223" s="9"/>
      <c r="AV223" s="9"/>
      <c r="AW223" s="9"/>
      <c r="AX223" s="9"/>
      <c r="AY223" s="9"/>
      <c r="AZ223" s="9"/>
      <c r="BA223" s="9"/>
      <c r="BC223" s="9"/>
      <c r="BE223" s="9"/>
      <c r="BF223" s="9"/>
      <c r="BG223" s="9"/>
    </row>
    <row r="224" spans="18:59">
      <c r="R224" s="9"/>
      <c r="S224" s="9"/>
      <c r="W224" s="9"/>
      <c r="X224" s="9"/>
      <c r="AE224" s="9"/>
      <c r="AF224" s="9"/>
      <c r="AU224" s="9"/>
      <c r="AV224" s="9"/>
      <c r="AW224" s="9"/>
      <c r="AX224" s="9"/>
      <c r="AY224" s="9"/>
      <c r="AZ224" s="9"/>
      <c r="BA224" s="9"/>
      <c r="BC224" s="9"/>
      <c r="BE224" s="9"/>
      <c r="BF224" s="9"/>
      <c r="BG224" s="9"/>
    </row>
    <row r="225" spans="18:59">
      <c r="R225" s="9"/>
      <c r="S225" s="9"/>
      <c r="W225" s="9"/>
      <c r="X225" s="9"/>
      <c r="AE225" s="9"/>
      <c r="AF225" s="9"/>
      <c r="AU225" s="9"/>
      <c r="AV225" s="9"/>
      <c r="AW225" s="9"/>
      <c r="AX225" s="9"/>
      <c r="AY225" s="9"/>
      <c r="AZ225" s="9"/>
      <c r="BA225" s="9"/>
      <c r="BC225" s="9"/>
      <c r="BE225" s="9"/>
      <c r="BF225" s="9"/>
      <c r="BG225" s="9"/>
    </row>
    <row r="226" spans="18:59">
      <c r="R226" s="9"/>
      <c r="S226" s="9"/>
      <c r="W226" s="9"/>
      <c r="X226" s="9"/>
      <c r="AE226" s="9"/>
      <c r="AF226" s="9"/>
      <c r="AU226" s="9"/>
      <c r="AV226" s="9"/>
      <c r="AW226" s="9"/>
      <c r="AX226" s="9"/>
      <c r="AY226" s="9"/>
      <c r="AZ226" s="9"/>
      <c r="BA226" s="9"/>
      <c r="BC226" s="9"/>
      <c r="BE226" s="9"/>
      <c r="BF226" s="9"/>
      <c r="BG226" s="9"/>
    </row>
    <row r="227" spans="18:59">
      <c r="R227" s="9"/>
      <c r="S227" s="9"/>
      <c r="W227" s="9"/>
      <c r="X227" s="9"/>
      <c r="AE227" s="9"/>
      <c r="AF227" s="9"/>
      <c r="AU227" s="9"/>
      <c r="AV227" s="9"/>
      <c r="AW227" s="9"/>
      <c r="AX227" s="9"/>
      <c r="AY227" s="9"/>
      <c r="AZ227" s="9"/>
      <c r="BA227" s="9"/>
      <c r="BC227" s="9"/>
      <c r="BE227" s="9"/>
      <c r="BF227" s="9"/>
      <c r="BG227" s="9"/>
    </row>
    <row r="228" spans="18:59">
      <c r="R228" s="9"/>
      <c r="S228" s="9"/>
      <c r="W228" s="9"/>
      <c r="X228" s="9"/>
      <c r="AE228" s="9"/>
      <c r="AF228" s="9"/>
      <c r="AU228" s="9"/>
      <c r="AV228" s="9"/>
      <c r="AW228" s="9"/>
      <c r="AX228" s="9"/>
      <c r="AY228" s="9"/>
      <c r="AZ228" s="9"/>
      <c r="BA228" s="9"/>
      <c r="BC228" s="9"/>
      <c r="BE228" s="9"/>
      <c r="BF228" s="9"/>
      <c r="BG228" s="9"/>
    </row>
    <row r="229" spans="18:59">
      <c r="R229" s="9"/>
      <c r="S229" s="9"/>
      <c r="W229" s="9"/>
      <c r="X229" s="9"/>
      <c r="AE229" s="9"/>
      <c r="AF229" s="9"/>
      <c r="AU229" s="9"/>
      <c r="AV229" s="9"/>
      <c r="AW229" s="9"/>
      <c r="AX229" s="9"/>
      <c r="AY229" s="9"/>
      <c r="AZ229" s="9"/>
      <c r="BA229" s="9"/>
      <c r="BC229" s="9"/>
      <c r="BE229" s="9"/>
      <c r="BF229" s="9"/>
      <c r="BG229" s="9"/>
    </row>
    <row r="230" spans="18:59">
      <c r="R230" s="9"/>
      <c r="S230" s="9"/>
      <c r="W230" s="9"/>
      <c r="X230" s="9"/>
      <c r="AE230" s="9"/>
      <c r="AF230" s="9"/>
      <c r="AU230" s="9"/>
      <c r="AV230" s="9"/>
      <c r="AW230" s="9"/>
      <c r="AX230" s="9"/>
      <c r="AY230" s="9"/>
      <c r="AZ230" s="9"/>
      <c r="BA230" s="9"/>
      <c r="BC230" s="9"/>
      <c r="BE230" s="9"/>
      <c r="BF230" s="9"/>
      <c r="BG230" s="9"/>
    </row>
    <row r="231" spans="18:59">
      <c r="R231" s="9"/>
      <c r="S231" s="9"/>
      <c r="W231" s="9"/>
      <c r="X231" s="9"/>
      <c r="AE231" s="9"/>
      <c r="AF231" s="9"/>
      <c r="AU231" s="9"/>
      <c r="AV231" s="9"/>
      <c r="AW231" s="9"/>
      <c r="AX231" s="9"/>
      <c r="AY231" s="9"/>
      <c r="AZ231" s="9"/>
      <c r="BA231" s="9"/>
      <c r="BC231" s="9"/>
      <c r="BE231" s="9"/>
      <c r="BF231" s="9"/>
      <c r="BG231" s="9"/>
    </row>
    <row r="232" spans="18:59">
      <c r="R232" s="9"/>
      <c r="S232" s="9"/>
      <c r="W232" s="9"/>
      <c r="X232" s="9"/>
      <c r="AE232" s="9"/>
      <c r="AF232" s="9"/>
      <c r="AU232" s="9"/>
      <c r="AV232" s="9"/>
      <c r="AW232" s="9"/>
      <c r="AX232" s="9"/>
      <c r="AY232" s="9"/>
      <c r="AZ232" s="9"/>
      <c r="BA232" s="9"/>
      <c r="BC232" s="9"/>
      <c r="BE232" s="9"/>
      <c r="BF232" s="9"/>
      <c r="BG232" s="9"/>
    </row>
    <row r="233" spans="18:59">
      <c r="R233" s="9"/>
      <c r="S233" s="9"/>
      <c r="W233" s="9"/>
      <c r="X233" s="9"/>
      <c r="AE233" s="9"/>
      <c r="AF233" s="9"/>
      <c r="AU233" s="9"/>
      <c r="AV233" s="9"/>
      <c r="AW233" s="9"/>
      <c r="AX233" s="9"/>
      <c r="AY233" s="9"/>
      <c r="AZ233" s="9"/>
      <c r="BA233" s="9"/>
      <c r="BC233" s="9"/>
      <c r="BE233" s="9"/>
      <c r="BF233" s="9"/>
      <c r="BG233" s="9"/>
    </row>
    <row r="234" spans="18:59">
      <c r="R234" s="9"/>
      <c r="S234" s="9"/>
      <c r="W234" s="9"/>
      <c r="X234" s="9"/>
      <c r="AE234" s="9"/>
      <c r="AF234" s="9"/>
      <c r="AU234" s="9"/>
      <c r="AV234" s="9"/>
      <c r="AW234" s="9"/>
      <c r="AX234" s="9"/>
      <c r="AY234" s="9"/>
      <c r="AZ234" s="9"/>
      <c r="BA234" s="9"/>
      <c r="BC234" s="9"/>
      <c r="BE234" s="9"/>
      <c r="BF234" s="9"/>
      <c r="BG234" s="9"/>
    </row>
    <row r="235" spans="18:59">
      <c r="R235" s="9"/>
      <c r="S235" s="9"/>
      <c r="W235" s="9"/>
      <c r="X235" s="9"/>
      <c r="AE235" s="9"/>
      <c r="AF235" s="9"/>
      <c r="AU235" s="9"/>
      <c r="AV235" s="9"/>
      <c r="AW235" s="9"/>
      <c r="AX235" s="9"/>
      <c r="AY235" s="9"/>
      <c r="AZ235" s="9"/>
      <c r="BA235" s="9"/>
      <c r="BC235" s="9"/>
      <c r="BE235" s="9"/>
      <c r="BF235" s="9"/>
      <c r="BG235" s="9"/>
    </row>
    <row r="236" spans="18:59">
      <c r="R236" s="9"/>
      <c r="S236" s="9"/>
      <c r="W236" s="9"/>
      <c r="X236" s="9"/>
      <c r="AE236" s="9"/>
      <c r="AF236" s="9"/>
      <c r="AU236" s="9"/>
      <c r="AV236" s="9"/>
      <c r="AW236" s="9"/>
      <c r="AX236" s="9"/>
      <c r="AY236" s="9"/>
      <c r="AZ236" s="9"/>
      <c r="BA236" s="9"/>
      <c r="BC236" s="9"/>
      <c r="BE236" s="9"/>
      <c r="BF236" s="9"/>
      <c r="BG236" s="9"/>
    </row>
    <row r="237" spans="18:59">
      <c r="R237" s="9"/>
      <c r="S237" s="9"/>
      <c r="W237" s="9"/>
      <c r="X237" s="9"/>
      <c r="AE237" s="9"/>
      <c r="AF237" s="9"/>
      <c r="AU237" s="9"/>
      <c r="AV237" s="9"/>
      <c r="AW237" s="9"/>
      <c r="AX237" s="9"/>
      <c r="AY237" s="9"/>
      <c r="AZ237" s="9"/>
      <c r="BA237" s="9"/>
      <c r="BC237" s="9"/>
      <c r="BE237" s="9"/>
      <c r="BF237" s="9"/>
      <c r="BG237" s="9"/>
    </row>
    <row r="238" spans="18:59">
      <c r="R238" s="9"/>
      <c r="S238" s="9"/>
      <c r="W238" s="9"/>
      <c r="X238" s="9"/>
      <c r="AE238" s="9"/>
      <c r="AF238" s="9"/>
      <c r="AU238" s="9"/>
      <c r="AV238" s="9"/>
      <c r="AW238" s="9"/>
      <c r="AX238" s="9"/>
      <c r="AY238" s="9"/>
      <c r="AZ238" s="9"/>
      <c r="BA238" s="9"/>
      <c r="BC238" s="9"/>
      <c r="BE238" s="9"/>
      <c r="BF238" s="9"/>
      <c r="BG238" s="9"/>
    </row>
    <row r="239" spans="18:59">
      <c r="R239" s="9"/>
      <c r="S239" s="9"/>
      <c r="W239" s="9"/>
      <c r="X239" s="9"/>
      <c r="AE239" s="9"/>
      <c r="AF239" s="9"/>
      <c r="AU239" s="9"/>
      <c r="AV239" s="9"/>
      <c r="AW239" s="9"/>
      <c r="AX239" s="9"/>
      <c r="AY239" s="9"/>
      <c r="AZ239" s="9"/>
      <c r="BA239" s="9"/>
      <c r="BC239" s="9"/>
      <c r="BE239" s="9"/>
      <c r="BF239" s="9"/>
      <c r="BG239" s="9"/>
    </row>
    <row r="240" spans="18:59">
      <c r="R240" s="9"/>
      <c r="S240" s="9"/>
      <c r="W240" s="9"/>
      <c r="X240" s="9"/>
      <c r="AE240" s="9"/>
      <c r="AF240" s="9"/>
      <c r="AU240" s="9"/>
      <c r="AV240" s="9"/>
      <c r="AW240" s="9"/>
      <c r="AX240" s="9"/>
      <c r="AY240" s="9"/>
      <c r="AZ240" s="9"/>
      <c r="BA240" s="9"/>
      <c r="BC240" s="9"/>
      <c r="BE240" s="9"/>
      <c r="BF240" s="9"/>
      <c r="BG240" s="9"/>
    </row>
    <row r="241" spans="18:59">
      <c r="R241" s="9"/>
      <c r="S241" s="9"/>
      <c r="W241" s="9"/>
      <c r="X241" s="9"/>
      <c r="AE241" s="9"/>
      <c r="AF241" s="9"/>
      <c r="AU241" s="9"/>
      <c r="AV241" s="9"/>
      <c r="AW241" s="9"/>
      <c r="AX241" s="9"/>
      <c r="AY241" s="9"/>
      <c r="AZ241" s="9"/>
      <c r="BA241" s="9"/>
      <c r="BC241" s="9"/>
      <c r="BE241" s="9"/>
      <c r="BF241" s="9"/>
      <c r="BG241" s="9"/>
    </row>
    <row r="242" spans="18:59">
      <c r="R242" s="9"/>
      <c r="S242" s="9"/>
      <c r="W242" s="9"/>
      <c r="X242" s="9"/>
      <c r="AE242" s="9"/>
      <c r="AF242" s="9"/>
      <c r="AU242" s="9"/>
      <c r="AV242" s="9"/>
      <c r="AW242" s="9"/>
      <c r="AX242" s="9"/>
      <c r="AY242" s="9"/>
      <c r="AZ242" s="9"/>
      <c r="BA242" s="9"/>
      <c r="BC242" s="9"/>
      <c r="BE242" s="9"/>
      <c r="BF242" s="9"/>
      <c r="BG242" s="9"/>
    </row>
    <row r="243" spans="18:59">
      <c r="R243" s="9"/>
      <c r="S243" s="9"/>
      <c r="W243" s="9"/>
      <c r="X243" s="9"/>
      <c r="AE243" s="9"/>
      <c r="AF243" s="9"/>
      <c r="AU243" s="9"/>
      <c r="AV243" s="9"/>
      <c r="AW243" s="9"/>
      <c r="AX243" s="9"/>
      <c r="AY243" s="9"/>
      <c r="AZ243" s="9"/>
      <c r="BA243" s="9"/>
      <c r="BC243" s="9"/>
      <c r="BE243" s="9"/>
      <c r="BF243" s="9"/>
      <c r="BG243" s="9"/>
    </row>
    <row r="244" spans="18:59">
      <c r="R244" s="9"/>
      <c r="S244" s="9"/>
      <c r="W244" s="9"/>
      <c r="X244" s="9"/>
      <c r="AE244" s="9"/>
      <c r="AF244" s="9"/>
      <c r="AU244" s="9"/>
      <c r="AV244" s="9"/>
      <c r="AW244" s="9"/>
      <c r="AX244" s="9"/>
      <c r="AY244" s="9"/>
      <c r="AZ244" s="9"/>
      <c r="BA244" s="9"/>
      <c r="BC244" s="9"/>
      <c r="BE244" s="9"/>
      <c r="BF244" s="9"/>
      <c r="BG244" s="9"/>
    </row>
    <row r="245" spans="18:59">
      <c r="R245" s="9"/>
      <c r="S245" s="9"/>
      <c r="W245" s="9"/>
      <c r="X245" s="9"/>
      <c r="AE245" s="9"/>
      <c r="AF245" s="9"/>
      <c r="AU245" s="9"/>
      <c r="AV245" s="9"/>
      <c r="AW245" s="9"/>
      <c r="AX245" s="9"/>
      <c r="AY245" s="9"/>
      <c r="AZ245" s="9"/>
      <c r="BA245" s="9"/>
      <c r="BC245" s="9"/>
      <c r="BE245" s="9"/>
      <c r="BF245" s="9"/>
      <c r="BG245" s="9"/>
    </row>
    <row r="246" spans="18:59">
      <c r="R246" s="9"/>
      <c r="S246" s="9"/>
      <c r="W246" s="9"/>
      <c r="X246" s="9"/>
      <c r="AE246" s="9"/>
      <c r="AF246" s="9"/>
      <c r="AU246" s="9"/>
      <c r="AV246" s="9"/>
      <c r="AW246" s="9"/>
      <c r="AX246" s="9"/>
      <c r="AY246" s="9"/>
      <c r="AZ246" s="9"/>
      <c r="BA246" s="9"/>
      <c r="BC246" s="9"/>
      <c r="BE246" s="9"/>
      <c r="BF246" s="9"/>
      <c r="BG246" s="9"/>
    </row>
    <row r="247" spans="18:59">
      <c r="R247" s="9"/>
      <c r="S247" s="9"/>
      <c r="W247" s="9"/>
      <c r="X247" s="9"/>
      <c r="AE247" s="9"/>
      <c r="AF247" s="9"/>
      <c r="AU247" s="9"/>
      <c r="AV247" s="9"/>
      <c r="AW247" s="9"/>
      <c r="AX247" s="9"/>
      <c r="AY247" s="9"/>
      <c r="AZ247" s="9"/>
      <c r="BA247" s="9"/>
      <c r="BC247" s="9"/>
      <c r="BE247" s="9"/>
      <c r="BF247" s="9"/>
      <c r="BG247" s="9"/>
    </row>
    <row r="248" spans="18:59">
      <c r="R248" s="9"/>
      <c r="S248" s="9"/>
      <c r="W248" s="9"/>
      <c r="X248" s="9"/>
      <c r="AE248" s="9"/>
      <c r="AF248" s="9"/>
      <c r="AU248" s="9"/>
      <c r="AV248" s="9"/>
      <c r="AW248" s="9"/>
      <c r="AX248" s="9"/>
      <c r="AY248" s="9"/>
      <c r="AZ248" s="9"/>
      <c r="BA248" s="9"/>
      <c r="BC248" s="9"/>
      <c r="BE248" s="9"/>
      <c r="BF248" s="9"/>
      <c r="BG248" s="9"/>
    </row>
    <row r="249" spans="18:59">
      <c r="R249" s="9"/>
      <c r="S249" s="9"/>
      <c r="W249" s="9"/>
      <c r="X249" s="9"/>
      <c r="AE249" s="9"/>
      <c r="AF249" s="9"/>
      <c r="AU249" s="9"/>
      <c r="AV249" s="9"/>
      <c r="AW249" s="9"/>
      <c r="AX249" s="9"/>
      <c r="AY249" s="9"/>
      <c r="AZ249" s="9"/>
      <c r="BA249" s="9"/>
      <c r="BC249" s="9"/>
      <c r="BE249" s="9"/>
      <c r="BF249" s="9"/>
      <c r="BG249" s="9"/>
    </row>
    <row r="250" spans="18:59">
      <c r="R250" s="9"/>
      <c r="S250" s="9"/>
      <c r="W250" s="9"/>
      <c r="X250" s="9"/>
      <c r="AE250" s="9"/>
      <c r="AF250" s="9"/>
      <c r="AU250" s="9"/>
      <c r="AV250" s="9"/>
      <c r="AW250" s="9"/>
      <c r="AX250" s="9"/>
      <c r="AY250" s="9"/>
      <c r="AZ250" s="9"/>
      <c r="BA250" s="9"/>
      <c r="BC250" s="9"/>
      <c r="BE250" s="9"/>
      <c r="BF250" s="9"/>
      <c r="BG250" s="9"/>
    </row>
    <row r="251" spans="18:59">
      <c r="R251" s="9"/>
      <c r="S251" s="9"/>
      <c r="W251" s="9"/>
      <c r="X251" s="9"/>
      <c r="AE251" s="9"/>
      <c r="AF251" s="9"/>
      <c r="AU251" s="9"/>
      <c r="AV251" s="9"/>
      <c r="AW251" s="9"/>
      <c r="AX251" s="9"/>
      <c r="AY251" s="9"/>
      <c r="AZ251" s="9"/>
      <c r="BA251" s="9"/>
      <c r="BC251" s="9"/>
      <c r="BE251" s="9"/>
      <c r="BF251" s="9"/>
      <c r="BG251" s="9"/>
    </row>
    <row r="252" spans="18:59">
      <c r="R252" s="9"/>
      <c r="S252" s="9"/>
      <c r="W252" s="9"/>
      <c r="X252" s="9"/>
      <c r="AE252" s="9"/>
      <c r="AF252" s="9"/>
      <c r="AU252" s="9"/>
      <c r="AV252" s="9"/>
      <c r="AW252" s="9"/>
      <c r="AX252" s="9"/>
      <c r="AY252" s="9"/>
      <c r="AZ252" s="9"/>
      <c r="BA252" s="9"/>
      <c r="BC252" s="9"/>
      <c r="BE252" s="9"/>
      <c r="BF252" s="9"/>
      <c r="BG252" s="9"/>
    </row>
    <row r="253" spans="18:59">
      <c r="R253" s="9"/>
      <c r="S253" s="9"/>
      <c r="W253" s="9"/>
      <c r="X253" s="9"/>
      <c r="AE253" s="9"/>
      <c r="AF253" s="9"/>
      <c r="AU253" s="9"/>
      <c r="AV253" s="9"/>
      <c r="AW253" s="9"/>
      <c r="AX253" s="9"/>
      <c r="AY253" s="9"/>
      <c r="AZ253" s="9"/>
      <c r="BA253" s="9"/>
      <c r="BC253" s="9"/>
      <c r="BE253" s="9"/>
      <c r="BF253" s="9"/>
      <c r="BG253" s="9"/>
    </row>
    <row r="254" spans="18:59">
      <c r="R254" s="9"/>
      <c r="S254" s="9"/>
      <c r="W254" s="9"/>
      <c r="X254" s="9"/>
      <c r="AE254" s="9"/>
      <c r="AF254" s="9"/>
      <c r="AU254" s="9"/>
      <c r="AV254" s="9"/>
      <c r="AW254" s="9"/>
      <c r="AX254" s="9"/>
      <c r="AY254" s="9"/>
      <c r="AZ254" s="9"/>
      <c r="BA254" s="9"/>
      <c r="BC254" s="9"/>
      <c r="BE254" s="9"/>
      <c r="BF254" s="9"/>
      <c r="BG254" s="9"/>
    </row>
    <row r="255" spans="18:59">
      <c r="R255" s="9"/>
      <c r="S255" s="9"/>
      <c r="W255" s="9"/>
      <c r="X255" s="9"/>
      <c r="AE255" s="9"/>
      <c r="AF255" s="9"/>
      <c r="AU255" s="9"/>
      <c r="AV255" s="9"/>
      <c r="AW255" s="9"/>
      <c r="AX255" s="9"/>
      <c r="AY255" s="9"/>
      <c r="AZ255" s="9"/>
      <c r="BA255" s="9"/>
      <c r="BC255" s="9"/>
      <c r="BE255" s="9"/>
      <c r="BF255" s="9"/>
      <c r="BG255" s="9"/>
    </row>
    <row r="256" spans="18:59">
      <c r="R256" s="9"/>
      <c r="S256" s="9"/>
      <c r="W256" s="9"/>
      <c r="X256" s="9"/>
      <c r="AE256" s="9"/>
      <c r="AF256" s="9"/>
      <c r="AU256" s="9"/>
      <c r="AV256" s="9"/>
      <c r="AW256" s="9"/>
      <c r="AX256" s="9"/>
      <c r="AY256" s="9"/>
      <c r="AZ256" s="9"/>
      <c r="BA256" s="9"/>
      <c r="BC256" s="9"/>
      <c r="BE256" s="9"/>
      <c r="BF256" s="9"/>
      <c r="BG256" s="9"/>
    </row>
    <row r="257" spans="18:59">
      <c r="R257" s="9"/>
      <c r="S257" s="9"/>
      <c r="W257" s="9"/>
      <c r="X257" s="9"/>
      <c r="AE257" s="9"/>
      <c r="AF257" s="9"/>
      <c r="AU257" s="9"/>
      <c r="AV257" s="9"/>
      <c r="AW257" s="9"/>
      <c r="AX257" s="9"/>
      <c r="AY257" s="9"/>
      <c r="AZ257" s="9"/>
      <c r="BA257" s="9"/>
      <c r="BC257" s="9"/>
      <c r="BE257" s="9"/>
      <c r="BF257" s="9"/>
      <c r="BG257" s="9"/>
    </row>
    <row r="258" spans="18:59">
      <c r="R258" s="9"/>
      <c r="S258" s="9"/>
      <c r="W258" s="9"/>
      <c r="X258" s="9"/>
      <c r="AE258" s="9"/>
      <c r="AF258" s="9"/>
      <c r="AU258" s="9"/>
      <c r="AV258" s="9"/>
      <c r="AW258" s="9"/>
      <c r="AX258" s="9"/>
      <c r="AY258" s="9"/>
      <c r="AZ258" s="9"/>
      <c r="BA258" s="9"/>
      <c r="BC258" s="9"/>
      <c r="BE258" s="9"/>
      <c r="BF258" s="9"/>
      <c r="BG258" s="9"/>
    </row>
    <row r="259" spans="18:59">
      <c r="R259" s="9"/>
      <c r="S259" s="9"/>
      <c r="W259" s="9"/>
      <c r="X259" s="9"/>
      <c r="AE259" s="9"/>
      <c r="AF259" s="9"/>
      <c r="AU259" s="9"/>
      <c r="AV259" s="9"/>
      <c r="AW259" s="9"/>
      <c r="AX259" s="9"/>
      <c r="AY259" s="9"/>
      <c r="AZ259" s="9"/>
      <c r="BA259" s="9"/>
      <c r="BC259" s="9"/>
      <c r="BE259" s="9"/>
      <c r="BF259" s="9"/>
      <c r="BG259" s="9"/>
    </row>
    <row r="260" spans="18:59">
      <c r="R260" s="9"/>
      <c r="S260" s="9"/>
      <c r="W260" s="9"/>
      <c r="X260" s="9"/>
      <c r="AE260" s="9"/>
      <c r="AF260" s="9"/>
      <c r="AU260" s="9"/>
      <c r="AV260" s="9"/>
      <c r="AW260" s="9"/>
      <c r="AX260" s="9"/>
      <c r="AY260" s="9"/>
      <c r="AZ260" s="9"/>
      <c r="BA260" s="9"/>
      <c r="BC260" s="9"/>
      <c r="BE260" s="9"/>
      <c r="BF260" s="9"/>
      <c r="BG260" s="9"/>
    </row>
    <row r="261" spans="18:59">
      <c r="R261" s="9"/>
      <c r="S261" s="9"/>
      <c r="W261" s="9"/>
      <c r="X261" s="9"/>
      <c r="AE261" s="9"/>
      <c r="AF261" s="9"/>
      <c r="AU261" s="9"/>
      <c r="AV261" s="9"/>
      <c r="AW261" s="9"/>
      <c r="AX261" s="9"/>
      <c r="AY261" s="9"/>
      <c r="AZ261" s="9"/>
      <c r="BA261" s="9"/>
      <c r="BC261" s="9"/>
      <c r="BE261" s="9"/>
      <c r="BF261" s="9"/>
      <c r="BG261" s="9"/>
    </row>
    <row r="262" spans="18:59">
      <c r="R262" s="9"/>
      <c r="S262" s="9"/>
      <c r="W262" s="9"/>
      <c r="X262" s="9"/>
      <c r="AE262" s="9"/>
      <c r="AF262" s="9"/>
      <c r="AU262" s="9"/>
      <c r="AV262" s="9"/>
      <c r="AW262" s="9"/>
      <c r="AX262" s="9"/>
      <c r="AY262" s="9"/>
      <c r="AZ262" s="9"/>
      <c r="BA262" s="9"/>
      <c r="BC262" s="9"/>
      <c r="BE262" s="9"/>
      <c r="BF262" s="9"/>
      <c r="BG262" s="9"/>
    </row>
    <row r="263" spans="18:59">
      <c r="R263" s="9"/>
      <c r="S263" s="9"/>
      <c r="W263" s="9"/>
      <c r="X263" s="9"/>
      <c r="AE263" s="9"/>
      <c r="AF263" s="9"/>
      <c r="AU263" s="9"/>
      <c r="AV263" s="9"/>
      <c r="AW263" s="9"/>
      <c r="AX263" s="9"/>
      <c r="AY263" s="9"/>
      <c r="AZ263" s="9"/>
      <c r="BA263" s="9"/>
      <c r="BC263" s="9"/>
      <c r="BE263" s="9"/>
      <c r="BF263" s="9"/>
      <c r="BG263" s="9"/>
    </row>
    <row r="264" spans="18:59">
      <c r="R264" s="9"/>
      <c r="S264" s="9"/>
      <c r="W264" s="9"/>
      <c r="X264" s="9"/>
      <c r="AE264" s="9"/>
      <c r="AF264" s="9"/>
      <c r="AU264" s="9"/>
      <c r="AV264" s="9"/>
      <c r="AW264" s="9"/>
      <c r="AX264" s="9"/>
      <c r="AY264" s="9"/>
      <c r="AZ264" s="9"/>
      <c r="BA264" s="9"/>
      <c r="BC264" s="9"/>
      <c r="BE264" s="9"/>
      <c r="BF264" s="9"/>
      <c r="BG264" s="9"/>
    </row>
    <row r="265" spans="18:59">
      <c r="R265" s="9"/>
      <c r="S265" s="9"/>
      <c r="W265" s="9"/>
      <c r="X265" s="9"/>
      <c r="AE265" s="9"/>
      <c r="AF265" s="9"/>
      <c r="AU265" s="9"/>
      <c r="AV265" s="9"/>
      <c r="AW265" s="9"/>
      <c r="AX265" s="9"/>
      <c r="AY265" s="9"/>
      <c r="AZ265" s="9"/>
      <c r="BA265" s="9"/>
      <c r="BC265" s="9"/>
      <c r="BE265" s="9"/>
      <c r="BF265" s="9"/>
      <c r="BG265" s="9"/>
    </row>
    <row r="266" spans="18:59">
      <c r="R266" s="9"/>
      <c r="S266" s="9"/>
      <c r="W266" s="9"/>
      <c r="X266" s="9"/>
      <c r="AE266" s="9"/>
      <c r="AF266" s="9"/>
      <c r="AU266" s="9"/>
      <c r="AV266" s="9"/>
      <c r="AW266" s="9"/>
      <c r="AX266" s="9"/>
      <c r="AY266" s="9"/>
      <c r="AZ266" s="9"/>
      <c r="BA266" s="9"/>
      <c r="BC266" s="9"/>
      <c r="BE266" s="9"/>
      <c r="BF266" s="9"/>
      <c r="BG266" s="9"/>
    </row>
    <row r="267" spans="18:59">
      <c r="R267" s="9"/>
      <c r="S267" s="9"/>
      <c r="W267" s="9"/>
      <c r="X267" s="9"/>
      <c r="AE267" s="9"/>
      <c r="AF267" s="9"/>
      <c r="AU267" s="9"/>
      <c r="AV267" s="9"/>
      <c r="AW267" s="9"/>
      <c r="AX267" s="9"/>
      <c r="AY267" s="9"/>
      <c r="AZ267" s="9"/>
      <c r="BA267" s="9"/>
      <c r="BC267" s="9"/>
      <c r="BE267" s="9"/>
      <c r="BF267" s="9"/>
      <c r="BG267" s="9"/>
    </row>
    <row r="268" spans="18:59">
      <c r="R268" s="9"/>
      <c r="S268" s="9"/>
      <c r="W268" s="9"/>
      <c r="X268" s="9"/>
      <c r="AE268" s="9"/>
      <c r="AF268" s="9"/>
      <c r="AU268" s="9"/>
      <c r="AV268" s="9"/>
      <c r="AW268" s="9"/>
      <c r="AX268" s="9"/>
      <c r="AY268" s="9"/>
      <c r="AZ268" s="9"/>
      <c r="BA268" s="9"/>
      <c r="BC268" s="9"/>
      <c r="BE268" s="9"/>
      <c r="BF268" s="9"/>
      <c r="BG268" s="9"/>
    </row>
    <row r="269" spans="18:59">
      <c r="R269" s="9"/>
      <c r="S269" s="9"/>
      <c r="W269" s="9"/>
      <c r="X269" s="9"/>
      <c r="AE269" s="9"/>
      <c r="AF269" s="9"/>
      <c r="AU269" s="9"/>
      <c r="AV269" s="9"/>
      <c r="AW269" s="9"/>
      <c r="AX269" s="9"/>
      <c r="AY269" s="9"/>
      <c r="AZ269" s="9"/>
      <c r="BA269" s="9"/>
      <c r="BC269" s="9"/>
      <c r="BE269" s="9"/>
      <c r="BF269" s="9"/>
      <c r="BG269" s="9"/>
    </row>
    <row r="270" spans="18:59">
      <c r="R270" s="9"/>
      <c r="S270" s="9"/>
      <c r="W270" s="9"/>
      <c r="X270" s="9"/>
      <c r="AE270" s="9"/>
      <c r="AF270" s="9"/>
      <c r="AU270" s="9"/>
      <c r="AV270" s="9"/>
      <c r="AW270" s="9"/>
      <c r="AX270" s="9"/>
      <c r="AY270" s="9"/>
      <c r="AZ270" s="9"/>
      <c r="BA270" s="9"/>
      <c r="BC270" s="9"/>
      <c r="BE270" s="9"/>
      <c r="BF270" s="9"/>
      <c r="BG270" s="9"/>
    </row>
    <row r="271" spans="18:59">
      <c r="R271" s="9"/>
      <c r="S271" s="9"/>
      <c r="W271" s="9"/>
      <c r="X271" s="9"/>
      <c r="AE271" s="9"/>
      <c r="AF271" s="9"/>
      <c r="AU271" s="9"/>
      <c r="AV271" s="9"/>
      <c r="AW271" s="9"/>
      <c r="AX271" s="9"/>
      <c r="AY271" s="9"/>
      <c r="AZ271" s="9"/>
      <c r="BA271" s="9"/>
      <c r="BC271" s="9"/>
      <c r="BE271" s="9"/>
      <c r="BF271" s="9"/>
      <c r="BG271" s="9"/>
    </row>
    <row r="272" spans="18:59">
      <c r="R272" s="9"/>
      <c r="S272" s="9"/>
      <c r="W272" s="9"/>
      <c r="X272" s="9"/>
      <c r="AE272" s="9"/>
      <c r="AF272" s="9"/>
      <c r="AU272" s="9"/>
      <c r="AV272" s="9"/>
      <c r="AW272" s="9"/>
      <c r="AX272" s="9"/>
      <c r="AY272" s="9"/>
      <c r="AZ272" s="9"/>
      <c r="BA272" s="9"/>
      <c r="BC272" s="9"/>
      <c r="BE272" s="9"/>
      <c r="BF272" s="9"/>
      <c r="BG272" s="9"/>
    </row>
    <row r="273" spans="18:59">
      <c r="R273" s="9"/>
      <c r="S273" s="9"/>
      <c r="W273" s="9"/>
      <c r="X273" s="9"/>
      <c r="AE273" s="9"/>
      <c r="AF273" s="9"/>
      <c r="AU273" s="9"/>
      <c r="AV273" s="9"/>
      <c r="AW273" s="9"/>
      <c r="AX273" s="9"/>
      <c r="AY273" s="9"/>
      <c r="AZ273" s="9"/>
      <c r="BA273" s="9"/>
      <c r="BC273" s="9"/>
      <c r="BE273" s="9"/>
      <c r="BF273" s="9"/>
      <c r="BG273" s="9"/>
    </row>
    <row r="274" spans="18:59">
      <c r="R274" s="9"/>
      <c r="S274" s="9"/>
      <c r="W274" s="9"/>
      <c r="X274" s="9"/>
      <c r="AE274" s="9"/>
      <c r="AF274" s="9"/>
      <c r="AU274" s="9"/>
      <c r="AV274" s="9"/>
      <c r="AW274" s="9"/>
      <c r="AX274" s="9"/>
      <c r="AY274" s="9"/>
      <c r="AZ274" s="9"/>
      <c r="BA274" s="9"/>
      <c r="BC274" s="9"/>
      <c r="BE274" s="9"/>
      <c r="BF274" s="9"/>
      <c r="BG274" s="9"/>
    </row>
    <row r="275" spans="18:59">
      <c r="R275" s="9"/>
      <c r="S275" s="9"/>
      <c r="W275" s="9"/>
      <c r="X275" s="9"/>
      <c r="AE275" s="9"/>
      <c r="AF275" s="9"/>
      <c r="AU275" s="9"/>
      <c r="AV275" s="9"/>
      <c r="AW275" s="9"/>
      <c r="AX275" s="9"/>
      <c r="AY275" s="9"/>
      <c r="AZ275" s="9"/>
      <c r="BA275" s="9"/>
      <c r="BC275" s="9"/>
      <c r="BE275" s="9"/>
      <c r="BF275" s="9"/>
      <c r="BG275" s="9"/>
    </row>
    <row r="276" spans="18:59">
      <c r="R276" s="9"/>
      <c r="S276" s="9"/>
      <c r="W276" s="9"/>
      <c r="X276" s="9"/>
      <c r="AE276" s="9"/>
      <c r="AF276" s="9"/>
      <c r="AU276" s="9"/>
      <c r="AV276" s="9"/>
      <c r="AW276" s="9"/>
      <c r="AX276" s="9"/>
      <c r="AY276" s="9"/>
      <c r="AZ276" s="9"/>
      <c r="BA276" s="9"/>
      <c r="BC276" s="9"/>
      <c r="BE276" s="9"/>
      <c r="BF276" s="9"/>
      <c r="BG276" s="9"/>
    </row>
    <row r="277" spans="18:59">
      <c r="R277" s="9"/>
      <c r="S277" s="9"/>
      <c r="W277" s="9"/>
      <c r="X277" s="9"/>
      <c r="AE277" s="9"/>
      <c r="AF277" s="9"/>
      <c r="AU277" s="9"/>
      <c r="AV277" s="9"/>
      <c r="AW277" s="9"/>
      <c r="AX277" s="9"/>
      <c r="AY277" s="9"/>
      <c r="AZ277" s="9"/>
      <c r="BA277" s="9"/>
      <c r="BC277" s="9"/>
      <c r="BE277" s="9"/>
      <c r="BF277" s="9"/>
      <c r="BG277" s="9"/>
    </row>
    <row r="278" spans="18:59">
      <c r="R278" s="9"/>
      <c r="S278" s="9"/>
      <c r="W278" s="9"/>
      <c r="X278" s="9"/>
      <c r="AE278" s="9"/>
      <c r="AF278" s="9"/>
      <c r="AU278" s="9"/>
      <c r="AV278" s="9"/>
      <c r="AW278" s="9"/>
      <c r="AX278" s="9"/>
      <c r="AY278" s="9"/>
      <c r="AZ278" s="9"/>
      <c r="BA278" s="9"/>
      <c r="BC278" s="9"/>
      <c r="BE278" s="9"/>
      <c r="BF278" s="9"/>
      <c r="BG278" s="9"/>
    </row>
    <row r="279" spans="18:59">
      <c r="R279" s="9"/>
      <c r="S279" s="9"/>
      <c r="W279" s="9"/>
      <c r="X279" s="9"/>
      <c r="AE279" s="9"/>
      <c r="AF279" s="9"/>
      <c r="AU279" s="9"/>
      <c r="AV279" s="9"/>
      <c r="AW279" s="9"/>
      <c r="AX279" s="9"/>
      <c r="AY279" s="9"/>
      <c r="AZ279" s="9"/>
      <c r="BA279" s="9"/>
      <c r="BC279" s="9"/>
      <c r="BE279" s="9"/>
      <c r="BF279" s="9"/>
      <c r="BG279" s="9"/>
    </row>
    <row r="280" spans="18:59">
      <c r="R280" s="9"/>
      <c r="S280" s="9"/>
      <c r="W280" s="9"/>
      <c r="X280" s="9"/>
      <c r="AE280" s="9"/>
      <c r="AF280" s="9"/>
      <c r="AU280" s="9"/>
      <c r="AV280" s="9"/>
      <c r="AW280" s="9"/>
      <c r="AX280" s="9"/>
      <c r="AY280" s="9"/>
      <c r="AZ280" s="9"/>
      <c r="BA280" s="9"/>
      <c r="BC280" s="9"/>
      <c r="BE280" s="9"/>
      <c r="BF280" s="9"/>
      <c r="BG280" s="9"/>
    </row>
    <row r="281" spans="18:59">
      <c r="R281" s="9"/>
      <c r="S281" s="9"/>
      <c r="W281" s="9"/>
      <c r="X281" s="9"/>
      <c r="AE281" s="9"/>
      <c r="AF281" s="9"/>
      <c r="AU281" s="9"/>
      <c r="AV281" s="9"/>
      <c r="AW281" s="9"/>
      <c r="AX281" s="9"/>
      <c r="AY281" s="9"/>
      <c r="AZ281" s="9"/>
      <c r="BA281" s="9"/>
      <c r="BC281" s="9"/>
      <c r="BE281" s="9"/>
      <c r="BF281" s="9"/>
      <c r="BG281" s="9"/>
    </row>
    <row r="282" spans="18:59">
      <c r="R282" s="9"/>
      <c r="S282" s="9"/>
      <c r="W282" s="9"/>
      <c r="X282" s="9"/>
      <c r="AE282" s="9"/>
      <c r="AF282" s="9"/>
      <c r="AU282" s="9"/>
      <c r="AV282" s="9"/>
      <c r="AW282" s="9"/>
      <c r="AX282" s="9"/>
      <c r="AY282" s="9"/>
      <c r="AZ282" s="9"/>
      <c r="BA282" s="9"/>
      <c r="BC282" s="9"/>
      <c r="BE282" s="9"/>
      <c r="BF282" s="9"/>
      <c r="BG282" s="9"/>
    </row>
    <row r="283" spans="18:59">
      <c r="R283" s="9"/>
      <c r="S283" s="9"/>
      <c r="W283" s="9"/>
      <c r="X283" s="9"/>
      <c r="AE283" s="9"/>
      <c r="AF283" s="9"/>
      <c r="AU283" s="9"/>
      <c r="AV283" s="9"/>
      <c r="AW283" s="9"/>
      <c r="AX283" s="9"/>
      <c r="AY283" s="9"/>
      <c r="AZ283" s="9"/>
      <c r="BA283" s="9"/>
      <c r="BC283" s="9"/>
      <c r="BE283" s="9"/>
      <c r="BF283" s="9"/>
      <c r="BG283" s="9"/>
    </row>
    <row r="284" spans="18:59">
      <c r="R284" s="9"/>
      <c r="S284" s="9"/>
      <c r="W284" s="9"/>
      <c r="X284" s="9"/>
      <c r="AE284" s="9"/>
      <c r="AF284" s="9"/>
      <c r="AU284" s="9"/>
      <c r="AV284" s="9"/>
      <c r="AW284" s="9"/>
      <c r="AX284" s="9"/>
      <c r="AY284" s="9"/>
      <c r="AZ284" s="9"/>
      <c r="BA284" s="9"/>
      <c r="BC284" s="9"/>
      <c r="BE284" s="9"/>
      <c r="BF284" s="9"/>
      <c r="BG284" s="9"/>
    </row>
    <row r="285" spans="18:59">
      <c r="R285" s="9"/>
      <c r="S285" s="9"/>
      <c r="W285" s="9"/>
      <c r="X285" s="9"/>
      <c r="AE285" s="9"/>
      <c r="AF285" s="9"/>
      <c r="AU285" s="9"/>
      <c r="AV285" s="9"/>
      <c r="AW285" s="9"/>
      <c r="AX285" s="9"/>
      <c r="AY285" s="9"/>
      <c r="AZ285" s="9"/>
      <c r="BA285" s="9"/>
      <c r="BC285" s="9"/>
      <c r="BE285" s="9"/>
      <c r="BF285" s="9"/>
      <c r="BG285" s="9"/>
    </row>
    <row r="286" spans="18:59">
      <c r="R286" s="9"/>
      <c r="S286" s="9"/>
      <c r="W286" s="9"/>
      <c r="X286" s="9"/>
      <c r="AE286" s="9"/>
      <c r="AF286" s="9"/>
      <c r="AU286" s="9"/>
      <c r="AV286" s="9"/>
      <c r="AW286" s="9"/>
      <c r="AX286" s="9"/>
      <c r="AY286" s="9"/>
      <c r="AZ286" s="9"/>
      <c r="BA286" s="9"/>
      <c r="BC286" s="9"/>
      <c r="BE286" s="9"/>
      <c r="BF286" s="9"/>
      <c r="BG286" s="9"/>
    </row>
    <row r="287" spans="18:59">
      <c r="R287" s="9"/>
      <c r="S287" s="9"/>
      <c r="W287" s="9"/>
      <c r="X287" s="9"/>
      <c r="AE287" s="9"/>
      <c r="AF287" s="9"/>
      <c r="AU287" s="9"/>
      <c r="AV287" s="9"/>
      <c r="AW287" s="9"/>
      <c r="AX287" s="9"/>
      <c r="AY287" s="9"/>
      <c r="AZ287" s="9"/>
      <c r="BA287" s="9"/>
      <c r="BC287" s="9"/>
      <c r="BE287" s="9"/>
      <c r="BF287" s="9"/>
      <c r="BG287" s="9"/>
    </row>
    <row r="288" spans="18:59">
      <c r="R288" s="9"/>
      <c r="S288" s="9"/>
      <c r="W288" s="9"/>
      <c r="X288" s="9"/>
      <c r="AE288" s="9"/>
      <c r="AF288" s="9"/>
      <c r="AU288" s="9"/>
      <c r="AV288" s="9"/>
      <c r="AW288" s="9"/>
      <c r="AX288" s="9"/>
      <c r="AY288" s="9"/>
      <c r="AZ288" s="9"/>
      <c r="BA288" s="9"/>
      <c r="BC288" s="9"/>
      <c r="BE288" s="9"/>
      <c r="BF288" s="9"/>
      <c r="BG288" s="9"/>
    </row>
    <row r="289" spans="18:59">
      <c r="R289" s="9"/>
      <c r="S289" s="9"/>
      <c r="W289" s="9"/>
      <c r="X289" s="9"/>
      <c r="AE289" s="9"/>
      <c r="AF289" s="9"/>
      <c r="AU289" s="9"/>
      <c r="AV289" s="9"/>
      <c r="AW289" s="9"/>
      <c r="AX289" s="9"/>
      <c r="AY289" s="9"/>
      <c r="AZ289" s="9"/>
      <c r="BA289" s="9"/>
      <c r="BC289" s="9"/>
      <c r="BE289" s="9"/>
      <c r="BF289" s="9"/>
      <c r="BG289" s="9"/>
    </row>
    <row r="290" spans="18:59">
      <c r="R290" s="9"/>
      <c r="S290" s="9"/>
      <c r="W290" s="9"/>
      <c r="X290" s="9"/>
      <c r="AE290" s="9"/>
      <c r="AF290" s="9"/>
      <c r="AU290" s="9"/>
      <c r="AV290" s="9"/>
      <c r="AW290" s="9"/>
      <c r="AX290" s="9"/>
      <c r="AY290" s="9"/>
      <c r="AZ290" s="9"/>
      <c r="BA290" s="9"/>
      <c r="BC290" s="9"/>
      <c r="BE290" s="9"/>
      <c r="BF290" s="9"/>
      <c r="BG290" s="9"/>
    </row>
    <row r="291" spans="18:59">
      <c r="R291" s="9"/>
      <c r="S291" s="9"/>
      <c r="W291" s="9"/>
      <c r="X291" s="9"/>
      <c r="AE291" s="9"/>
      <c r="AF291" s="9"/>
      <c r="AU291" s="9"/>
      <c r="AV291" s="9"/>
      <c r="AW291" s="9"/>
      <c r="AX291" s="9"/>
      <c r="AY291" s="9"/>
      <c r="AZ291" s="9"/>
      <c r="BA291" s="9"/>
      <c r="BC291" s="9"/>
      <c r="BE291" s="9"/>
      <c r="BF291" s="9"/>
      <c r="BG291" s="9"/>
    </row>
    <row r="292" spans="18:59">
      <c r="R292" s="9"/>
      <c r="S292" s="9"/>
      <c r="W292" s="9"/>
      <c r="X292" s="9"/>
      <c r="AE292" s="9"/>
      <c r="AF292" s="9"/>
      <c r="AU292" s="9"/>
      <c r="AV292" s="9"/>
      <c r="AW292" s="9"/>
      <c r="AX292" s="9"/>
      <c r="AY292" s="9"/>
      <c r="AZ292" s="9"/>
      <c r="BA292" s="9"/>
      <c r="BC292" s="9"/>
      <c r="BE292" s="9"/>
      <c r="BF292" s="9"/>
      <c r="BG292" s="9"/>
    </row>
    <row r="293" spans="18:59">
      <c r="R293" s="9"/>
      <c r="S293" s="9"/>
      <c r="W293" s="9"/>
      <c r="X293" s="9"/>
      <c r="AE293" s="9"/>
      <c r="AF293" s="9"/>
      <c r="AU293" s="9"/>
      <c r="AV293" s="9"/>
      <c r="AW293" s="9"/>
      <c r="AX293" s="9"/>
      <c r="AY293" s="9"/>
      <c r="AZ293" s="9"/>
      <c r="BA293" s="9"/>
      <c r="BC293" s="9"/>
      <c r="BE293" s="9"/>
      <c r="BF293" s="9"/>
      <c r="BG293" s="9"/>
    </row>
    <row r="294" spans="18:59">
      <c r="R294" s="9"/>
      <c r="S294" s="9"/>
      <c r="W294" s="9"/>
      <c r="X294" s="9"/>
      <c r="AE294" s="9"/>
      <c r="AF294" s="9"/>
      <c r="AU294" s="9"/>
      <c r="AV294" s="9"/>
      <c r="AW294" s="9"/>
      <c r="AX294" s="9"/>
      <c r="AY294" s="9"/>
      <c r="AZ294" s="9"/>
      <c r="BA294" s="9"/>
      <c r="BC294" s="9"/>
      <c r="BE294" s="9"/>
      <c r="BF294" s="9"/>
      <c r="BG294" s="9"/>
    </row>
    <row r="295" spans="18:59">
      <c r="R295" s="9"/>
      <c r="S295" s="9"/>
      <c r="W295" s="9"/>
      <c r="X295" s="9"/>
      <c r="AE295" s="9"/>
      <c r="AF295" s="9"/>
      <c r="AU295" s="9"/>
      <c r="AV295" s="9"/>
      <c r="AW295" s="9"/>
      <c r="AX295" s="9"/>
      <c r="AY295" s="9"/>
      <c r="AZ295" s="9"/>
      <c r="BA295" s="9"/>
      <c r="BC295" s="9"/>
      <c r="BE295" s="9"/>
      <c r="BF295" s="9"/>
      <c r="BG295" s="9"/>
    </row>
    <row r="296" spans="18:59">
      <c r="R296" s="9"/>
      <c r="S296" s="9"/>
      <c r="W296" s="9"/>
      <c r="X296" s="9"/>
      <c r="AE296" s="9"/>
      <c r="AF296" s="9"/>
      <c r="AU296" s="9"/>
      <c r="AV296" s="9"/>
      <c r="AW296" s="9"/>
      <c r="AX296" s="9"/>
      <c r="AY296" s="9"/>
      <c r="AZ296" s="9"/>
      <c r="BA296" s="9"/>
      <c r="BC296" s="9"/>
      <c r="BE296" s="9"/>
      <c r="BF296" s="9"/>
      <c r="BG296" s="9"/>
    </row>
    <row r="297" spans="18:59">
      <c r="R297" s="9"/>
      <c r="S297" s="9"/>
      <c r="W297" s="9"/>
      <c r="X297" s="9"/>
      <c r="AE297" s="9"/>
      <c r="AF297" s="9"/>
      <c r="AU297" s="9"/>
      <c r="AV297" s="9"/>
      <c r="AW297" s="9"/>
      <c r="AX297" s="9"/>
      <c r="AY297" s="9"/>
      <c r="AZ297" s="9"/>
      <c r="BA297" s="9"/>
      <c r="BC297" s="9"/>
      <c r="BE297" s="9"/>
      <c r="BF297" s="9"/>
      <c r="BG297" s="9"/>
    </row>
    <row r="298" spans="18:59">
      <c r="R298" s="9"/>
      <c r="S298" s="9"/>
      <c r="W298" s="9"/>
      <c r="X298" s="9"/>
      <c r="AE298" s="9"/>
      <c r="AF298" s="9"/>
      <c r="AU298" s="9"/>
      <c r="AV298" s="9"/>
      <c r="AW298" s="9"/>
      <c r="AX298" s="9"/>
      <c r="AY298" s="9"/>
      <c r="AZ298" s="9"/>
      <c r="BA298" s="9"/>
      <c r="BC298" s="9"/>
      <c r="BE298" s="9"/>
      <c r="BF298" s="9"/>
      <c r="BG298" s="9"/>
    </row>
    <row r="299" spans="18:59">
      <c r="R299" s="9"/>
      <c r="S299" s="9"/>
      <c r="W299" s="9"/>
      <c r="X299" s="9"/>
      <c r="AE299" s="9"/>
      <c r="AF299" s="9"/>
      <c r="AU299" s="9"/>
      <c r="AV299" s="9"/>
      <c r="AW299" s="9"/>
      <c r="AX299" s="9"/>
      <c r="AY299" s="9"/>
      <c r="AZ299" s="9"/>
      <c r="BA299" s="9"/>
      <c r="BC299" s="9"/>
      <c r="BE299" s="9"/>
      <c r="BF299" s="9"/>
      <c r="BG299" s="9"/>
    </row>
    <row r="300" spans="18:59">
      <c r="R300" s="9"/>
      <c r="S300" s="9"/>
      <c r="W300" s="9"/>
      <c r="X300" s="9"/>
      <c r="AE300" s="9"/>
      <c r="AF300" s="9"/>
      <c r="AU300" s="9"/>
      <c r="AV300" s="9"/>
      <c r="AW300" s="9"/>
      <c r="AX300" s="9"/>
      <c r="AY300" s="9"/>
      <c r="AZ300" s="9"/>
      <c r="BA300" s="9"/>
      <c r="BC300" s="9"/>
      <c r="BE300" s="9"/>
      <c r="BF300" s="9"/>
      <c r="BG300" s="9"/>
    </row>
    <row r="301" spans="18:59">
      <c r="R301" s="9"/>
      <c r="S301" s="9"/>
      <c r="W301" s="9"/>
      <c r="X301" s="9"/>
      <c r="AE301" s="9"/>
      <c r="AF301" s="9"/>
      <c r="AU301" s="9"/>
      <c r="AV301" s="9"/>
      <c r="AW301" s="9"/>
      <c r="AX301" s="9"/>
      <c r="AY301" s="9"/>
      <c r="AZ301" s="9"/>
      <c r="BA301" s="9"/>
      <c r="BC301" s="9"/>
      <c r="BE301" s="9"/>
      <c r="BF301" s="9"/>
      <c r="BG301" s="9"/>
    </row>
    <row r="302" spans="18:59">
      <c r="R302" s="9"/>
      <c r="S302" s="9"/>
      <c r="W302" s="9"/>
      <c r="X302" s="9"/>
      <c r="AE302" s="9"/>
      <c r="AF302" s="9"/>
      <c r="AU302" s="9"/>
      <c r="AV302" s="9"/>
      <c r="AW302" s="9"/>
      <c r="AX302" s="9"/>
      <c r="AY302" s="9"/>
      <c r="AZ302" s="9"/>
      <c r="BA302" s="9"/>
      <c r="BC302" s="9"/>
      <c r="BE302" s="9"/>
      <c r="BF302" s="9"/>
      <c r="BG302" s="9"/>
    </row>
    <row r="303" spans="18:59">
      <c r="R303" s="9"/>
      <c r="S303" s="9"/>
      <c r="W303" s="9"/>
      <c r="X303" s="9"/>
      <c r="AE303" s="9"/>
      <c r="AF303" s="9"/>
      <c r="AU303" s="9"/>
      <c r="AV303" s="9"/>
      <c r="AW303" s="9"/>
      <c r="AX303" s="9"/>
      <c r="AY303" s="9"/>
      <c r="AZ303" s="9"/>
      <c r="BA303" s="9"/>
      <c r="BC303" s="9"/>
      <c r="BE303" s="9"/>
      <c r="BF303" s="9"/>
      <c r="BG303" s="9"/>
    </row>
    <row r="304" spans="18:59">
      <c r="R304" s="9"/>
      <c r="S304" s="9"/>
      <c r="W304" s="9"/>
      <c r="X304" s="9"/>
      <c r="AE304" s="9"/>
      <c r="AF304" s="9"/>
      <c r="AU304" s="9"/>
      <c r="AV304" s="9"/>
      <c r="AW304" s="9"/>
      <c r="AX304" s="9"/>
      <c r="AY304" s="9"/>
      <c r="AZ304" s="9"/>
      <c r="BA304" s="9"/>
      <c r="BC304" s="9"/>
      <c r="BE304" s="9"/>
      <c r="BF304" s="9"/>
      <c r="BG304" s="9"/>
    </row>
    <row r="305" spans="18:59">
      <c r="R305" s="9"/>
      <c r="S305" s="9"/>
      <c r="W305" s="9"/>
      <c r="X305" s="9"/>
      <c r="AE305" s="9"/>
      <c r="AF305" s="9"/>
      <c r="AU305" s="9"/>
      <c r="AV305" s="9"/>
      <c r="AW305" s="9"/>
      <c r="AX305" s="9"/>
      <c r="AY305" s="9"/>
      <c r="AZ305" s="9"/>
      <c r="BA305" s="9"/>
      <c r="BC305" s="9"/>
      <c r="BE305" s="9"/>
      <c r="BF305" s="9"/>
      <c r="BG305" s="9"/>
    </row>
    <row r="306" spans="18:59">
      <c r="R306" s="9"/>
      <c r="S306" s="9"/>
      <c r="W306" s="9"/>
      <c r="X306" s="9"/>
      <c r="AE306" s="9"/>
      <c r="AF306" s="9"/>
      <c r="AU306" s="9"/>
      <c r="AV306" s="9"/>
      <c r="AW306" s="9"/>
      <c r="AX306" s="9"/>
      <c r="AY306" s="9"/>
      <c r="AZ306" s="9"/>
      <c r="BA306" s="9"/>
      <c r="BC306" s="9"/>
      <c r="BE306" s="9"/>
      <c r="BF306" s="9"/>
      <c r="BG306" s="9"/>
    </row>
    <row r="307" spans="18:59">
      <c r="R307" s="9"/>
      <c r="S307" s="9"/>
      <c r="W307" s="9"/>
      <c r="X307" s="9"/>
      <c r="AE307" s="9"/>
      <c r="AF307" s="9"/>
      <c r="AU307" s="9"/>
      <c r="AV307" s="9"/>
      <c r="AW307" s="9"/>
      <c r="AX307" s="9"/>
      <c r="AY307" s="9"/>
      <c r="AZ307" s="9"/>
      <c r="BA307" s="9"/>
      <c r="BC307" s="9"/>
      <c r="BE307" s="9"/>
      <c r="BF307" s="9"/>
      <c r="BG307" s="9"/>
    </row>
    <row r="308" spans="18:59">
      <c r="R308" s="9"/>
      <c r="S308" s="9"/>
      <c r="W308" s="9"/>
      <c r="X308" s="9"/>
      <c r="AE308" s="9"/>
      <c r="AF308" s="9"/>
      <c r="AU308" s="9"/>
      <c r="AV308" s="9"/>
      <c r="AW308" s="9"/>
      <c r="AX308" s="9"/>
      <c r="AY308" s="9"/>
      <c r="AZ308" s="9"/>
      <c r="BA308" s="9"/>
      <c r="BC308" s="9"/>
      <c r="BE308" s="9"/>
      <c r="BF308" s="9"/>
      <c r="BG308" s="9"/>
    </row>
    <row r="309" spans="18:59">
      <c r="R309" s="9"/>
      <c r="S309" s="9"/>
      <c r="W309" s="9"/>
      <c r="X309" s="9"/>
      <c r="AE309" s="9"/>
      <c r="AF309" s="9"/>
      <c r="AU309" s="9"/>
      <c r="AV309" s="9"/>
      <c r="AW309" s="9"/>
      <c r="AX309" s="9"/>
      <c r="AY309" s="9"/>
      <c r="AZ309" s="9"/>
      <c r="BA309" s="9"/>
      <c r="BC309" s="9"/>
      <c r="BE309" s="9"/>
      <c r="BF309" s="9"/>
      <c r="BG309" s="9"/>
    </row>
    <row r="310" spans="18:59">
      <c r="R310" s="9"/>
      <c r="S310" s="9"/>
      <c r="W310" s="9"/>
      <c r="X310" s="9"/>
      <c r="AE310" s="9"/>
      <c r="AF310" s="9"/>
      <c r="AU310" s="9"/>
      <c r="AV310" s="9"/>
      <c r="AW310" s="9"/>
      <c r="AX310" s="9"/>
      <c r="AY310" s="9"/>
      <c r="AZ310" s="9"/>
      <c r="BA310" s="9"/>
      <c r="BC310" s="9"/>
      <c r="BE310" s="9"/>
      <c r="BF310" s="9"/>
      <c r="BG310" s="9"/>
    </row>
    <row r="311" spans="18:59">
      <c r="R311" s="9"/>
      <c r="S311" s="9"/>
      <c r="W311" s="9"/>
      <c r="X311" s="9"/>
      <c r="AE311" s="9"/>
      <c r="AF311" s="9"/>
      <c r="AU311" s="9"/>
      <c r="AV311" s="9"/>
      <c r="AW311" s="9"/>
      <c r="AX311" s="9"/>
      <c r="AY311" s="9"/>
      <c r="AZ311" s="9"/>
      <c r="BA311" s="9"/>
      <c r="BC311" s="9"/>
      <c r="BE311" s="9"/>
      <c r="BF311" s="9"/>
      <c r="BG311" s="9"/>
    </row>
    <row r="312" spans="18:59">
      <c r="R312" s="9"/>
      <c r="S312" s="9"/>
      <c r="W312" s="9"/>
      <c r="X312" s="9"/>
      <c r="AE312" s="9"/>
      <c r="AF312" s="9"/>
      <c r="AU312" s="9"/>
      <c r="AV312" s="9"/>
      <c r="AW312" s="9"/>
      <c r="AX312" s="9"/>
      <c r="AY312" s="9"/>
      <c r="AZ312" s="9"/>
      <c r="BA312" s="9"/>
      <c r="BC312" s="9"/>
      <c r="BE312" s="9"/>
      <c r="BF312" s="9"/>
      <c r="BG312" s="9"/>
    </row>
    <row r="313" spans="18:59">
      <c r="R313" s="9"/>
      <c r="S313" s="9"/>
      <c r="W313" s="9"/>
      <c r="X313" s="9"/>
      <c r="AE313" s="9"/>
      <c r="AF313" s="9"/>
      <c r="AU313" s="9"/>
      <c r="AV313" s="9"/>
      <c r="AW313" s="9"/>
      <c r="AX313" s="9"/>
      <c r="AY313" s="9"/>
      <c r="AZ313" s="9"/>
      <c r="BA313" s="9"/>
      <c r="BC313" s="9"/>
      <c r="BE313" s="9"/>
      <c r="BF313" s="9"/>
      <c r="BG313" s="9"/>
    </row>
    <row r="314" spans="18:59">
      <c r="R314" s="9"/>
      <c r="S314" s="9"/>
      <c r="W314" s="9"/>
      <c r="X314" s="9"/>
      <c r="AE314" s="9"/>
      <c r="AF314" s="9"/>
      <c r="AU314" s="9"/>
      <c r="AV314" s="9"/>
      <c r="AW314" s="9"/>
      <c r="AX314" s="9"/>
      <c r="AY314" s="9"/>
      <c r="AZ314" s="9"/>
      <c r="BA314" s="9"/>
      <c r="BC314" s="9"/>
      <c r="BE314" s="9"/>
      <c r="BF314" s="9"/>
      <c r="BG314" s="9"/>
    </row>
    <row r="315" spans="18:59">
      <c r="R315" s="9"/>
      <c r="S315" s="9"/>
      <c r="W315" s="9"/>
      <c r="X315" s="9"/>
      <c r="AE315" s="9"/>
      <c r="AF315" s="9"/>
      <c r="AU315" s="9"/>
      <c r="AV315" s="9"/>
      <c r="AW315" s="9"/>
      <c r="AX315" s="9"/>
      <c r="AY315" s="9"/>
      <c r="AZ315" s="9"/>
      <c r="BA315" s="9"/>
      <c r="BC315" s="9"/>
      <c r="BE315" s="9"/>
      <c r="BF315" s="9"/>
      <c r="BG315" s="9"/>
    </row>
    <row r="316" spans="18:59">
      <c r="R316" s="9"/>
      <c r="S316" s="9"/>
      <c r="W316" s="9"/>
      <c r="X316" s="9"/>
      <c r="AE316" s="9"/>
      <c r="AF316" s="9"/>
      <c r="AU316" s="9"/>
      <c r="AV316" s="9"/>
      <c r="AW316" s="9"/>
      <c r="AX316" s="9"/>
      <c r="AY316" s="9"/>
      <c r="AZ316" s="9"/>
      <c r="BA316" s="9"/>
      <c r="BC316" s="9"/>
      <c r="BE316" s="9"/>
      <c r="BF316" s="9"/>
      <c r="BG316" s="9"/>
    </row>
    <row r="317" spans="18:59">
      <c r="R317" s="9"/>
      <c r="S317" s="9"/>
      <c r="W317" s="9"/>
      <c r="X317" s="9"/>
      <c r="AE317" s="9"/>
      <c r="AF317" s="9"/>
      <c r="AU317" s="9"/>
      <c r="AV317" s="9"/>
      <c r="AW317" s="9"/>
      <c r="AX317" s="9"/>
      <c r="AY317" s="9"/>
      <c r="AZ317" s="9"/>
      <c r="BA317" s="9"/>
      <c r="BC317" s="9"/>
      <c r="BE317" s="9"/>
      <c r="BF317" s="9"/>
      <c r="BG317" s="9"/>
    </row>
    <row r="318" spans="18:59">
      <c r="R318" s="9"/>
      <c r="S318" s="9"/>
      <c r="W318" s="9"/>
      <c r="X318" s="9"/>
      <c r="AE318" s="9"/>
      <c r="AF318" s="9"/>
      <c r="AU318" s="9"/>
      <c r="AV318" s="9"/>
      <c r="AW318" s="9"/>
      <c r="AX318" s="9"/>
      <c r="AY318" s="9"/>
      <c r="AZ318" s="9"/>
      <c r="BA318" s="9"/>
      <c r="BC318" s="9"/>
      <c r="BE318" s="9"/>
      <c r="BF318" s="9"/>
      <c r="BG318" s="9"/>
    </row>
    <row r="319" spans="18:59">
      <c r="R319" s="9"/>
      <c r="S319" s="9"/>
      <c r="W319" s="9"/>
      <c r="X319" s="9"/>
      <c r="AE319" s="9"/>
      <c r="AF319" s="9"/>
      <c r="AU319" s="9"/>
      <c r="AV319" s="9"/>
      <c r="AW319" s="9"/>
      <c r="AX319" s="9"/>
      <c r="AY319" s="9"/>
      <c r="AZ319" s="9"/>
      <c r="BA319" s="9"/>
      <c r="BC319" s="9"/>
      <c r="BE319" s="9"/>
      <c r="BF319" s="9"/>
      <c r="BG319" s="9"/>
    </row>
    <row r="320" spans="18:59">
      <c r="R320" s="9"/>
      <c r="S320" s="9"/>
      <c r="W320" s="9"/>
      <c r="X320" s="9"/>
      <c r="AE320" s="9"/>
      <c r="AF320" s="9"/>
      <c r="AU320" s="9"/>
      <c r="AV320" s="9"/>
      <c r="AW320" s="9"/>
      <c r="AX320" s="9"/>
      <c r="AY320" s="9"/>
      <c r="AZ320" s="9"/>
      <c r="BA320" s="9"/>
      <c r="BC320" s="9"/>
      <c r="BE320" s="9"/>
      <c r="BF320" s="9"/>
      <c r="BG320" s="9"/>
    </row>
    <row r="321" spans="18:59">
      <c r="R321" s="9"/>
      <c r="S321" s="9"/>
      <c r="W321" s="9"/>
      <c r="X321" s="9"/>
      <c r="AE321" s="9"/>
      <c r="AF321" s="9"/>
      <c r="AU321" s="9"/>
      <c r="AV321" s="9"/>
      <c r="AW321" s="9"/>
      <c r="AX321" s="9"/>
      <c r="AY321" s="9"/>
      <c r="AZ321" s="9"/>
      <c r="BA321" s="9"/>
      <c r="BC321" s="9"/>
      <c r="BE321" s="9"/>
      <c r="BF321" s="9"/>
      <c r="BG321" s="9"/>
    </row>
    <row r="322" spans="18:59">
      <c r="R322" s="9"/>
      <c r="S322" s="9"/>
      <c r="W322" s="9"/>
      <c r="X322" s="9"/>
      <c r="AE322" s="9"/>
      <c r="AF322" s="9"/>
      <c r="AU322" s="9"/>
      <c r="AV322" s="9"/>
      <c r="AW322" s="9"/>
      <c r="AX322" s="9"/>
      <c r="AY322" s="9"/>
      <c r="AZ322" s="9"/>
      <c r="BA322" s="9"/>
      <c r="BC322" s="9"/>
      <c r="BE322" s="9"/>
      <c r="BF322" s="9"/>
      <c r="BG322" s="9"/>
    </row>
    <row r="323" spans="18:59">
      <c r="R323" s="9"/>
      <c r="S323" s="9"/>
      <c r="W323" s="9"/>
      <c r="X323" s="9"/>
      <c r="AE323" s="9"/>
      <c r="AF323" s="9"/>
      <c r="AU323" s="9"/>
      <c r="AV323" s="9"/>
      <c r="AW323" s="9"/>
      <c r="AX323" s="9"/>
      <c r="AY323" s="9"/>
      <c r="AZ323" s="9"/>
      <c r="BA323" s="9"/>
      <c r="BC323" s="9"/>
      <c r="BE323" s="9"/>
      <c r="BF323" s="9"/>
      <c r="BG323" s="9"/>
    </row>
    <row r="324" spans="18:59">
      <c r="R324" s="9"/>
      <c r="S324" s="9"/>
      <c r="W324" s="9"/>
      <c r="X324" s="9"/>
      <c r="AE324" s="9"/>
      <c r="AF324" s="9"/>
      <c r="AU324" s="9"/>
      <c r="AV324" s="9"/>
      <c r="AW324" s="9"/>
      <c r="AX324" s="9"/>
      <c r="AY324" s="9"/>
      <c r="AZ324" s="9"/>
      <c r="BA324" s="9"/>
      <c r="BC324" s="9"/>
      <c r="BE324" s="9"/>
      <c r="BF324" s="9"/>
      <c r="BG324" s="9"/>
    </row>
    <row r="325" spans="18:59">
      <c r="R325" s="9"/>
      <c r="S325" s="9"/>
      <c r="W325" s="9"/>
      <c r="X325" s="9"/>
      <c r="AE325" s="9"/>
      <c r="AF325" s="9"/>
      <c r="AU325" s="9"/>
      <c r="AV325" s="9"/>
      <c r="AW325" s="9"/>
      <c r="AX325" s="9"/>
      <c r="AY325" s="9"/>
      <c r="AZ325" s="9"/>
      <c r="BA325" s="9"/>
      <c r="BC325" s="9"/>
      <c r="BE325" s="9"/>
      <c r="BF325" s="9"/>
      <c r="BG325" s="9"/>
    </row>
    <row r="326" spans="18:59">
      <c r="R326" s="9"/>
      <c r="S326" s="9"/>
      <c r="W326" s="9"/>
      <c r="X326" s="9"/>
      <c r="AE326" s="9"/>
      <c r="AF326" s="9"/>
      <c r="AU326" s="9"/>
      <c r="AV326" s="9"/>
      <c r="AW326" s="9"/>
      <c r="AX326" s="9"/>
      <c r="AY326" s="9"/>
      <c r="AZ326" s="9"/>
      <c r="BA326" s="9"/>
      <c r="BC326" s="9"/>
      <c r="BE326" s="9"/>
      <c r="BF326" s="9"/>
      <c r="BG326" s="9"/>
    </row>
    <row r="327" spans="18:59">
      <c r="R327" s="9"/>
      <c r="S327" s="9"/>
      <c r="W327" s="9"/>
      <c r="X327" s="9"/>
      <c r="AE327" s="9"/>
      <c r="AF327" s="9"/>
      <c r="AU327" s="9"/>
      <c r="AV327" s="9"/>
      <c r="AW327" s="9"/>
      <c r="AX327" s="9"/>
      <c r="AY327" s="9"/>
      <c r="AZ327" s="9"/>
      <c r="BA327" s="9"/>
      <c r="BC327" s="9"/>
      <c r="BE327" s="9"/>
      <c r="BF327" s="9"/>
      <c r="BG327" s="9"/>
    </row>
    <row r="328" spans="18:59">
      <c r="R328" s="9"/>
      <c r="S328" s="9"/>
      <c r="W328" s="9"/>
      <c r="X328" s="9"/>
      <c r="AE328" s="9"/>
      <c r="AF328" s="9"/>
      <c r="AU328" s="9"/>
      <c r="AV328" s="9"/>
      <c r="AW328" s="9"/>
      <c r="AX328" s="9"/>
      <c r="AY328" s="9"/>
      <c r="AZ328" s="9"/>
      <c r="BA328" s="9"/>
      <c r="BC328" s="9"/>
      <c r="BE328" s="9"/>
      <c r="BF328" s="9"/>
      <c r="BG328" s="9"/>
    </row>
    <row r="329" spans="18:59">
      <c r="R329" s="9"/>
      <c r="S329" s="9"/>
      <c r="W329" s="9"/>
      <c r="X329" s="9"/>
      <c r="AE329" s="9"/>
      <c r="AF329" s="9"/>
      <c r="AU329" s="9"/>
      <c r="AV329" s="9"/>
      <c r="AW329" s="9"/>
      <c r="AX329" s="9"/>
      <c r="AY329" s="9"/>
      <c r="AZ329" s="9"/>
      <c r="BA329" s="9"/>
      <c r="BC329" s="9"/>
      <c r="BE329" s="9"/>
      <c r="BF329" s="9"/>
      <c r="BG329" s="9"/>
    </row>
    <row r="330" spans="18:59">
      <c r="R330" s="9"/>
      <c r="S330" s="9"/>
      <c r="W330" s="9"/>
      <c r="X330" s="9"/>
      <c r="AE330" s="9"/>
      <c r="AF330" s="9"/>
      <c r="AU330" s="9"/>
      <c r="AV330" s="9"/>
      <c r="AW330" s="9"/>
      <c r="AX330" s="9"/>
      <c r="AY330" s="9"/>
      <c r="AZ330" s="9"/>
      <c r="BA330" s="9"/>
      <c r="BC330" s="9"/>
      <c r="BE330" s="9"/>
      <c r="BF330" s="9"/>
      <c r="BG330" s="9"/>
    </row>
    <row r="331" spans="18:59">
      <c r="R331" s="9"/>
      <c r="S331" s="9"/>
      <c r="W331" s="9"/>
      <c r="X331" s="9"/>
      <c r="AE331" s="9"/>
      <c r="AF331" s="9"/>
      <c r="AU331" s="9"/>
      <c r="AV331" s="9"/>
      <c r="AW331" s="9"/>
      <c r="AX331" s="9"/>
      <c r="AY331" s="9"/>
      <c r="AZ331" s="9"/>
      <c r="BA331" s="9"/>
      <c r="BC331" s="9"/>
      <c r="BE331" s="9"/>
      <c r="BF331" s="9"/>
      <c r="BG331" s="9"/>
    </row>
    <row r="332" spans="18:59">
      <c r="R332" s="9"/>
      <c r="S332" s="9"/>
      <c r="W332" s="9"/>
      <c r="X332" s="9"/>
      <c r="AE332" s="9"/>
      <c r="AF332" s="9"/>
      <c r="AU332" s="9"/>
      <c r="AV332" s="9"/>
      <c r="AW332" s="9"/>
      <c r="AX332" s="9"/>
      <c r="AY332" s="9"/>
      <c r="AZ332" s="9"/>
      <c r="BA332" s="9"/>
      <c r="BC332" s="9"/>
      <c r="BE332" s="9"/>
      <c r="BF332" s="9"/>
      <c r="BG332" s="9"/>
    </row>
    <row r="333" spans="18:59">
      <c r="R333" s="9"/>
      <c r="S333" s="9"/>
      <c r="W333" s="9"/>
      <c r="X333" s="9"/>
      <c r="AE333" s="9"/>
      <c r="AF333" s="9"/>
      <c r="AU333" s="9"/>
      <c r="AV333" s="9"/>
      <c r="AW333" s="9"/>
      <c r="AX333" s="9"/>
      <c r="AY333" s="9"/>
      <c r="AZ333" s="9"/>
      <c r="BA333" s="9"/>
      <c r="BC333" s="9"/>
      <c r="BE333" s="9"/>
      <c r="BF333" s="9"/>
      <c r="BG333" s="9"/>
    </row>
    <row r="334" spans="18:59">
      <c r="R334" s="9"/>
      <c r="S334" s="9"/>
      <c r="W334" s="9"/>
      <c r="X334" s="9"/>
      <c r="AE334" s="9"/>
      <c r="AF334" s="9"/>
      <c r="AU334" s="9"/>
      <c r="AV334" s="9"/>
      <c r="AW334" s="9"/>
      <c r="AX334" s="9"/>
      <c r="AY334" s="9"/>
      <c r="AZ334" s="9"/>
      <c r="BA334" s="9"/>
      <c r="BC334" s="9"/>
      <c r="BE334" s="9"/>
      <c r="BF334" s="9"/>
      <c r="BG334" s="9"/>
    </row>
    <row r="335" spans="18:59">
      <c r="R335" s="9"/>
      <c r="S335" s="9"/>
      <c r="W335" s="9"/>
      <c r="X335" s="9"/>
      <c r="AE335" s="9"/>
      <c r="AF335" s="9"/>
      <c r="AU335" s="9"/>
      <c r="AV335" s="9"/>
      <c r="AW335" s="9"/>
      <c r="AX335" s="9"/>
      <c r="AY335" s="9"/>
      <c r="AZ335" s="9"/>
      <c r="BA335" s="9"/>
      <c r="BC335" s="9"/>
      <c r="BE335" s="9"/>
      <c r="BF335" s="9"/>
      <c r="BG335" s="9"/>
    </row>
    <row r="336" spans="18:59">
      <c r="R336" s="9"/>
      <c r="S336" s="9"/>
      <c r="W336" s="9"/>
      <c r="X336" s="9"/>
      <c r="AE336" s="9"/>
      <c r="AF336" s="9"/>
      <c r="AU336" s="9"/>
      <c r="AV336" s="9"/>
      <c r="AW336" s="9"/>
      <c r="AX336" s="9"/>
      <c r="AY336" s="9"/>
      <c r="AZ336" s="9"/>
      <c r="BA336" s="9"/>
      <c r="BC336" s="9"/>
      <c r="BE336" s="9"/>
      <c r="BF336" s="9"/>
      <c r="BG336" s="9"/>
    </row>
    <row r="337" spans="18:59">
      <c r="R337" s="9"/>
      <c r="S337" s="9"/>
      <c r="W337" s="9"/>
      <c r="X337" s="9"/>
      <c r="AE337" s="9"/>
      <c r="AF337" s="9"/>
      <c r="AU337" s="9"/>
      <c r="AV337" s="9"/>
      <c r="AW337" s="9"/>
      <c r="AX337" s="9"/>
      <c r="AY337" s="9"/>
      <c r="AZ337" s="9"/>
      <c r="BA337" s="9"/>
      <c r="BC337" s="9"/>
      <c r="BE337" s="9"/>
      <c r="BF337" s="9"/>
      <c r="BG337" s="9"/>
    </row>
    <row r="338" spans="18:59">
      <c r="R338" s="9"/>
      <c r="S338" s="9"/>
      <c r="W338" s="9"/>
      <c r="X338" s="9"/>
      <c r="AE338" s="9"/>
      <c r="AF338" s="9"/>
      <c r="AU338" s="9"/>
      <c r="AV338" s="9"/>
      <c r="AW338" s="9"/>
      <c r="AX338" s="9"/>
      <c r="AY338" s="9"/>
      <c r="AZ338" s="9"/>
      <c r="BA338" s="9"/>
      <c r="BC338" s="9"/>
      <c r="BE338" s="9"/>
      <c r="BF338" s="9"/>
      <c r="BG338" s="9"/>
    </row>
    <row r="339" spans="18:59">
      <c r="R339" s="9"/>
      <c r="S339" s="9"/>
      <c r="W339" s="9"/>
      <c r="X339" s="9"/>
      <c r="AE339" s="9"/>
      <c r="AF339" s="9"/>
      <c r="AU339" s="9"/>
      <c r="AV339" s="9"/>
      <c r="AW339" s="9"/>
      <c r="AX339" s="9"/>
      <c r="AY339" s="9"/>
      <c r="AZ339" s="9"/>
      <c r="BA339" s="9"/>
      <c r="BC339" s="9"/>
      <c r="BE339" s="9"/>
      <c r="BF339" s="9"/>
      <c r="BG339" s="9"/>
    </row>
    <row r="340" spans="18:59">
      <c r="R340" s="9"/>
      <c r="S340" s="9"/>
      <c r="W340" s="9"/>
      <c r="X340" s="9"/>
      <c r="AE340" s="9"/>
      <c r="AF340" s="9"/>
      <c r="AU340" s="9"/>
      <c r="AV340" s="9"/>
      <c r="AW340" s="9"/>
      <c r="AX340" s="9"/>
      <c r="AY340" s="9"/>
      <c r="AZ340" s="9"/>
      <c r="BA340" s="9"/>
      <c r="BC340" s="9"/>
      <c r="BE340" s="9"/>
      <c r="BF340" s="9"/>
      <c r="BG340" s="9"/>
    </row>
    <row r="341" spans="18:59">
      <c r="R341" s="9"/>
      <c r="S341" s="9"/>
      <c r="W341" s="9"/>
      <c r="X341" s="9"/>
      <c r="AE341" s="9"/>
      <c r="AF341" s="9"/>
      <c r="AU341" s="9"/>
      <c r="AV341" s="9"/>
      <c r="AW341" s="9"/>
      <c r="AX341" s="9"/>
      <c r="AY341" s="9"/>
      <c r="AZ341" s="9"/>
      <c r="BA341" s="9"/>
      <c r="BC341" s="9"/>
      <c r="BE341" s="9"/>
      <c r="BF341" s="9"/>
      <c r="BG341" s="9"/>
    </row>
    <row r="342" spans="18:59">
      <c r="R342" s="9"/>
      <c r="S342" s="9"/>
      <c r="W342" s="9"/>
      <c r="X342" s="9"/>
      <c r="AE342" s="9"/>
      <c r="AF342" s="9"/>
      <c r="AU342" s="9"/>
      <c r="AV342" s="9"/>
      <c r="AW342" s="9"/>
      <c r="AX342" s="9"/>
      <c r="AY342" s="9"/>
      <c r="AZ342" s="9"/>
      <c r="BA342" s="9"/>
      <c r="BC342" s="9"/>
      <c r="BE342" s="9"/>
      <c r="BF342" s="9"/>
      <c r="BG342" s="9"/>
    </row>
    <row r="343" spans="18:59">
      <c r="R343" s="9"/>
      <c r="S343" s="9"/>
      <c r="W343" s="9"/>
      <c r="X343" s="9"/>
      <c r="AE343" s="9"/>
      <c r="AF343" s="9"/>
      <c r="AU343" s="9"/>
      <c r="AV343" s="9"/>
      <c r="AW343" s="9"/>
      <c r="AX343" s="9"/>
      <c r="AY343" s="9"/>
      <c r="AZ343" s="9"/>
      <c r="BA343" s="9"/>
      <c r="BC343" s="9"/>
      <c r="BE343" s="9"/>
      <c r="BF343" s="9"/>
      <c r="BG343" s="9"/>
    </row>
    <row r="344" spans="18:59">
      <c r="R344" s="9"/>
      <c r="S344" s="9"/>
      <c r="W344" s="9"/>
      <c r="X344" s="9"/>
      <c r="AE344" s="9"/>
      <c r="AF344" s="9"/>
      <c r="AU344" s="9"/>
      <c r="AV344" s="9"/>
      <c r="AW344" s="9"/>
      <c r="AX344" s="9"/>
      <c r="AY344" s="9"/>
      <c r="AZ344" s="9"/>
      <c r="BA344" s="9"/>
      <c r="BC344" s="9"/>
      <c r="BE344" s="9"/>
      <c r="BF344" s="9"/>
      <c r="BG344" s="9"/>
    </row>
    <row r="345" spans="18:59">
      <c r="R345" s="9"/>
      <c r="S345" s="9"/>
      <c r="W345" s="9"/>
      <c r="X345" s="9"/>
      <c r="AE345" s="9"/>
      <c r="AF345" s="9"/>
      <c r="AU345" s="9"/>
      <c r="AV345" s="9"/>
      <c r="AW345" s="9"/>
      <c r="AX345" s="9"/>
      <c r="AY345" s="9"/>
      <c r="AZ345" s="9"/>
      <c r="BA345" s="9"/>
      <c r="BC345" s="9"/>
      <c r="BE345" s="9"/>
      <c r="BF345" s="9"/>
      <c r="BG345" s="9"/>
    </row>
    <row r="346" spans="18:59">
      <c r="R346" s="9"/>
      <c r="S346" s="9"/>
      <c r="W346" s="9"/>
      <c r="X346" s="9"/>
      <c r="AE346" s="9"/>
      <c r="AF346" s="9"/>
      <c r="AU346" s="9"/>
      <c r="AV346" s="9"/>
      <c r="AW346" s="9"/>
      <c r="AX346" s="9"/>
      <c r="AY346" s="9"/>
      <c r="AZ346" s="9"/>
      <c r="BA346" s="9"/>
      <c r="BC346" s="9"/>
      <c r="BE346" s="9"/>
      <c r="BF346" s="9"/>
      <c r="BG346" s="9"/>
    </row>
    <row r="347" spans="18:59">
      <c r="R347" s="9"/>
      <c r="S347" s="9"/>
      <c r="W347" s="9"/>
      <c r="X347" s="9"/>
      <c r="AE347" s="9"/>
      <c r="AF347" s="9"/>
      <c r="AU347" s="9"/>
      <c r="AV347" s="9"/>
      <c r="AW347" s="9"/>
      <c r="AX347" s="9"/>
      <c r="AY347" s="9"/>
      <c r="AZ347" s="9"/>
      <c r="BA347" s="9"/>
      <c r="BC347" s="9"/>
      <c r="BE347" s="9"/>
      <c r="BF347" s="9"/>
      <c r="BG347" s="9"/>
    </row>
    <row r="348" spans="18:59">
      <c r="R348" s="9"/>
      <c r="S348" s="9"/>
      <c r="W348" s="9"/>
      <c r="X348" s="9"/>
      <c r="AE348" s="9"/>
      <c r="AF348" s="9"/>
      <c r="AU348" s="9"/>
      <c r="AV348" s="9"/>
      <c r="AW348" s="9"/>
      <c r="AX348" s="9"/>
      <c r="AY348" s="9"/>
      <c r="AZ348" s="9"/>
      <c r="BA348" s="9"/>
      <c r="BC348" s="9"/>
      <c r="BE348" s="9"/>
      <c r="BF348" s="9"/>
      <c r="BG348" s="9"/>
    </row>
    <row r="349" spans="18:59">
      <c r="R349" s="9"/>
      <c r="S349" s="9"/>
      <c r="W349" s="9"/>
      <c r="X349" s="9"/>
      <c r="AE349" s="9"/>
      <c r="AF349" s="9"/>
      <c r="AU349" s="9"/>
      <c r="AV349" s="9"/>
      <c r="AW349" s="9"/>
      <c r="AX349" s="9"/>
      <c r="AY349" s="9"/>
      <c r="AZ349" s="9"/>
      <c r="BA349" s="9"/>
      <c r="BC349" s="9"/>
      <c r="BE349" s="9"/>
      <c r="BF349" s="9"/>
      <c r="BG349" s="9"/>
    </row>
    <row r="350" spans="18:59">
      <c r="R350" s="9"/>
      <c r="S350" s="9"/>
      <c r="W350" s="9"/>
      <c r="X350" s="9"/>
      <c r="AE350" s="9"/>
      <c r="AF350" s="9"/>
      <c r="AU350" s="9"/>
      <c r="AV350" s="9"/>
      <c r="AW350" s="9"/>
      <c r="AX350" s="9"/>
      <c r="AY350" s="9"/>
      <c r="AZ350" s="9"/>
      <c r="BA350" s="9"/>
      <c r="BC350" s="9"/>
      <c r="BE350" s="9"/>
      <c r="BF350" s="9"/>
      <c r="BG350" s="9"/>
    </row>
    <row r="351" spans="18:59">
      <c r="R351" s="9"/>
      <c r="S351" s="9"/>
      <c r="W351" s="9"/>
      <c r="X351" s="9"/>
      <c r="AE351" s="9"/>
      <c r="AF351" s="9"/>
      <c r="AU351" s="9"/>
      <c r="AV351" s="9"/>
      <c r="AW351" s="9"/>
      <c r="AX351" s="9"/>
      <c r="AY351" s="9"/>
      <c r="AZ351" s="9"/>
      <c r="BA351" s="9"/>
      <c r="BC351" s="9"/>
      <c r="BE351" s="9"/>
      <c r="BF351" s="9"/>
      <c r="BG351" s="9"/>
    </row>
    <row r="352" spans="18:59">
      <c r="R352" s="9"/>
      <c r="S352" s="9"/>
      <c r="W352" s="9"/>
      <c r="X352" s="9"/>
      <c r="AE352" s="9"/>
      <c r="AF352" s="9"/>
      <c r="AU352" s="9"/>
      <c r="AV352" s="9"/>
      <c r="AW352" s="9"/>
      <c r="AX352" s="9"/>
      <c r="AY352" s="9"/>
      <c r="AZ352" s="9"/>
      <c r="BA352" s="9"/>
      <c r="BC352" s="9"/>
      <c r="BE352" s="9"/>
      <c r="BF352" s="9"/>
      <c r="BG352" s="9"/>
    </row>
    <row r="353" spans="18:59">
      <c r="R353" s="9"/>
      <c r="S353" s="9"/>
      <c r="W353" s="9"/>
      <c r="X353" s="9"/>
      <c r="AE353" s="9"/>
      <c r="AF353" s="9"/>
      <c r="AU353" s="9"/>
      <c r="AV353" s="9"/>
      <c r="AW353" s="9"/>
      <c r="AX353" s="9"/>
      <c r="AY353" s="9"/>
      <c r="AZ353" s="9"/>
      <c r="BA353" s="9"/>
      <c r="BC353" s="9"/>
      <c r="BE353" s="9"/>
      <c r="BF353" s="9"/>
      <c r="BG353" s="9"/>
    </row>
    <row r="354" spans="18:59">
      <c r="R354" s="9"/>
      <c r="S354" s="9"/>
      <c r="W354" s="9"/>
      <c r="X354" s="9"/>
      <c r="AE354" s="9"/>
      <c r="AF354" s="9"/>
      <c r="AU354" s="9"/>
      <c r="AV354" s="9"/>
      <c r="AW354" s="9"/>
      <c r="AX354" s="9"/>
      <c r="AY354" s="9"/>
      <c r="AZ354" s="9"/>
      <c r="BA354" s="9"/>
      <c r="BC354" s="9"/>
      <c r="BE354" s="9"/>
      <c r="BF354" s="9"/>
      <c r="BG354" s="9"/>
    </row>
    <row r="355" spans="18:59">
      <c r="R355" s="9"/>
      <c r="S355" s="9"/>
      <c r="W355" s="9"/>
      <c r="X355" s="9"/>
      <c r="AE355" s="9"/>
      <c r="AF355" s="9"/>
      <c r="AU355" s="9"/>
      <c r="AV355" s="9"/>
      <c r="AW355" s="9"/>
      <c r="AX355" s="9"/>
      <c r="AY355" s="9"/>
      <c r="AZ355" s="9"/>
      <c r="BA355" s="9"/>
      <c r="BC355" s="9"/>
      <c r="BE355" s="9"/>
      <c r="BF355" s="9"/>
      <c r="BG355" s="9"/>
    </row>
    <row r="356" spans="18:59">
      <c r="R356" s="9"/>
      <c r="S356" s="9"/>
      <c r="W356" s="9"/>
      <c r="X356" s="9"/>
      <c r="AE356" s="9"/>
      <c r="AF356" s="9"/>
      <c r="AU356" s="9"/>
      <c r="AV356" s="9"/>
      <c r="AW356" s="9"/>
      <c r="AX356" s="9"/>
      <c r="AY356" s="9"/>
      <c r="AZ356" s="9"/>
      <c r="BA356" s="9"/>
      <c r="BC356" s="9"/>
      <c r="BE356" s="9"/>
      <c r="BF356" s="9"/>
      <c r="BG356" s="9"/>
    </row>
    <row r="357" spans="18:59">
      <c r="R357" s="9"/>
      <c r="S357" s="9"/>
      <c r="W357" s="9"/>
      <c r="X357" s="9"/>
      <c r="AE357" s="9"/>
      <c r="AF357" s="9"/>
      <c r="AU357" s="9"/>
      <c r="AV357" s="9"/>
      <c r="AW357" s="9"/>
      <c r="AX357" s="9"/>
      <c r="AY357" s="9"/>
      <c r="AZ357" s="9"/>
      <c r="BA357" s="9"/>
      <c r="BC357" s="9"/>
      <c r="BE357" s="9"/>
      <c r="BF357" s="9"/>
      <c r="BG357" s="9"/>
    </row>
    <row r="358" spans="18:59">
      <c r="R358" s="9"/>
      <c r="S358" s="9"/>
      <c r="W358" s="9"/>
      <c r="X358" s="9"/>
      <c r="AE358" s="9"/>
      <c r="AF358" s="9"/>
      <c r="AU358" s="9"/>
      <c r="AV358" s="9"/>
      <c r="AW358" s="9"/>
      <c r="AX358" s="9"/>
      <c r="AY358" s="9"/>
      <c r="AZ358" s="9"/>
      <c r="BA358" s="9"/>
      <c r="BC358" s="9"/>
      <c r="BE358" s="9"/>
      <c r="BF358" s="9"/>
      <c r="BG358" s="9"/>
    </row>
    <row r="359" spans="18:59">
      <c r="R359" s="9"/>
      <c r="S359" s="9"/>
      <c r="W359" s="9"/>
      <c r="X359" s="9"/>
      <c r="AE359" s="9"/>
      <c r="AF359" s="9"/>
      <c r="AU359" s="9"/>
      <c r="AV359" s="9"/>
      <c r="AW359" s="9"/>
      <c r="AX359" s="9"/>
      <c r="AY359" s="9"/>
      <c r="AZ359" s="9"/>
      <c r="BA359" s="9"/>
      <c r="BC359" s="9"/>
      <c r="BE359" s="9"/>
      <c r="BF359" s="9"/>
      <c r="BG359" s="9"/>
    </row>
    <row r="360" spans="18:59">
      <c r="R360" s="9"/>
      <c r="S360" s="9"/>
      <c r="W360" s="9"/>
      <c r="X360" s="9"/>
      <c r="AE360" s="9"/>
      <c r="AF360" s="9"/>
      <c r="AU360" s="9"/>
      <c r="AV360" s="9"/>
      <c r="AW360" s="9"/>
      <c r="AX360" s="9"/>
      <c r="AY360" s="9"/>
      <c r="AZ360" s="9"/>
      <c r="BA360" s="9"/>
      <c r="BC360" s="9"/>
      <c r="BE360" s="9"/>
      <c r="BF360" s="9"/>
      <c r="BG360" s="9"/>
    </row>
    <row r="361" spans="18:59">
      <c r="R361" s="9"/>
      <c r="S361" s="9"/>
      <c r="W361" s="9"/>
      <c r="X361" s="9"/>
      <c r="AE361" s="9"/>
      <c r="AF361" s="9"/>
      <c r="AU361" s="9"/>
      <c r="AV361" s="9"/>
      <c r="AW361" s="9"/>
      <c r="AX361" s="9"/>
      <c r="AY361" s="9"/>
      <c r="AZ361" s="9"/>
      <c r="BA361" s="9"/>
      <c r="BC361" s="9"/>
      <c r="BE361" s="9"/>
      <c r="BF361" s="9"/>
      <c r="BG361" s="9"/>
    </row>
    <row r="362" spans="18:59">
      <c r="R362" s="9"/>
      <c r="S362" s="9"/>
      <c r="W362" s="9"/>
      <c r="X362" s="9"/>
      <c r="AE362" s="9"/>
      <c r="AF362" s="9"/>
      <c r="AU362" s="9"/>
      <c r="AV362" s="9"/>
      <c r="AW362" s="9"/>
      <c r="AX362" s="9"/>
      <c r="AY362" s="9"/>
      <c r="AZ362" s="9"/>
      <c r="BA362" s="9"/>
      <c r="BC362" s="9"/>
      <c r="BE362" s="9"/>
      <c r="BF362" s="9"/>
      <c r="BG362" s="9"/>
    </row>
    <row r="363" spans="18:59">
      <c r="R363" s="9"/>
      <c r="S363" s="9"/>
      <c r="W363" s="9"/>
      <c r="X363" s="9"/>
      <c r="AE363" s="9"/>
      <c r="AF363" s="9"/>
      <c r="AU363" s="9"/>
      <c r="AV363" s="9"/>
      <c r="AW363" s="9"/>
      <c r="AX363" s="9"/>
      <c r="AY363" s="9"/>
      <c r="AZ363" s="9"/>
      <c r="BA363" s="9"/>
      <c r="BC363" s="9"/>
      <c r="BE363" s="9"/>
      <c r="BF363" s="9"/>
      <c r="BG363" s="9"/>
    </row>
    <row r="364" spans="18:59">
      <c r="R364" s="9"/>
      <c r="S364" s="9"/>
      <c r="W364" s="9"/>
      <c r="X364" s="9"/>
      <c r="AE364" s="9"/>
      <c r="AF364" s="9"/>
      <c r="AU364" s="9"/>
      <c r="AV364" s="9"/>
      <c r="AW364" s="9"/>
      <c r="AX364" s="9"/>
      <c r="AY364" s="9"/>
      <c r="AZ364" s="9"/>
      <c r="BA364" s="9"/>
      <c r="BC364" s="9"/>
      <c r="BE364" s="9"/>
      <c r="BF364" s="9"/>
      <c r="BG364" s="9"/>
    </row>
    <row r="365" spans="18:59">
      <c r="R365" s="9"/>
      <c r="S365" s="9"/>
      <c r="W365" s="9"/>
      <c r="X365" s="9"/>
      <c r="AE365" s="9"/>
      <c r="AF365" s="9"/>
      <c r="AU365" s="9"/>
      <c r="AV365" s="9"/>
      <c r="AW365" s="9"/>
      <c r="AX365" s="9"/>
      <c r="AY365" s="9"/>
      <c r="AZ365" s="9"/>
      <c r="BA365" s="9"/>
      <c r="BC365" s="9"/>
      <c r="BE365" s="9"/>
      <c r="BF365" s="9"/>
      <c r="BG365" s="9"/>
    </row>
    <row r="366" spans="18:59">
      <c r="R366" s="9"/>
      <c r="S366" s="9"/>
      <c r="W366" s="9"/>
      <c r="X366" s="9"/>
      <c r="AE366" s="9"/>
      <c r="AF366" s="9"/>
      <c r="AU366" s="9"/>
      <c r="AV366" s="9"/>
      <c r="AW366" s="9"/>
      <c r="AX366" s="9"/>
      <c r="AY366" s="9"/>
      <c r="AZ366" s="9"/>
      <c r="BA366" s="9"/>
      <c r="BC366" s="9"/>
      <c r="BE366" s="9"/>
      <c r="BF366" s="9"/>
      <c r="BG366" s="9"/>
    </row>
    <row r="367" spans="18:59">
      <c r="R367" s="9"/>
      <c r="S367" s="9"/>
      <c r="W367" s="9"/>
      <c r="X367" s="9"/>
      <c r="AE367" s="9"/>
      <c r="AF367" s="9"/>
      <c r="AU367" s="9"/>
      <c r="AV367" s="9"/>
      <c r="AW367" s="9"/>
      <c r="AX367" s="9"/>
      <c r="AY367" s="9"/>
      <c r="AZ367" s="9"/>
      <c r="BA367" s="9"/>
      <c r="BC367" s="9"/>
      <c r="BE367" s="9"/>
      <c r="BF367" s="9"/>
      <c r="BG367" s="9"/>
    </row>
    <row r="368" spans="18:59">
      <c r="R368" s="9"/>
      <c r="S368" s="9"/>
      <c r="W368" s="9"/>
      <c r="X368" s="9"/>
      <c r="AE368" s="9"/>
      <c r="AF368" s="9"/>
      <c r="AU368" s="9"/>
      <c r="AV368" s="9"/>
      <c r="AW368" s="9"/>
      <c r="AX368" s="9"/>
      <c r="AY368" s="9"/>
      <c r="AZ368" s="9"/>
      <c r="BA368" s="9"/>
      <c r="BC368" s="9"/>
      <c r="BE368" s="9"/>
      <c r="BF368" s="9"/>
      <c r="BG368" s="9"/>
    </row>
    <row r="369" spans="18:59">
      <c r="R369" s="9"/>
      <c r="S369" s="9"/>
      <c r="W369" s="9"/>
      <c r="X369" s="9"/>
      <c r="AE369" s="9"/>
      <c r="AF369" s="9"/>
      <c r="AU369" s="9"/>
      <c r="AV369" s="9"/>
      <c r="AW369" s="9"/>
      <c r="AX369" s="9"/>
      <c r="AY369" s="9"/>
      <c r="AZ369" s="9"/>
      <c r="BA369" s="9"/>
      <c r="BC369" s="9"/>
      <c r="BE369" s="9"/>
      <c r="BF369" s="9"/>
      <c r="BG369" s="9"/>
    </row>
    <row r="370" spans="18:59">
      <c r="R370" s="9"/>
      <c r="S370" s="9"/>
      <c r="W370" s="9"/>
      <c r="X370" s="9"/>
      <c r="AE370" s="9"/>
      <c r="AF370" s="9"/>
      <c r="AU370" s="9"/>
      <c r="AV370" s="9"/>
      <c r="AW370" s="9"/>
      <c r="AX370" s="9"/>
      <c r="AY370" s="9"/>
      <c r="AZ370" s="9"/>
      <c r="BA370" s="9"/>
      <c r="BC370" s="9"/>
      <c r="BE370" s="9"/>
      <c r="BF370" s="9"/>
      <c r="BG370" s="9"/>
    </row>
    <row r="371" spans="18:59">
      <c r="R371" s="9"/>
      <c r="S371" s="9"/>
      <c r="W371" s="9"/>
      <c r="X371" s="9"/>
      <c r="AE371" s="9"/>
      <c r="AF371" s="9"/>
      <c r="AU371" s="9"/>
      <c r="AV371" s="9"/>
      <c r="AW371" s="9"/>
      <c r="AX371" s="9"/>
      <c r="AY371" s="9"/>
      <c r="AZ371" s="9"/>
      <c r="BA371" s="9"/>
      <c r="BC371" s="9"/>
      <c r="BE371" s="9"/>
      <c r="BF371" s="9"/>
      <c r="BG371" s="9"/>
    </row>
    <row r="372" spans="18:59">
      <c r="R372" s="9"/>
      <c r="S372" s="9"/>
      <c r="W372" s="9"/>
      <c r="X372" s="9"/>
      <c r="AE372" s="9"/>
      <c r="AF372" s="9"/>
      <c r="AU372" s="9"/>
      <c r="AV372" s="9"/>
      <c r="AW372" s="9"/>
      <c r="AX372" s="9"/>
      <c r="AY372" s="9"/>
      <c r="AZ372" s="9"/>
      <c r="BA372" s="9"/>
      <c r="BC372" s="9"/>
      <c r="BE372" s="9"/>
      <c r="BF372" s="9"/>
      <c r="BG372" s="9"/>
    </row>
    <row r="373" spans="18:59">
      <c r="R373" s="9"/>
      <c r="S373" s="9"/>
      <c r="W373" s="9"/>
      <c r="X373" s="9"/>
      <c r="AE373" s="9"/>
      <c r="AF373" s="9"/>
      <c r="AU373" s="9"/>
      <c r="AV373" s="9"/>
      <c r="AW373" s="9"/>
      <c r="AX373" s="9"/>
      <c r="AY373" s="9"/>
      <c r="AZ373" s="9"/>
      <c r="BA373" s="9"/>
      <c r="BC373" s="9"/>
      <c r="BE373" s="9"/>
      <c r="BF373" s="9"/>
      <c r="BG373" s="9"/>
    </row>
    <row r="374" spans="18:59">
      <c r="R374" s="9"/>
      <c r="S374" s="9"/>
      <c r="W374" s="9"/>
      <c r="X374" s="9"/>
      <c r="AE374" s="9"/>
      <c r="AF374" s="9"/>
      <c r="AU374" s="9"/>
      <c r="AV374" s="9"/>
      <c r="AW374" s="9"/>
      <c r="AX374" s="9"/>
      <c r="AY374" s="9"/>
      <c r="AZ374" s="9"/>
      <c r="BA374" s="9"/>
      <c r="BC374" s="9"/>
      <c r="BE374" s="9"/>
      <c r="BF374" s="9"/>
      <c r="BG374" s="9"/>
    </row>
    <row r="375" spans="18:59">
      <c r="R375" s="9"/>
      <c r="S375" s="9"/>
      <c r="W375" s="9"/>
      <c r="X375" s="9"/>
      <c r="AE375" s="9"/>
      <c r="AF375" s="9"/>
      <c r="AU375" s="9"/>
      <c r="AV375" s="9"/>
      <c r="AW375" s="9"/>
      <c r="AX375" s="9"/>
      <c r="AY375" s="9"/>
      <c r="AZ375" s="9"/>
      <c r="BA375" s="9"/>
      <c r="BC375" s="9"/>
      <c r="BE375" s="9"/>
      <c r="BF375" s="9"/>
      <c r="BG375" s="9"/>
    </row>
    <row r="376" spans="18:59">
      <c r="R376" s="9"/>
      <c r="S376" s="9"/>
      <c r="W376" s="9"/>
      <c r="X376" s="9"/>
      <c r="AE376" s="9"/>
      <c r="AF376" s="9"/>
      <c r="AU376" s="9"/>
      <c r="AV376" s="9"/>
      <c r="AW376" s="9"/>
      <c r="AX376" s="9"/>
      <c r="AY376" s="9"/>
      <c r="AZ376" s="9"/>
      <c r="BA376" s="9"/>
      <c r="BC376" s="9"/>
      <c r="BE376" s="9"/>
      <c r="BF376" s="9"/>
      <c r="BG376" s="9"/>
    </row>
    <row r="377" spans="18:59">
      <c r="R377" s="9"/>
      <c r="S377" s="9"/>
      <c r="W377" s="9"/>
      <c r="X377" s="9"/>
      <c r="AE377" s="9"/>
      <c r="AF377" s="9"/>
      <c r="AU377" s="9"/>
      <c r="AV377" s="9"/>
      <c r="AW377" s="9"/>
      <c r="AX377" s="9"/>
      <c r="AY377" s="9"/>
      <c r="AZ377" s="9"/>
      <c r="BA377" s="9"/>
      <c r="BC377" s="9"/>
      <c r="BE377" s="9"/>
      <c r="BF377" s="9"/>
      <c r="BG377" s="9"/>
    </row>
    <row r="378" spans="18:59">
      <c r="R378" s="9"/>
      <c r="S378" s="9"/>
      <c r="W378" s="9"/>
      <c r="X378" s="9"/>
      <c r="AE378" s="9"/>
      <c r="AF378" s="9"/>
      <c r="AU378" s="9"/>
      <c r="AV378" s="9"/>
      <c r="AW378" s="9"/>
      <c r="AX378" s="9"/>
      <c r="AY378" s="9"/>
      <c r="AZ378" s="9"/>
      <c r="BA378" s="9"/>
      <c r="BC378" s="9"/>
      <c r="BE378" s="9"/>
      <c r="BF378" s="9"/>
      <c r="BG378" s="9"/>
    </row>
    <row r="379" spans="18:59">
      <c r="R379" s="9"/>
      <c r="S379" s="9"/>
      <c r="W379" s="9"/>
      <c r="X379" s="9"/>
      <c r="AE379" s="9"/>
      <c r="AF379" s="9"/>
      <c r="AU379" s="9"/>
      <c r="AV379" s="9"/>
      <c r="AW379" s="9"/>
      <c r="AX379" s="9"/>
      <c r="AY379" s="9"/>
      <c r="AZ379" s="9"/>
      <c r="BA379" s="9"/>
      <c r="BC379" s="9"/>
      <c r="BE379" s="9"/>
      <c r="BF379" s="9"/>
      <c r="BG379" s="9"/>
    </row>
    <row r="380" spans="18:59">
      <c r="R380" s="9"/>
      <c r="S380" s="9"/>
      <c r="W380" s="9"/>
      <c r="X380" s="9"/>
      <c r="AE380" s="9"/>
      <c r="AF380" s="9"/>
      <c r="AU380" s="9"/>
      <c r="AV380" s="9"/>
      <c r="AW380" s="9"/>
      <c r="AX380" s="9"/>
      <c r="AY380" s="9"/>
      <c r="AZ380" s="9"/>
      <c r="BA380" s="9"/>
      <c r="BC380" s="9"/>
      <c r="BE380" s="9"/>
      <c r="BF380" s="9"/>
      <c r="BG380" s="9"/>
    </row>
    <row r="381" spans="18:59">
      <c r="R381" s="9"/>
      <c r="S381" s="9"/>
      <c r="W381" s="9"/>
      <c r="X381" s="9"/>
      <c r="AE381" s="9"/>
      <c r="AF381" s="9"/>
      <c r="AU381" s="9"/>
      <c r="AV381" s="9"/>
      <c r="AW381" s="9"/>
      <c r="AX381" s="9"/>
      <c r="AY381" s="9"/>
      <c r="AZ381" s="9"/>
      <c r="BA381" s="9"/>
      <c r="BC381" s="9"/>
      <c r="BE381" s="9"/>
      <c r="BF381" s="9"/>
      <c r="BG381" s="9"/>
    </row>
    <row r="382" spans="18:59">
      <c r="R382" s="9"/>
      <c r="S382" s="9"/>
      <c r="W382" s="9"/>
      <c r="X382" s="9"/>
      <c r="AE382" s="9"/>
      <c r="AF382" s="9"/>
      <c r="AU382" s="9"/>
      <c r="AV382" s="9"/>
      <c r="AW382" s="9"/>
      <c r="AX382" s="9"/>
      <c r="AY382" s="9"/>
      <c r="AZ382" s="9"/>
      <c r="BA382" s="9"/>
      <c r="BC382" s="9"/>
      <c r="BE382" s="9"/>
      <c r="BF382" s="9"/>
      <c r="BG382" s="9"/>
    </row>
    <row r="383" spans="18:59">
      <c r="R383" s="9"/>
      <c r="S383" s="9"/>
      <c r="W383" s="9"/>
      <c r="X383" s="9"/>
      <c r="AE383" s="9"/>
      <c r="AF383" s="9"/>
      <c r="AU383" s="9"/>
      <c r="AV383" s="9"/>
      <c r="AW383" s="9"/>
      <c r="AX383" s="9"/>
      <c r="AY383" s="9"/>
      <c r="AZ383" s="9"/>
      <c r="BA383" s="9"/>
      <c r="BC383" s="9"/>
      <c r="BE383" s="9"/>
      <c r="BF383" s="9"/>
      <c r="BG383" s="9"/>
    </row>
    <row r="384" spans="18:59">
      <c r="R384" s="9"/>
      <c r="S384" s="9"/>
      <c r="W384" s="9"/>
      <c r="X384" s="9"/>
      <c r="AE384" s="9"/>
      <c r="AF384" s="9"/>
      <c r="AU384" s="9"/>
      <c r="AV384" s="9"/>
      <c r="AW384" s="9"/>
      <c r="AX384" s="9"/>
      <c r="AY384" s="9"/>
      <c r="AZ384" s="9"/>
      <c r="BA384" s="9"/>
      <c r="BC384" s="9"/>
      <c r="BE384" s="9"/>
      <c r="BF384" s="9"/>
      <c r="BG384" s="9"/>
    </row>
    <row r="385" spans="18:59">
      <c r="R385" s="9"/>
      <c r="S385" s="9"/>
      <c r="W385" s="9"/>
      <c r="X385" s="9"/>
      <c r="AE385" s="9"/>
      <c r="AF385" s="9"/>
      <c r="AU385" s="9"/>
      <c r="AV385" s="9"/>
      <c r="AW385" s="9"/>
      <c r="AX385" s="9"/>
      <c r="AY385" s="9"/>
      <c r="AZ385" s="9"/>
      <c r="BA385" s="9"/>
      <c r="BC385" s="9"/>
      <c r="BE385" s="9"/>
      <c r="BF385" s="9"/>
      <c r="BG385" s="9"/>
    </row>
    <row r="386" spans="18:59">
      <c r="R386" s="9"/>
      <c r="S386" s="9"/>
      <c r="W386" s="9"/>
      <c r="X386" s="9"/>
      <c r="AE386" s="9"/>
      <c r="AF386" s="9"/>
      <c r="AU386" s="9"/>
      <c r="AV386" s="9"/>
      <c r="AW386" s="9"/>
      <c r="AX386" s="9"/>
      <c r="AY386" s="9"/>
      <c r="AZ386" s="9"/>
      <c r="BA386" s="9"/>
      <c r="BC386" s="9"/>
      <c r="BE386" s="9"/>
      <c r="BF386" s="9"/>
      <c r="BG386" s="9"/>
    </row>
    <row r="387" spans="18:59">
      <c r="R387" s="9"/>
      <c r="S387" s="9"/>
      <c r="W387" s="9"/>
      <c r="X387" s="9"/>
      <c r="AE387" s="9"/>
      <c r="AF387" s="9"/>
      <c r="AU387" s="9"/>
      <c r="AV387" s="9"/>
      <c r="AW387" s="9"/>
      <c r="AX387" s="9"/>
      <c r="AY387" s="9"/>
      <c r="AZ387" s="9"/>
      <c r="BA387" s="9"/>
      <c r="BC387" s="9"/>
      <c r="BE387" s="9"/>
      <c r="BF387" s="9"/>
      <c r="BG387" s="9"/>
    </row>
    <row r="388" spans="18:59">
      <c r="R388" s="9"/>
      <c r="S388" s="9"/>
      <c r="W388" s="9"/>
      <c r="X388" s="9"/>
      <c r="AE388" s="9"/>
      <c r="AF388" s="9"/>
      <c r="AU388" s="9"/>
      <c r="AV388" s="9"/>
      <c r="AW388" s="9"/>
      <c r="AX388" s="9"/>
      <c r="AY388" s="9"/>
      <c r="AZ388" s="9"/>
      <c r="BA388" s="9"/>
      <c r="BC388" s="9"/>
      <c r="BE388" s="9"/>
      <c r="BF388" s="9"/>
      <c r="BG388" s="9"/>
    </row>
    <row r="389" spans="18:59">
      <c r="R389" s="9"/>
      <c r="S389" s="9"/>
      <c r="W389" s="9"/>
      <c r="X389" s="9"/>
      <c r="AE389" s="9"/>
      <c r="AF389" s="9"/>
      <c r="AU389" s="9"/>
      <c r="AV389" s="9"/>
      <c r="AW389" s="9"/>
      <c r="AX389" s="9"/>
      <c r="AY389" s="9"/>
      <c r="AZ389" s="9"/>
      <c r="BA389" s="9"/>
      <c r="BC389" s="9"/>
      <c r="BE389" s="9"/>
      <c r="BF389" s="9"/>
      <c r="BG389" s="9"/>
    </row>
    <row r="390" spans="18:59">
      <c r="R390" s="9"/>
      <c r="S390" s="9"/>
      <c r="W390" s="9"/>
      <c r="X390" s="9"/>
      <c r="AE390" s="9"/>
      <c r="AF390" s="9"/>
      <c r="AU390" s="9"/>
      <c r="AV390" s="9"/>
      <c r="AW390" s="9"/>
      <c r="AX390" s="9"/>
      <c r="AY390" s="9"/>
      <c r="AZ390" s="9"/>
      <c r="BA390" s="9"/>
      <c r="BC390" s="9"/>
      <c r="BE390" s="9"/>
      <c r="BF390" s="9"/>
      <c r="BG390" s="9"/>
    </row>
    <row r="391" spans="18:59">
      <c r="R391" s="9"/>
      <c r="S391" s="9"/>
      <c r="W391" s="9"/>
      <c r="X391" s="9"/>
      <c r="AE391" s="9"/>
      <c r="AF391" s="9"/>
      <c r="AU391" s="9"/>
      <c r="AV391" s="9"/>
      <c r="AW391" s="9"/>
      <c r="AX391" s="9"/>
      <c r="AY391" s="9"/>
      <c r="AZ391" s="9"/>
      <c r="BA391" s="9"/>
      <c r="BC391" s="9"/>
      <c r="BE391" s="9"/>
      <c r="BF391" s="9"/>
      <c r="BG391" s="9"/>
    </row>
    <row r="392" spans="18:59">
      <c r="R392" s="9"/>
      <c r="S392" s="9"/>
      <c r="W392" s="9"/>
      <c r="X392" s="9"/>
      <c r="AE392" s="9"/>
      <c r="AF392" s="9"/>
      <c r="AU392" s="9"/>
      <c r="AV392" s="9"/>
      <c r="AW392" s="9"/>
      <c r="AX392" s="9"/>
      <c r="AY392" s="9"/>
      <c r="AZ392" s="9"/>
      <c r="BA392" s="9"/>
      <c r="BC392" s="9"/>
      <c r="BE392" s="9"/>
      <c r="BF392" s="9"/>
      <c r="BG392" s="9"/>
    </row>
    <row r="393" spans="18:59">
      <c r="R393" s="9"/>
      <c r="S393" s="9"/>
      <c r="W393" s="9"/>
      <c r="X393" s="9"/>
      <c r="AE393" s="9"/>
      <c r="AF393" s="9"/>
      <c r="AU393" s="9"/>
      <c r="AV393" s="9"/>
      <c r="AW393" s="9"/>
      <c r="AX393" s="9"/>
      <c r="AY393" s="9"/>
      <c r="AZ393" s="9"/>
      <c r="BA393" s="9"/>
      <c r="BC393" s="9"/>
      <c r="BE393" s="9"/>
      <c r="BF393" s="9"/>
      <c r="BG393" s="9"/>
    </row>
    <row r="394" spans="18:59">
      <c r="R394" s="9"/>
      <c r="S394" s="9"/>
      <c r="W394" s="9"/>
      <c r="X394" s="9"/>
      <c r="AE394" s="9"/>
      <c r="AF394" s="9"/>
      <c r="AU394" s="9"/>
      <c r="AV394" s="9"/>
      <c r="AW394" s="9"/>
      <c r="AX394" s="9"/>
      <c r="AY394" s="9"/>
      <c r="AZ394" s="9"/>
      <c r="BA394" s="9"/>
      <c r="BC394" s="9"/>
      <c r="BE394" s="9"/>
      <c r="BF394" s="9"/>
      <c r="BG394" s="9"/>
    </row>
    <row r="395" spans="18:59">
      <c r="R395" s="9"/>
      <c r="S395" s="9"/>
      <c r="W395" s="9"/>
      <c r="X395" s="9"/>
      <c r="AE395" s="9"/>
      <c r="AF395" s="9"/>
      <c r="AU395" s="9"/>
      <c r="AV395" s="9"/>
      <c r="AW395" s="9"/>
      <c r="AX395" s="9"/>
      <c r="AY395" s="9"/>
      <c r="AZ395" s="9"/>
      <c r="BA395" s="9"/>
      <c r="BC395" s="9"/>
      <c r="BE395" s="9"/>
      <c r="BF395" s="9"/>
      <c r="BG395" s="9"/>
    </row>
    <row r="396" spans="18:59">
      <c r="R396" s="9"/>
      <c r="S396" s="9"/>
      <c r="W396" s="9"/>
      <c r="X396" s="9"/>
      <c r="AE396" s="9"/>
      <c r="AF396" s="9"/>
      <c r="AU396" s="9"/>
      <c r="AV396" s="9"/>
      <c r="AW396" s="9"/>
      <c r="AX396" s="9"/>
      <c r="AY396" s="9"/>
      <c r="AZ396" s="9"/>
      <c r="BA396" s="9"/>
      <c r="BC396" s="9"/>
      <c r="BE396" s="9"/>
      <c r="BF396" s="9"/>
      <c r="BG396" s="9"/>
    </row>
    <row r="397" spans="18:59">
      <c r="R397" s="9"/>
      <c r="S397" s="9"/>
      <c r="W397" s="9"/>
      <c r="X397" s="9"/>
      <c r="AE397" s="9"/>
      <c r="AF397" s="9"/>
      <c r="AU397" s="9"/>
      <c r="AV397" s="9"/>
      <c r="AW397" s="9"/>
      <c r="AX397" s="9"/>
      <c r="AY397" s="9"/>
      <c r="AZ397" s="9"/>
      <c r="BA397" s="9"/>
      <c r="BC397" s="9"/>
      <c r="BE397" s="9"/>
      <c r="BF397" s="9"/>
      <c r="BG397" s="9"/>
    </row>
    <row r="398" spans="18:59">
      <c r="R398" s="9"/>
      <c r="S398" s="9"/>
      <c r="W398" s="9"/>
      <c r="X398" s="9"/>
      <c r="AE398" s="9"/>
      <c r="AF398" s="9"/>
      <c r="AU398" s="9"/>
      <c r="AV398" s="9"/>
      <c r="AW398" s="9"/>
      <c r="AX398" s="9"/>
      <c r="AY398" s="9"/>
      <c r="AZ398" s="9"/>
      <c r="BA398" s="9"/>
      <c r="BC398" s="9"/>
      <c r="BE398" s="9"/>
      <c r="BF398" s="9"/>
      <c r="BG398" s="9"/>
    </row>
    <row r="399" spans="18:59">
      <c r="R399" s="9"/>
      <c r="S399" s="9"/>
      <c r="W399" s="9"/>
      <c r="X399" s="9"/>
      <c r="AE399" s="9"/>
      <c r="AF399" s="9"/>
      <c r="AU399" s="9"/>
      <c r="AV399" s="9"/>
      <c r="AW399" s="9"/>
      <c r="AX399" s="9"/>
      <c r="AY399" s="9"/>
      <c r="AZ399" s="9"/>
      <c r="BA399" s="9"/>
      <c r="BC399" s="9"/>
      <c r="BE399" s="9"/>
      <c r="BF399" s="9"/>
      <c r="BG399" s="9"/>
    </row>
    <row r="400" spans="18:59">
      <c r="R400" s="9"/>
      <c r="S400" s="9"/>
      <c r="W400" s="9"/>
      <c r="X400" s="9"/>
      <c r="AE400" s="9"/>
      <c r="AF400" s="9"/>
      <c r="AU400" s="9"/>
      <c r="AV400" s="9"/>
      <c r="AW400" s="9"/>
      <c r="AX400" s="9"/>
      <c r="AY400" s="9"/>
      <c r="AZ400" s="9"/>
      <c r="BA400" s="9"/>
      <c r="BC400" s="9"/>
      <c r="BE400" s="9"/>
      <c r="BF400" s="9"/>
      <c r="BG400" s="9"/>
    </row>
    <row r="401" spans="18:59">
      <c r="R401" s="9"/>
      <c r="S401" s="9"/>
      <c r="W401" s="9"/>
      <c r="X401" s="9"/>
      <c r="AE401" s="9"/>
      <c r="AF401" s="9"/>
      <c r="AU401" s="9"/>
      <c r="AV401" s="9"/>
      <c r="AW401" s="9"/>
      <c r="AX401" s="9"/>
      <c r="AY401" s="9"/>
      <c r="AZ401" s="9"/>
      <c r="BA401" s="9"/>
      <c r="BC401" s="9"/>
      <c r="BE401" s="9"/>
      <c r="BF401" s="9"/>
      <c r="BG401" s="9"/>
    </row>
    <row r="402" spans="18:59">
      <c r="R402" s="9"/>
      <c r="S402" s="9"/>
      <c r="W402" s="9"/>
      <c r="X402" s="9"/>
      <c r="AE402" s="9"/>
      <c r="AF402" s="9"/>
      <c r="AU402" s="9"/>
      <c r="AV402" s="9"/>
      <c r="AW402" s="9"/>
      <c r="AX402" s="9"/>
      <c r="AY402" s="9"/>
      <c r="AZ402" s="9"/>
      <c r="BA402" s="9"/>
      <c r="BC402" s="9"/>
      <c r="BE402" s="9"/>
      <c r="BF402" s="9"/>
      <c r="BG402" s="9"/>
    </row>
    <row r="403" spans="18:59">
      <c r="R403" s="9"/>
      <c r="S403" s="9"/>
      <c r="W403" s="9"/>
      <c r="X403" s="9"/>
      <c r="AE403" s="9"/>
      <c r="AF403" s="9"/>
      <c r="AU403" s="9"/>
      <c r="AV403" s="9"/>
      <c r="AW403" s="9"/>
      <c r="AX403" s="9"/>
      <c r="AY403" s="9"/>
      <c r="AZ403" s="9"/>
      <c r="BA403" s="9"/>
      <c r="BC403" s="9"/>
      <c r="BE403" s="9"/>
      <c r="BF403" s="9"/>
      <c r="BG403" s="9"/>
    </row>
    <row r="404" spans="18:59">
      <c r="R404" s="9"/>
      <c r="S404" s="9"/>
      <c r="W404" s="9"/>
      <c r="X404" s="9"/>
      <c r="AE404" s="9"/>
      <c r="AF404" s="9"/>
      <c r="AU404" s="9"/>
      <c r="AV404" s="9"/>
      <c r="AW404" s="9"/>
      <c r="AX404" s="9"/>
      <c r="AY404" s="9"/>
      <c r="AZ404" s="9"/>
      <c r="BA404" s="9"/>
      <c r="BC404" s="9"/>
      <c r="BE404" s="9"/>
      <c r="BF404" s="9"/>
      <c r="BG404" s="9"/>
    </row>
    <row r="405" spans="18:59">
      <c r="R405" s="9"/>
      <c r="S405" s="9"/>
      <c r="W405" s="9"/>
      <c r="X405" s="9"/>
      <c r="AE405" s="9"/>
      <c r="AF405" s="9"/>
      <c r="AU405" s="9"/>
      <c r="AV405" s="9"/>
      <c r="AW405" s="9"/>
      <c r="AX405" s="9"/>
      <c r="AY405" s="9"/>
      <c r="AZ405" s="9"/>
      <c r="BA405" s="9"/>
      <c r="BC405" s="9"/>
      <c r="BE405" s="9"/>
      <c r="BF405" s="9"/>
      <c r="BG405" s="9"/>
    </row>
    <row r="406" spans="18:59">
      <c r="R406" s="9"/>
      <c r="S406" s="9"/>
      <c r="W406" s="9"/>
      <c r="X406" s="9"/>
      <c r="AE406" s="9"/>
      <c r="AF406" s="9"/>
      <c r="AU406" s="9"/>
      <c r="AV406" s="9"/>
      <c r="AW406" s="9"/>
      <c r="AX406" s="9"/>
      <c r="AY406" s="9"/>
      <c r="AZ406" s="9"/>
      <c r="BA406" s="9"/>
      <c r="BC406" s="9"/>
      <c r="BE406" s="9"/>
      <c r="BF406" s="9"/>
      <c r="BG406" s="9"/>
    </row>
    <row r="407" spans="18:59">
      <c r="R407" s="9"/>
      <c r="S407" s="9"/>
      <c r="W407" s="9"/>
      <c r="X407" s="9"/>
      <c r="AE407" s="9"/>
      <c r="AF407" s="9"/>
      <c r="AU407" s="9"/>
      <c r="AV407" s="9"/>
      <c r="AW407" s="9"/>
      <c r="AX407" s="9"/>
      <c r="AY407" s="9"/>
      <c r="AZ407" s="9"/>
      <c r="BA407" s="9"/>
      <c r="BC407" s="9"/>
      <c r="BE407" s="9"/>
      <c r="BF407" s="9"/>
      <c r="BG407" s="9"/>
    </row>
    <row r="408" spans="18:59">
      <c r="R408" s="9"/>
      <c r="S408" s="9"/>
      <c r="W408" s="9"/>
      <c r="X408" s="9"/>
      <c r="AE408" s="9"/>
      <c r="AF408" s="9"/>
      <c r="AU408" s="9"/>
      <c r="AV408" s="9"/>
      <c r="AW408" s="9"/>
      <c r="AX408" s="9"/>
      <c r="AY408" s="9"/>
      <c r="AZ408" s="9"/>
      <c r="BA408" s="9"/>
      <c r="BC408" s="9"/>
      <c r="BE408" s="9"/>
      <c r="BF408" s="9"/>
      <c r="BG408" s="9"/>
    </row>
    <row r="409" spans="18:59">
      <c r="R409" s="9"/>
      <c r="S409" s="9"/>
      <c r="W409" s="9"/>
      <c r="X409" s="9"/>
      <c r="AE409" s="9"/>
      <c r="AF409" s="9"/>
      <c r="AU409" s="9"/>
      <c r="AV409" s="9"/>
      <c r="AW409" s="9"/>
      <c r="AX409" s="9"/>
      <c r="AY409" s="9"/>
      <c r="AZ409" s="9"/>
      <c r="BA409" s="9"/>
      <c r="BC409" s="9"/>
      <c r="BE409" s="9"/>
      <c r="BF409" s="9"/>
      <c r="BG409" s="9"/>
    </row>
    <row r="410" spans="18:59">
      <c r="R410" s="9"/>
      <c r="S410" s="9"/>
      <c r="W410" s="9"/>
      <c r="X410" s="9"/>
      <c r="AE410" s="9"/>
      <c r="AF410" s="9"/>
      <c r="AU410" s="9"/>
      <c r="AV410" s="9"/>
      <c r="AW410" s="9"/>
      <c r="AX410" s="9"/>
      <c r="AY410" s="9"/>
      <c r="AZ410" s="9"/>
      <c r="BA410" s="9"/>
      <c r="BC410" s="9"/>
      <c r="BE410" s="9"/>
      <c r="BF410" s="9"/>
      <c r="BG410" s="9"/>
    </row>
    <row r="411" spans="18:59">
      <c r="R411" s="9"/>
      <c r="S411" s="9"/>
      <c r="W411" s="9"/>
      <c r="X411" s="9"/>
      <c r="AE411" s="9"/>
      <c r="AF411" s="9"/>
      <c r="AU411" s="9"/>
      <c r="AV411" s="9"/>
      <c r="AW411" s="9"/>
      <c r="AX411" s="9"/>
      <c r="AY411" s="9"/>
      <c r="AZ411" s="9"/>
      <c r="BA411" s="9"/>
      <c r="BC411" s="9"/>
      <c r="BE411" s="9"/>
      <c r="BF411" s="9"/>
      <c r="BG411" s="9"/>
    </row>
    <row r="412" spans="18:59">
      <c r="R412" s="9"/>
      <c r="S412" s="9"/>
      <c r="W412" s="9"/>
      <c r="X412" s="9"/>
      <c r="AE412" s="9"/>
      <c r="AF412" s="9"/>
      <c r="AU412" s="9"/>
      <c r="AV412" s="9"/>
      <c r="AW412" s="9"/>
      <c r="AX412" s="9"/>
      <c r="AY412" s="9"/>
      <c r="AZ412" s="9"/>
      <c r="BA412" s="9"/>
      <c r="BC412" s="9"/>
      <c r="BE412" s="9"/>
      <c r="BF412" s="9"/>
      <c r="BG412" s="9"/>
    </row>
    <row r="413" spans="18:59">
      <c r="R413" s="9"/>
      <c r="S413" s="9"/>
      <c r="W413" s="9"/>
      <c r="X413" s="9"/>
      <c r="AE413" s="9"/>
      <c r="AF413" s="9"/>
      <c r="AU413" s="9"/>
      <c r="AV413" s="9"/>
      <c r="AW413" s="9"/>
      <c r="AX413" s="9"/>
      <c r="AY413" s="9"/>
      <c r="AZ413" s="9"/>
      <c r="BA413" s="9"/>
      <c r="BC413" s="9"/>
      <c r="BE413" s="9"/>
      <c r="BF413" s="9"/>
      <c r="BG413" s="9"/>
    </row>
    <row r="414" spans="18:59">
      <c r="R414" s="9"/>
      <c r="S414" s="9"/>
      <c r="W414" s="9"/>
      <c r="X414" s="9"/>
      <c r="AE414" s="9"/>
      <c r="AF414" s="9"/>
      <c r="AU414" s="9"/>
      <c r="AV414" s="9"/>
      <c r="AW414" s="9"/>
      <c r="AX414" s="9"/>
      <c r="AY414" s="9"/>
      <c r="AZ414" s="9"/>
      <c r="BA414" s="9"/>
      <c r="BC414" s="9"/>
      <c r="BE414" s="9"/>
      <c r="BF414" s="9"/>
      <c r="BG414" s="9"/>
    </row>
    <row r="415" spans="18:59">
      <c r="R415" s="9"/>
      <c r="S415" s="9"/>
      <c r="W415" s="9"/>
      <c r="X415" s="9"/>
      <c r="AE415" s="9"/>
      <c r="AF415" s="9"/>
      <c r="AU415" s="9"/>
      <c r="AV415" s="9"/>
      <c r="AW415" s="9"/>
      <c r="AX415" s="9"/>
      <c r="AY415" s="9"/>
      <c r="AZ415" s="9"/>
      <c r="BA415" s="9"/>
      <c r="BC415" s="9"/>
      <c r="BE415" s="9"/>
      <c r="BF415" s="9"/>
      <c r="BG415" s="9"/>
    </row>
    <row r="416" spans="18:59">
      <c r="R416" s="9"/>
      <c r="S416" s="9"/>
      <c r="W416" s="9"/>
      <c r="X416" s="9"/>
      <c r="AE416" s="9"/>
      <c r="AF416" s="9"/>
      <c r="AU416" s="9"/>
      <c r="AV416" s="9"/>
      <c r="AW416" s="9"/>
      <c r="AX416" s="9"/>
      <c r="AY416" s="9"/>
      <c r="AZ416" s="9"/>
      <c r="BA416" s="9"/>
      <c r="BC416" s="9"/>
      <c r="BE416" s="9"/>
      <c r="BF416" s="9"/>
      <c r="BG416" s="9"/>
    </row>
    <row r="417" spans="18:59">
      <c r="R417" s="9"/>
      <c r="S417" s="9"/>
      <c r="W417" s="9"/>
      <c r="X417" s="9"/>
      <c r="AE417" s="9"/>
      <c r="AF417" s="9"/>
      <c r="AU417" s="9"/>
      <c r="AV417" s="9"/>
      <c r="AW417" s="9"/>
      <c r="AX417" s="9"/>
      <c r="AY417" s="9"/>
      <c r="AZ417" s="9"/>
      <c r="BA417" s="9"/>
      <c r="BC417" s="9"/>
      <c r="BE417" s="9"/>
      <c r="BF417" s="9"/>
      <c r="BG417" s="9"/>
    </row>
    <row r="418" spans="18:59">
      <c r="R418" s="9"/>
      <c r="S418" s="9"/>
      <c r="W418" s="9"/>
      <c r="X418" s="9"/>
      <c r="AE418" s="9"/>
      <c r="AF418" s="9"/>
      <c r="AU418" s="9"/>
      <c r="AV418" s="9"/>
      <c r="AW418" s="9"/>
      <c r="AX418" s="9"/>
      <c r="AY418" s="9"/>
      <c r="AZ418" s="9"/>
      <c r="BA418" s="9"/>
      <c r="BC418" s="9"/>
      <c r="BE418" s="9"/>
      <c r="BF418" s="9"/>
      <c r="BG418" s="9"/>
    </row>
    <row r="419" spans="18:59">
      <c r="R419" s="9"/>
      <c r="S419" s="9"/>
      <c r="W419" s="9"/>
      <c r="X419" s="9"/>
      <c r="AE419" s="9"/>
      <c r="AF419" s="9"/>
      <c r="AU419" s="9"/>
      <c r="AV419" s="9"/>
      <c r="AW419" s="9"/>
      <c r="AX419" s="9"/>
      <c r="AY419" s="9"/>
      <c r="AZ419" s="9"/>
      <c r="BA419" s="9"/>
      <c r="BC419" s="9"/>
      <c r="BE419" s="9"/>
      <c r="BF419" s="9"/>
      <c r="BG419" s="9"/>
    </row>
    <row r="420" spans="18:59">
      <c r="R420" s="9"/>
      <c r="S420" s="9"/>
      <c r="W420" s="9"/>
      <c r="X420" s="9"/>
      <c r="AE420" s="9"/>
      <c r="AF420" s="9"/>
      <c r="AU420" s="9"/>
      <c r="AV420" s="9"/>
      <c r="AW420" s="9"/>
      <c r="AX420" s="9"/>
      <c r="AY420" s="9"/>
      <c r="AZ420" s="9"/>
      <c r="BA420" s="9"/>
      <c r="BC420" s="9"/>
      <c r="BE420" s="9"/>
      <c r="BF420" s="9"/>
      <c r="BG420" s="9"/>
    </row>
    <row r="421" spans="18:59">
      <c r="R421" s="9"/>
      <c r="S421" s="9"/>
      <c r="W421" s="9"/>
      <c r="X421" s="9"/>
      <c r="AE421" s="9"/>
      <c r="AF421" s="9"/>
      <c r="AU421" s="9"/>
      <c r="AV421" s="9"/>
      <c r="AW421" s="9"/>
      <c r="AX421" s="9"/>
      <c r="AY421" s="9"/>
      <c r="AZ421" s="9"/>
      <c r="BA421" s="9"/>
      <c r="BC421" s="9"/>
      <c r="BE421" s="9"/>
      <c r="BF421" s="9"/>
      <c r="BG421" s="9"/>
    </row>
    <row r="422" spans="18:59">
      <c r="R422" s="9"/>
      <c r="S422" s="9"/>
      <c r="W422" s="9"/>
      <c r="X422" s="9"/>
      <c r="AE422" s="9"/>
      <c r="AF422" s="9"/>
      <c r="AU422" s="9"/>
      <c r="AV422" s="9"/>
      <c r="AW422" s="9"/>
      <c r="AX422" s="9"/>
      <c r="AY422" s="9"/>
      <c r="AZ422" s="9"/>
      <c r="BA422" s="9"/>
      <c r="BC422" s="9"/>
      <c r="BE422" s="9"/>
      <c r="BF422" s="9"/>
      <c r="BG422" s="9"/>
    </row>
    <row r="423" spans="18:59">
      <c r="R423" s="9"/>
      <c r="S423" s="9"/>
      <c r="W423" s="9"/>
      <c r="X423" s="9"/>
      <c r="AE423" s="9"/>
      <c r="AF423" s="9"/>
      <c r="AU423" s="9"/>
      <c r="AV423" s="9"/>
      <c r="AW423" s="9"/>
      <c r="AX423" s="9"/>
      <c r="AY423" s="9"/>
      <c r="AZ423" s="9"/>
      <c r="BA423" s="9"/>
      <c r="BC423" s="9"/>
      <c r="BE423" s="9"/>
      <c r="BF423" s="9"/>
      <c r="BG423" s="9"/>
    </row>
    <row r="424" spans="18:59">
      <c r="R424" s="9"/>
      <c r="S424" s="9"/>
      <c r="W424" s="9"/>
      <c r="X424" s="9"/>
      <c r="AE424" s="9"/>
      <c r="AF424" s="9"/>
      <c r="AU424" s="9"/>
      <c r="AV424" s="9"/>
      <c r="AW424" s="9"/>
      <c r="AX424" s="9"/>
      <c r="AY424" s="9"/>
      <c r="AZ424" s="9"/>
      <c r="BA424" s="9"/>
      <c r="BC424" s="9"/>
      <c r="BE424" s="9"/>
      <c r="BF424" s="9"/>
      <c r="BG424" s="9"/>
    </row>
    <row r="425" spans="18:59">
      <c r="R425" s="9"/>
      <c r="S425" s="9"/>
      <c r="W425" s="9"/>
      <c r="X425" s="9"/>
      <c r="AE425" s="9"/>
      <c r="AF425" s="9"/>
      <c r="AU425" s="9"/>
      <c r="AV425" s="9"/>
      <c r="AW425" s="9"/>
      <c r="AX425" s="9"/>
      <c r="AY425" s="9"/>
      <c r="AZ425" s="9"/>
      <c r="BA425" s="9"/>
      <c r="BC425" s="9"/>
      <c r="BE425" s="9"/>
      <c r="BF425" s="9"/>
      <c r="BG425" s="9"/>
    </row>
    <row r="426" spans="18:59">
      <c r="R426" s="9"/>
      <c r="S426" s="9"/>
      <c r="W426" s="9"/>
      <c r="X426" s="9"/>
      <c r="AE426" s="9"/>
      <c r="AF426" s="9"/>
      <c r="AU426" s="9"/>
      <c r="AV426" s="9"/>
      <c r="AW426" s="9"/>
      <c r="AX426" s="9"/>
      <c r="AY426" s="9"/>
      <c r="AZ426" s="9"/>
      <c r="BA426" s="9"/>
      <c r="BC426" s="9"/>
      <c r="BE426" s="9"/>
      <c r="BF426" s="9"/>
      <c r="BG426" s="9"/>
    </row>
    <row r="427" spans="18:59">
      <c r="R427" s="9"/>
      <c r="S427" s="9"/>
      <c r="W427" s="9"/>
      <c r="X427" s="9"/>
      <c r="AE427" s="9"/>
      <c r="AF427" s="9"/>
      <c r="AU427" s="9"/>
      <c r="AV427" s="9"/>
      <c r="AW427" s="9"/>
      <c r="AX427" s="9"/>
      <c r="AY427" s="9"/>
      <c r="AZ427" s="9"/>
      <c r="BA427" s="9"/>
      <c r="BC427" s="9"/>
      <c r="BE427" s="9"/>
      <c r="BF427" s="9"/>
      <c r="BG427" s="9"/>
    </row>
    <row r="428" spans="18:59">
      <c r="R428" s="9"/>
      <c r="S428" s="9"/>
      <c r="W428" s="9"/>
      <c r="X428" s="9"/>
      <c r="AE428" s="9"/>
      <c r="AF428" s="9"/>
      <c r="AU428" s="9"/>
      <c r="AV428" s="9"/>
      <c r="AW428" s="9"/>
      <c r="AX428" s="9"/>
      <c r="AY428" s="9"/>
      <c r="AZ428" s="9"/>
      <c r="BA428" s="9"/>
      <c r="BC428" s="9"/>
      <c r="BE428" s="9"/>
      <c r="BF428" s="9"/>
      <c r="BG428" s="9"/>
    </row>
    <row r="429" spans="18:59">
      <c r="R429" s="9"/>
      <c r="S429" s="9"/>
      <c r="W429" s="9"/>
      <c r="X429" s="9"/>
      <c r="AE429" s="9"/>
      <c r="AF429" s="9"/>
      <c r="AU429" s="9"/>
      <c r="AV429" s="9"/>
      <c r="AW429" s="9"/>
      <c r="AX429" s="9"/>
      <c r="AY429" s="9"/>
      <c r="AZ429" s="9"/>
      <c r="BA429" s="9"/>
      <c r="BC429" s="9"/>
      <c r="BE429" s="9"/>
      <c r="BF429" s="9"/>
      <c r="BG429" s="9"/>
    </row>
    <row r="430" spans="18:59">
      <c r="R430" s="9"/>
      <c r="S430" s="9"/>
      <c r="W430" s="9"/>
      <c r="X430" s="9"/>
      <c r="AE430" s="9"/>
      <c r="AF430" s="9"/>
      <c r="AU430" s="9"/>
      <c r="AV430" s="9"/>
      <c r="AW430" s="9"/>
      <c r="AX430" s="9"/>
      <c r="AY430" s="9"/>
      <c r="AZ430" s="9"/>
      <c r="BA430" s="9"/>
      <c r="BC430" s="9"/>
      <c r="BE430" s="9"/>
      <c r="BF430" s="9"/>
      <c r="BG430" s="9"/>
    </row>
    <row r="431" spans="18:59">
      <c r="R431" s="9"/>
      <c r="S431" s="9"/>
      <c r="W431" s="9"/>
      <c r="X431" s="9"/>
      <c r="AE431" s="9"/>
      <c r="AF431" s="9"/>
      <c r="AU431" s="9"/>
      <c r="AV431" s="9"/>
      <c r="AW431" s="9"/>
      <c r="AX431" s="9"/>
      <c r="AY431" s="9"/>
      <c r="AZ431" s="9"/>
      <c r="BA431" s="9"/>
      <c r="BC431" s="9"/>
      <c r="BE431" s="9"/>
      <c r="BF431" s="9"/>
      <c r="BG431" s="9"/>
    </row>
    <row r="432" spans="18:59">
      <c r="R432" s="9"/>
      <c r="S432" s="9"/>
      <c r="W432" s="9"/>
      <c r="X432" s="9"/>
      <c r="AE432" s="9"/>
      <c r="AF432" s="9"/>
      <c r="AU432" s="9"/>
      <c r="AV432" s="9"/>
      <c r="AW432" s="9"/>
      <c r="AX432" s="9"/>
      <c r="AY432" s="9"/>
      <c r="AZ432" s="9"/>
      <c r="BA432" s="9"/>
      <c r="BC432" s="9"/>
      <c r="BE432" s="9"/>
      <c r="BF432" s="9"/>
      <c r="BG432" s="9"/>
    </row>
    <row r="433" spans="18:59">
      <c r="R433" s="9"/>
      <c r="S433" s="9"/>
      <c r="W433" s="9"/>
      <c r="X433" s="9"/>
      <c r="AE433" s="9"/>
      <c r="AF433" s="9"/>
      <c r="AU433" s="9"/>
      <c r="AV433" s="9"/>
      <c r="AW433" s="9"/>
      <c r="AX433" s="9"/>
      <c r="AY433" s="9"/>
      <c r="AZ433" s="9"/>
      <c r="BA433" s="9"/>
      <c r="BC433" s="9"/>
      <c r="BE433" s="9"/>
      <c r="BF433" s="9"/>
      <c r="BG433" s="9"/>
    </row>
    <row r="434" spans="18:59">
      <c r="R434" s="9"/>
      <c r="S434" s="9"/>
      <c r="W434" s="9"/>
      <c r="X434" s="9"/>
      <c r="AE434" s="9"/>
      <c r="AF434" s="9"/>
      <c r="AU434" s="9"/>
      <c r="AV434" s="9"/>
      <c r="AW434" s="9"/>
      <c r="AX434" s="9"/>
      <c r="AY434" s="9"/>
      <c r="AZ434" s="9"/>
      <c r="BA434" s="9"/>
      <c r="BC434" s="9"/>
      <c r="BE434" s="9"/>
      <c r="BF434" s="9"/>
      <c r="BG434" s="9"/>
    </row>
    <row r="435" spans="18:59">
      <c r="R435" s="9"/>
      <c r="S435" s="9"/>
      <c r="W435" s="9"/>
      <c r="X435" s="9"/>
      <c r="AE435" s="9"/>
      <c r="AF435" s="9"/>
      <c r="AU435" s="9"/>
      <c r="AV435" s="9"/>
      <c r="AW435" s="9"/>
      <c r="AX435" s="9"/>
      <c r="AY435" s="9"/>
      <c r="AZ435" s="9"/>
      <c r="BA435" s="9"/>
      <c r="BC435" s="9"/>
      <c r="BE435" s="9"/>
      <c r="BF435" s="9"/>
      <c r="BG435" s="9"/>
    </row>
    <row r="436" spans="18:59">
      <c r="R436" s="9"/>
      <c r="S436" s="9"/>
      <c r="W436" s="9"/>
      <c r="X436" s="9"/>
      <c r="AE436" s="9"/>
      <c r="AF436" s="9"/>
      <c r="AU436" s="9"/>
      <c r="AV436" s="9"/>
      <c r="AW436" s="9"/>
      <c r="AX436" s="9"/>
      <c r="AY436" s="9"/>
      <c r="AZ436" s="9"/>
      <c r="BA436" s="9"/>
      <c r="BC436" s="9"/>
      <c r="BE436" s="9"/>
      <c r="BF436" s="9"/>
      <c r="BG436" s="9"/>
    </row>
    <row r="437" spans="18:59">
      <c r="R437" s="9"/>
      <c r="S437" s="9"/>
      <c r="W437" s="9"/>
      <c r="X437" s="9"/>
      <c r="AE437" s="9"/>
      <c r="AF437" s="9"/>
      <c r="AU437" s="9"/>
      <c r="AV437" s="9"/>
      <c r="AW437" s="9"/>
      <c r="AX437" s="9"/>
      <c r="AY437" s="9"/>
      <c r="AZ437" s="9"/>
      <c r="BA437" s="9"/>
      <c r="BC437" s="9"/>
      <c r="BE437" s="9"/>
      <c r="BF437" s="9"/>
      <c r="BG437" s="9"/>
    </row>
    <row r="438" spans="18:59">
      <c r="R438" s="9"/>
      <c r="S438" s="9"/>
      <c r="W438" s="9"/>
      <c r="X438" s="9"/>
      <c r="AE438" s="9"/>
      <c r="AF438" s="9"/>
      <c r="AU438" s="9"/>
      <c r="AV438" s="9"/>
      <c r="AW438" s="9"/>
      <c r="AX438" s="9"/>
      <c r="AY438" s="9"/>
      <c r="AZ438" s="9"/>
      <c r="BA438" s="9"/>
      <c r="BC438" s="9"/>
      <c r="BE438" s="9"/>
      <c r="BF438" s="9"/>
      <c r="BG438" s="9"/>
    </row>
    <row r="439" spans="18:59">
      <c r="R439" s="9"/>
      <c r="S439" s="9"/>
      <c r="W439" s="9"/>
      <c r="X439" s="9"/>
      <c r="AE439" s="9"/>
      <c r="AF439" s="9"/>
      <c r="AU439" s="9"/>
      <c r="AV439" s="9"/>
      <c r="AW439" s="9"/>
      <c r="AX439" s="9"/>
      <c r="AY439" s="9"/>
      <c r="AZ439" s="9"/>
      <c r="BA439" s="9"/>
      <c r="BC439" s="9"/>
      <c r="BE439" s="9"/>
      <c r="BF439" s="9"/>
      <c r="BG439" s="9"/>
    </row>
    <row r="440" spans="18:59">
      <c r="R440" s="9"/>
      <c r="S440" s="9"/>
      <c r="W440" s="9"/>
      <c r="X440" s="9"/>
      <c r="AE440" s="9"/>
      <c r="AF440" s="9"/>
      <c r="AU440" s="9"/>
      <c r="AV440" s="9"/>
      <c r="AW440" s="9"/>
      <c r="AX440" s="9"/>
      <c r="AY440" s="9"/>
      <c r="AZ440" s="9"/>
      <c r="BA440" s="9"/>
      <c r="BC440" s="9"/>
      <c r="BE440" s="9"/>
      <c r="BF440" s="9"/>
      <c r="BG440" s="9"/>
    </row>
    <row r="441" spans="18:59">
      <c r="R441" s="9"/>
      <c r="S441" s="9"/>
      <c r="W441" s="9"/>
      <c r="X441" s="9"/>
      <c r="AE441" s="9"/>
      <c r="AF441" s="9"/>
      <c r="AU441" s="9"/>
      <c r="AV441" s="9"/>
      <c r="AW441" s="9"/>
      <c r="AX441" s="9"/>
      <c r="AY441" s="9"/>
      <c r="AZ441" s="9"/>
      <c r="BA441" s="9"/>
      <c r="BC441" s="9"/>
      <c r="BE441" s="9"/>
      <c r="BF441" s="9"/>
      <c r="BG441" s="9"/>
    </row>
    <row r="442" spans="18:59">
      <c r="R442" s="9"/>
      <c r="S442" s="9"/>
      <c r="W442" s="9"/>
      <c r="X442" s="9"/>
      <c r="AE442" s="9"/>
      <c r="AF442" s="9"/>
      <c r="AU442" s="9"/>
      <c r="AV442" s="9"/>
      <c r="AW442" s="9"/>
      <c r="AX442" s="9"/>
      <c r="AY442" s="9"/>
      <c r="AZ442" s="9"/>
      <c r="BA442" s="9"/>
      <c r="BC442" s="9"/>
      <c r="BE442" s="9"/>
      <c r="BF442" s="9"/>
      <c r="BG442" s="9"/>
    </row>
    <row r="443" spans="18:59">
      <c r="R443" s="9"/>
      <c r="S443" s="9"/>
      <c r="W443" s="9"/>
      <c r="X443" s="9"/>
      <c r="AE443" s="9"/>
      <c r="AF443" s="9"/>
      <c r="AU443" s="9"/>
      <c r="AV443" s="9"/>
      <c r="AW443" s="9"/>
      <c r="AX443" s="9"/>
      <c r="AY443" s="9"/>
      <c r="AZ443" s="9"/>
      <c r="BA443" s="9"/>
      <c r="BC443" s="9"/>
      <c r="BE443" s="9"/>
      <c r="BF443" s="9"/>
      <c r="BG443" s="9"/>
    </row>
    <row r="444" spans="18:59">
      <c r="R444" s="9"/>
      <c r="S444" s="9"/>
      <c r="W444" s="9"/>
      <c r="X444" s="9"/>
      <c r="AE444" s="9"/>
      <c r="AF444" s="9"/>
      <c r="AU444" s="9"/>
      <c r="AV444" s="9"/>
      <c r="AW444" s="9"/>
      <c r="AX444" s="9"/>
      <c r="AY444" s="9"/>
      <c r="AZ444" s="9"/>
      <c r="BA444" s="9"/>
      <c r="BC444" s="9"/>
      <c r="BE444" s="9"/>
      <c r="BF444" s="9"/>
      <c r="BG444" s="9"/>
    </row>
    <row r="445" spans="18:59">
      <c r="R445" s="9"/>
      <c r="S445" s="9"/>
      <c r="W445" s="9"/>
      <c r="X445" s="9"/>
      <c r="AE445" s="9"/>
      <c r="AF445" s="9"/>
      <c r="AU445" s="9"/>
      <c r="AV445" s="9"/>
      <c r="AW445" s="9"/>
      <c r="AX445" s="9"/>
      <c r="AY445" s="9"/>
      <c r="AZ445" s="9"/>
      <c r="BA445" s="9"/>
      <c r="BC445" s="9"/>
      <c r="BE445" s="9"/>
      <c r="BF445" s="9"/>
      <c r="BG445" s="9"/>
    </row>
    <row r="446" spans="18:59">
      <c r="R446" s="9"/>
      <c r="S446" s="9"/>
      <c r="W446" s="9"/>
      <c r="X446" s="9"/>
      <c r="AE446" s="9"/>
      <c r="AF446" s="9"/>
      <c r="AU446" s="9"/>
      <c r="AV446" s="9"/>
      <c r="AW446" s="9"/>
      <c r="AX446" s="9"/>
      <c r="AY446" s="9"/>
      <c r="AZ446" s="9"/>
      <c r="BA446" s="9"/>
      <c r="BC446" s="9"/>
      <c r="BE446" s="9"/>
      <c r="BF446" s="9"/>
      <c r="BG446" s="9"/>
    </row>
    <row r="447" spans="18:59">
      <c r="R447" s="9"/>
      <c r="S447" s="9"/>
      <c r="W447" s="9"/>
      <c r="X447" s="9"/>
      <c r="AE447" s="9"/>
      <c r="AF447" s="9"/>
      <c r="AU447" s="9"/>
      <c r="AV447" s="9"/>
      <c r="AW447" s="9"/>
      <c r="AX447" s="9"/>
      <c r="AY447" s="9"/>
      <c r="AZ447" s="9"/>
      <c r="BA447" s="9"/>
      <c r="BC447" s="9"/>
      <c r="BE447" s="9"/>
      <c r="BF447" s="9"/>
      <c r="BG447" s="9"/>
    </row>
    <row r="448" spans="18:59">
      <c r="R448" s="9"/>
      <c r="S448" s="9"/>
      <c r="W448" s="9"/>
      <c r="X448" s="9"/>
      <c r="AE448" s="9"/>
      <c r="AF448" s="9"/>
      <c r="AU448" s="9"/>
      <c r="AV448" s="9"/>
      <c r="AW448" s="9"/>
      <c r="AX448" s="9"/>
      <c r="AY448" s="9"/>
      <c r="AZ448" s="9"/>
      <c r="BA448" s="9"/>
      <c r="BC448" s="9"/>
      <c r="BE448" s="9"/>
      <c r="BF448" s="9"/>
      <c r="BG448" s="9"/>
    </row>
    <row r="449" spans="18:59">
      <c r="R449" s="9"/>
      <c r="S449" s="9"/>
      <c r="W449" s="9"/>
      <c r="X449" s="9"/>
      <c r="AE449" s="9"/>
      <c r="AF449" s="9"/>
      <c r="AU449" s="9"/>
      <c r="AV449" s="9"/>
      <c r="AW449" s="9"/>
      <c r="AX449" s="9"/>
      <c r="AY449" s="9"/>
      <c r="AZ449" s="9"/>
      <c r="BA449" s="9"/>
      <c r="BC449" s="9"/>
      <c r="BE449" s="9"/>
      <c r="BF449" s="9"/>
      <c r="BG449" s="9"/>
    </row>
    <row r="450" spans="18:59">
      <c r="R450" s="9"/>
      <c r="S450" s="9"/>
      <c r="W450" s="9"/>
      <c r="X450" s="9"/>
      <c r="AE450" s="9"/>
      <c r="AF450" s="9"/>
      <c r="AU450" s="9"/>
      <c r="AV450" s="9"/>
      <c r="AW450" s="9"/>
      <c r="AX450" s="9"/>
      <c r="AY450" s="9"/>
      <c r="AZ450" s="9"/>
      <c r="BA450" s="9"/>
      <c r="BC450" s="9"/>
      <c r="BE450" s="9"/>
      <c r="BF450" s="9"/>
      <c r="BG450" s="9"/>
    </row>
    <row r="451" spans="18:59">
      <c r="R451" s="9"/>
      <c r="S451" s="9"/>
      <c r="W451" s="9"/>
      <c r="X451" s="9"/>
      <c r="AE451" s="9"/>
      <c r="AF451" s="9"/>
      <c r="AU451" s="9"/>
      <c r="AV451" s="9"/>
      <c r="AW451" s="9"/>
      <c r="AX451" s="9"/>
      <c r="AY451" s="9"/>
      <c r="AZ451" s="9"/>
      <c r="BA451" s="9"/>
      <c r="BC451" s="9"/>
      <c r="BE451" s="9"/>
      <c r="BF451" s="9"/>
      <c r="BG451" s="9"/>
    </row>
    <row r="452" spans="18:59">
      <c r="R452" s="9"/>
      <c r="S452" s="9"/>
      <c r="W452" s="9"/>
      <c r="X452" s="9"/>
      <c r="AE452" s="9"/>
      <c r="AF452" s="9"/>
      <c r="AU452" s="9"/>
      <c r="AV452" s="9"/>
      <c r="AW452" s="9"/>
      <c r="AX452" s="9"/>
      <c r="AY452" s="9"/>
      <c r="AZ452" s="9"/>
      <c r="BA452" s="9"/>
      <c r="BC452" s="9"/>
      <c r="BE452" s="9"/>
      <c r="BF452" s="9"/>
      <c r="BG452" s="9"/>
    </row>
    <row r="453" spans="18:59">
      <c r="R453" s="9"/>
      <c r="S453" s="9"/>
      <c r="W453" s="9"/>
      <c r="X453" s="9"/>
      <c r="AE453" s="9"/>
      <c r="AF453" s="9"/>
      <c r="AU453" s="9"/>
      <c r="AV453" s="9"/>
      <c r="AW453" s="9"/>
      <c r="AX453" s="9"/>
      <c r="AY453" s="9"/>
      <c r="AZ453" s="9"/>
      <c r="BA453" s="9"/>
      <c r="BC453" s="9"/>
      <c r="BE453" s="9"/>
      <c r="BF453" s="9"/>
      <c r="BG453" s="9"/>
    </row>
    <row r="454" spans="18:59">
      <c r="R454" s="9"/>
      <c r="S454" s="9"/>
      <c r="W454" s="9"/>
      <c r="X454" s="9"/>
      <c r="AE454" s="9"/>
      <c r="AF454" s="9"/>
      <c r="AU454" s="9"/>
      <c r="AV454" s="9"/>
      <c r="AW454" s="9"/>
      <c r="AX454" s="9"/>
      <c r="AY454" s="9"/>
      <c r="AZ454" s="9"/>
      <c r="BA454" s="9"/>
      <c r="BC454" s="9"/>
      <c r="BE454" s="9"/>
      <c r="BF454" s="9"/>
      <c r="BG454" s="9"/>
    </row>
    <row r="455" spans="18:59">
      <c r="R455" s="9"/>
      <c r="S455" s="9"/>
      <c r="W455" s="9"/>
      <c r="X455" s="9"/>
      <c r="AE455" s="9"/>
      <c r="AF455" s="9"/>
      <c r="AU455" s="9"/>
      <c r="AV455" s="9"/>
      <c r="AW455" s="9"/>
      <c r="AX455" s="9"/>
      <c r="AY455" s="9"/>
      <c r="AZ455" s="9"/>
      <c r="BA455" s="9"/>
      <c r="BC455" s="9"/>
      <c r="BE455" s="9"/>
      <c r="BF455" s="9"/>
      <c r="BG455" s="9"/>
    </row>
    <row r="456" spans="18:59">
      <c r="R456" s="9"/>
      <c r="S456" s="9"/>
      <c r="W456" s="9"/>
      <c r="X456" s="9"/>
      <c r="AE456" s="9"/>
      <c r="AF456" s="9"/>
      <c r="AU456" s="9"/>
      <c r="AV456" s="9"/>
      <c r="AW456" s="9"/>
      <c r="AX456" s="9"/>
      <c r="AY456" s="9"/>
      <c r="AZ456" s="9"/>
      <c r="BA456" s="9"/>
      <c r="BC456" s="9"/>
      <c r="BE456" s="9"/>
      <c r="BF456" s="9"/>
      <c r="BG456" s="9"/>
    </row>
    <row r="457" spans="18:59">
      <c r="R457" s="9"/>
      <c r="S457" s="9"/>
      <c r="W457" s="9"/>
      <c r="X457" s="9"/>
      <c r="AE457" s="9"/>
      <c r="AF457" s="9"/>
      <c r="AU457" s="9"/>
      <c r="AV457" s="9"/>
      <c r="AW457" s="9"/>
      <c r="AX457" s="9"/>
      <c r="AY457" s="9"/>
      <c r="AZ457" s="9"/>
      <c r="BA457" s="9"/>
      <c r="BC457" s="9"/>
      <c r="BE457" s="9"/>
      <c r="BF457" s="9"/>
      <c r="BG457" s="9"/>
    </row>
    <row r="458" spans="18:59">
      <c r="R458" s="9"/>
      <c r="S458" s="9"/>
      <c r="W458" s="9"/>
      <c r="X458" s="9"/>
      <c r="AE458" s="9"/>
      <c r="AF458" s="9"/>
      <c r="AU458" s="9"/>
      <c r="AV458" s="9"/>
      <c r="AW458" s="9"/>
      <c r="AX458" s="9"/>
      <c r="AY458" s="9"/>
      <c r="AZ458" s="9"/>
      <c r="BA458" s="9"/>
      <c r="BC458" s="9"/>
      <c r="BE458" s="9"/>
      <c r="BF458" s="9"/>
      <c r="BG458" s="9"/>
    </row>
    <row r="459" spans="18:59">
      <c r="R459" s="9"/>
      <c r="S459" s="9"/>
      <c r="W459" s="9"/>
      <c r="X459" s="9"/>
      <c r="AE459" s="9"/>
      <c r="AF459" s="9"/>
      <c r="AU459" s="9"/>
      <c r="AV459" s="9"/>
      <c r="AW459" s="9"/>
      <c r="AX459" s="9"/>
      <c r="AY459" s="9"/>
      <c r="AZ459" s="9"/>
      <c r="BA459" s="9"/>
      <c r="BC459" s="9"/>
      <c r="BE459" s="9"/>
      <c r="BF459" s="9"/>
      <c r="BG459" s="9"/>
    </row>
    <row r="460" spans="18:59">
      <c r="R460" s="9"/>
      <c r="S460" s="9"/>
      <c r="W460" s="9"/>
      <c r="X460" s="9"/>
      <c r="AE460" s="9"/>
      <c r="AF460" s="9"/>
      <c r="AU460" s="9"/>
      <c r="AV460" s="9"/>
      <c r="AW460" s="9"/>
      <c r="AX460" s="9"/>
      <c r="AY460" s="9"/>
      <c r="AZ460" s="9"/>
      <c r="BA460" s="9"/>
      <c r="BC460" s="9"/>
      <c r="BE460" s="9"/>
      <c r="BF460" s="9"/>
      <c r="BG460" s="9"/>
    </row>
    <row r="461" spans="18:59">
      <c r="R461" s="9"/>
      <c r="S461" s="9"/>
      <c r="W461" s="9"/>
      <c r="X461" s="9"/>
      <c r="AE461" s="9"/>
      <c r="AF461" s="9"/>
      <c r="AU461" s="9"/>
      <c r="AV461" s="9"/>
      <c r="AW461" s="9"/>
      <c r="AX461" s="9"/>
      <c r="AY461" s="9"/>
      <c r="AZ461" s="9"/>
      <c r="BA461" s="9"/>
      <c r="BC461" s="9"/>
      <c r="BE461" s="9"/>
      <c r="BF461" s="9"/>
      <c r="BG461" s="9"/>
    </row>
    <row r="462" spans="18:59">
      <c r="R462" s="9"/>
      <c r="S462" s="9"/>
      <c r="W462" s="9"/>
      <c r="X462" s="9"/>
      <c r="AE462" s="9"/>
      <c r="AF462" s="9"/>
      <c r="AU462" s="9"/>
      <c r="AV462" s="9"/>
      <c r="AW462" s="9"/>
      <c r="AX462" s="9"/>
      <c r="AY462" s="9"/>
      <c r="AZ462" s="9"/>
      <c r="BA462" s="9"/>
      <c r="BC462" s="9"/>
      <c r="BE462" s="9"/>
      <c r="BF462" s="9"/>
      <c r="BG462" s="9"/>
    </row>
    <row r="463" spans="18:59">
      <c r="R463" s="9"/>
      <c r="S463" s="9"/>
      <c r="W463" s="9"/>
      <c r="X463" s="9"/>
      <c r="AE463" s="9"/>
      <c r="AF463" s="9"/>
      <c r="AU463" s="9"/>
      <c r="AV463" s="9"/>
      <c r="AW463" s="9"/>
      <c r="AX463" s="9"/>
      <c r="AY463" s="9"/>
      <c r="AZ463" s="9"/>
      <c r="BA463" s="9"/>
      <c r="BC463" s="9"/>
      <c r="BE463" s="9"/>
      <c r="BF463" s="9"/>
      <c r="BG463" s="9"/>
    </row>
    <row r="464" spans="18:59">
      <c r="R464" s="9"/>
      <c r="S464" s="9"/>
      <c r="W464" s="9"/>
      <c r="X464" s="9"/>
      <c r="AE464" s="9"/>
      <c r="AF464" s="9"/>
      <c r="AU464" s="9"/>
      <c r="AV464" s="9"/>
      <c r="AW464" s="9"/>
      <c r="AX464" s="9"/>
      <c r="AY464" s="9"/>
      <c r="AZ464" s="9"/>
      <c r="BA464" s="9"/>
      <c r="BC464" s="9"/>
      <c r="BE464" s="9"/>
      <c r="BF464" s="9"/>
      <c r="BG464" s="9"/>
    </row>
    <row r="465" spans="18:59">
      <c r="R465" s="9"/>
      <c r="S465" s="9"/>
      <c r="W465" s="9"/>
      <c r="X465" s="9"/>
      <c r="AE465" s="9"/>
      <c r="AF465" s="9"/>
      <c r="AU465" s="9"/>
      <c r="AV465" s="9"/>
      <c r="AW465" s="9"/>
      <c r="AX465" s="9"/>
      <c r="AY465" s="9"/>
      <c r="AZ465" s="9"/>
      <c r="BA465" s="9"/>
      <c r="BC465" s="9"/>
      <c r="BE465" s="9"/>
      <c r="BF465" s="9"/>
      <c r="BG465" s="9"/>
    </row>
    <row r="466" spans="18:59">
      <c r="R466" s="9"/>
      <c r="S466" s="9"/>
      <c r="W466" s="9"/>
      <c r="X466" s="9"/>
      <c r="AE466" s="9"/>
      <c r="AF466" s="9"/>
      <c r="AU466" s="9"/>
      <c r="AV466" s="9"/>
      <c r="AW466" s="9"/>
      <c r="AX466" s="9"/>
      <c r="AY466" s="9"/>
      <c r="AZ466" s="9"/>
      <c r="BA466" s="9"/>
      <c r="BC466" s="9"/>
      <c r="BE466" s="9"/>
      <c r="BF466" s="9"/>
      <c r="BG466" s="9"/>
    </row>
    <row r="467" spans="18:59">
      <c r="R467" s="9"/>
      <c r="S467" s="9"/>
      <c r="W467" s="9"/>
      <c r="X467" s="9"/>
      <c r="AE467" s="9"/>
      <c r="AF467" s="9"/>
      <c r="AU467" s="9"/>
      <c r="AV467" s="9"/>
      <c r="AW467" s="9"/>
      <c r="AX467" s="9"/>
      <c r="AY467" s="9"/>
      <c r="AZ467" s="9"/>
      <c r="BA467" s="9"/>
      <c r="BC467" s="9"/>
      <c r="BE467" s="9"/>
      <c r="BF467" s="9"/>
      <c r="BG467" s="9"/>
    </row>
    <row r="468" spans="18:59">
      <c r="R468" s="9"/>
      <c r="S468" s="9"/>
      <c r="W468" s="9"/>
      <c r="X468" s="9"/>
      <c r="AE468" s="9"/>
      <c r="AF468" s="9"/>
      <c r="AU468" s="9"/>
      <c r="AV468" s="9"/>
      <c r="AW468" s="9"/>
      <c r="AX468" s="9"/>
      <c r="AY468" s="9"/>
      <c r="AZ468" s="9"/>
      <c r="BA468" s="9"/>
      <c r="BC468" s="9"/>
      <c r="BE468" s="9"/>
      <c r="BF468" s="9"/>
      <c r="BG468" s="9"/>
    </row>
    <row r="469" spans="18:59">
      <c r="R469" s="9"/>
      <c r="S469" s="9"/>
      <c r="W469" s="9"/>
      <c r="X469" s="9"/>
      <c r="AE469" s="9"/>
      <c r="AF469" s="9"/>
      <c r="AU469" s="9"/>
      <c r="AV469" s="9"/>
      <c r="AW469" s="9"/>
      <c r="AX469" s="9"/>
      <c r="AY469" s="9"/>
      <c r="AZ469" s="9"/>
      <c r="BA469" s="9"/>
      <c r="BC469" s="9"/>
      <c r="BE469" s="9"/>
      <c r="BF469" s="9"/>
      <c r="BG469" s="9"/>
    </row>
    <row r="470" spans="18:59">
      <c r="R470" s="9"/>
      <c r="S470" s="9"/>
      <c r="W470" s="9"/>
      <c r="X470" s="9"/>
      <c r="AE470" s="9"/>
      <c r="AF470" s="9"/>
      <c r="AU470" s="9"/>
      <c r="AV470" s="9"/>
      <c r="AW470" s="9"/>
      <c r="AX470" s="9"/>
      <c r="AY470" s="9"/>
      <c r="AZ470" s="9"/>
      <c r="BA470" s="9"/>
      <c r="BC470" s="9"/>
      <c r="BE470" s="9"/>
      <c r="BF470" s="9"/>
      <c r="BG470" s="9"/>
    </row>
    <row r="471" spans="18:59">
      <c r="R471" s="9"/>
      <c r="S471" s="9"/>
      <c r="W471" s="9"/>
      <c r="X471" s="9"/>
      <c r="AE471" s="9"/>
      <c r="AF471" s="9"/>
      <c r="AU471" s="9"/>
      <c r="AV471" s="9"/>
      <c r="AW471" s="9"/>
      <c r="AX471" s="9"/>
      <c r="AY471" s="9"/>
      <c r="AZ471" s="9"/>
      <c r="BA471" s="9"/>
      <c r="BC471" s="9"/>
      <c r="BE471" s="9"/>
      <c r="BF471" s="9"/>
      <c r="BG471" s="9"/>
    </row>
    <row r="472" spans="18:59">
      <c r="R472" s="9"/>
      <c r="S472" s="9"/>
      <c r="W472" s="9"/>
      <c r="X472" s="9"/>
      <c r="AE472" s="9"/>
      <c r="AF472" s="9"/>
      <c r="AU472" s="9"/>
      <c r="AV472" s="9"/>
      <c r="AW472" s="9"/>
      <c r="AX472" s="9"/>
      <c r="AY472" s="9"/>
      <c r="AZ472" s="9"/>
      <c r="BA472" s="9"/>
      <c r="BC472" s="9"/>
      <c r="BE472" s="9"/>
      <c r="BF472" s="9"/>
      <c r="BG472" s="9"/>
    </row>
    <row r="473" spans="18:59">
      <c r="R473" s="9"/>
      <c r="S473" s="9"/>
      <c r="W473" s="9"/>
      <c r="X473" s="9"/>
      <c r="AE473" s="9"/>
      <c r="AF473" s="9"/>
      <c r="AU473" s="9"/>
      <c r="AV473" s="9"/>
      <c r="AW473" s="9"/>
      <c r="AX473" s="9"/>
      <c r="AY473" s="9"/>
      <c r="AZ473" s="9"/>
      <c r="BA473" s="9"/>
      <c r="BC473" s="9"/>
      <c r="BE473" s="9"/>
      <c r="BF473" s="9"/>
      <c r="BG473" s="9"/>
    </row>
    <row r="474" spans="18:59">
      <c r="R474" s="9"/>
      <c r="S474" s="9"/>
      <c r="W474" s="9"/>
      <c r="X474" s="9"/>
      <c r="AE474" s="9"/>
      <c r="AF474" s="9"/>
      <c r="AU474" s="9"/>
      <c r="AV474" s="9"/>
      <c r="AW474" s="9"/>
      <c r="AX474" s="9"/>
      <c r="AY474" s="9"/>
      <c r="AZ474" s="9"/>
      <c r="BA474" s="9"/>
      <c r="BC474" s="9"/>
      <c r="BE474" s="9"/>
      <c r="BF474" s="9"/>
      <c r="BG474" s="9"/>
    </row>
    <row r="475" spans="18:59">
      <c r="R475" s="9"/>
      <c r="S475" s="9"/>
      <c r="W475" s="9"/>
      <c r="X475" s="9"/>
      <c r="AE475" s="9"/>
      <c r="AF475" s="9"/>
      <c r="AU475" s="9"/>
      <c r="AV475" s="9"/>
      <c r="AW475" s="9"/>
      <c r="AX475" s="9"/>
      <c r="AY475" s="9"/>
      <c r="AZ475" s="9"/>
      <c r="BA475" s="9"/>
      <c r="BC475" s="9"/>
      <c r="BE475" s="9"/>
      <c r="BF475" s="9"/>
      <c r="BG475" s="9"/>
    </row>
    <row r="476" spans="18:59">
      <c r="R476" s="9"/>
      <c r="S476" s="9"/>
      <c r="W476" s="9"/>
      <c r="X476" s="9"/>
      <c r="AE476" s="9"/>
      <c r="AF476" s="9"/>
      <c r="AU476" s="9"/>
      <c r="AV476" s="9"/>
      <c r="AW476" s="9"/>
      <c r="AX476" s="9"/>
      <c r="AY476" s="9"/>
      <c r="AZ476" s="9"/>
      <c r="BA476" s="9"/>
      <c r="BC476" s="9"/>
      <c r="BE476" s="9"/>
      <c r="BF476" s="9"/>
      <c r="BG476" s="9"/>
    </row>
    <row r="477" spans="18:59">
      <c r="R477" s="9"/>
      <c r="S477" s="9"/>
      <c r="W477" s="9"/>
      <c r="X477" s="9"/>
      <c r="AE477" s="9"/>
      <c r="AF477" s="9"/>
      <c r="AU477" s="9"/>
      <c r="AV477" s="9"/>
      <c r="AW477" s="9"/>
      <c r="AX477" s="9"/>
      <c r="AY477" s="9"/>
      <c r="AZ477" s="9"/>
      <c r="BA477" s="9"/>
      <c r="BC477" s="9"/>
      <c r="BE477" s="9"/>
      <c r="BF477" s="9"/>
      <c r="BG477" s="9"/>
    </row>
    <row r="478" spans="18:59">
      <c r="R478" s="9"/>
      <c r="S478" s="9"/>
      <c r="W478" s="9"/>
      <c r="X478" s="9"/>
      <c r="AE478" s="9"/>
      <c r="AF478" s="9"/>
      <c r="AU478" s="9"/>
      <c r="AV478" s="9"/>
      <c r="AW478" s="9"/>
      <c r="AX478" s="9"/>
      <c r="AY478" s="9"/>
      <c r="AZ478" s="9"/>
      <c r="BA478" s="9"/>
      <c r="BC478" s="9"/>
      <c r="BE478" s="9"/>
      <c r="BF478" s="9"/>
      <c r="BG478" s="9"/>
    </row>
    <row r="479" spans="18:59">
      <c r="R479" s="9"/>
      <c r="S479" s="9"/>
      <c r="W479" s="9"/>
      <c r="X479" s="9"/>
      <c r="AE479" s="9"/>
      <c r="AF479" s="9"/>
      <c r="AU479" s="9"/>
      <c r="AV479" s="9"/>
      <c r="AW479" s="9"/>
      <c r="AX479" s="9"/>
      <c r="AY479" s="9"/>
      <c r="AZ479" s="9"/>
      <c r="BA479" s="9"/>
      <c r="BC479" s="9"/>
      <c r="BE479" s="9"/>
      <c r="BF479" s="9"/>
      <c r="BG479" s="9"/>
    </row>
    <row r="480" spans="18:59">
      <c r="R480" s="9"/>
      <c r="S480" s="9"/>
      <c r="W480" s="9"/>
      <c r="X480" s="9"/>
      <c r="AE480" s="9"/>
      <c r="AF480" s="9"/>
      <c r="AU480" s="9"/>
      <c r="AV480" s="9"/>
      <c r="AW480" s="9"/>
      <c r="AX480" s="9"/>
      <c r="AY480" s="9"/>
      <c r="AZ480" s="9"/>
      <c r="BA480" s="9"/>
      <c r="BC480" s="9"/>
      <c r="BE480" s="9"/>
      <c r="BF480" s="9"/>
      <c r="BG480" s="9"/>
    </row>
    <row r="481" spans="18:59">
      <c r="R481" s="9"/>
      <c r="S481" s="9"/>
      <c r="W481" s="9"/>
      <c r="X481" s="9"/>
      <c r="AE481" s="9"/>
      <c r="AF481" s="9"/>
      <c r="AU481" s="9"/>
      <c r="AV481" s="9"/>
      <c r="AW481" s="9"/>
      <c r="AX481" s="9"/>
      <c r="AY481" s="9"/>
      <c r="AZ481" s="9"/>
      <c r="BA481" s="9"/>
      <c r="BC481" s="9"/>
      <c r="BE481" s="9"/>
      <c r="BF481" s="9"/>
      <c r="BG481" s="9"/>
    </row>
    <row r="482" spans="18:59">
      <c r="R482" s="9"/>
      <c r="S482" s="9"/>
      <c r="W482" s="9"/>
      <c r="X482" s="9"/>
      <c r="AE482" s="9"/>
      <c r="AF482" s="9"/>
      <c r="AU482" s="9"/>
      <c r="AV482" s="9"/>
      <c r="AW482" s="9"/>
      <c r="AX482" s="9"/>
      <c r="AY482" s="9"/>
      <c r="AZ482" s="9"/>
      <c r="BA482" s="9"/>
      <c r="BC482" s="9"/>
      <c r="BE482" s="9"/>
      <c r="BF482" s="9"/>
      <c r="BG482" s="9"/>
    </row>
    <row r="483" spans="18:59">
      <c r="R483" s="9"/>
      <c r="S483" s="9"/>
      <c r="W483" s="9"/>
      <c r="X483" s="9"/>
      <c r="AE483" s="9"/>
      <c r="AF483" s="9"/>
      <c r="AU483" s="9"/>
      <c r="AV483" s="9"/>
      <c r="AW483" s="9"/>
      <c r="AX483" s="9"/>
      <c r="AY483" s="9"/>
      <c r="AZ483" s="9"/>
      <c r="BA483" s="9"/>
      <c r="BC483" s="9"/>
      <c r="BE483" s="9"/>
      <c r="BF483" s="9"/>
      <c r="BG483" s="9"/>
    </row>
    <row r="484" spans="18:59">
      <c r="R484" s="9"/>
      <c r="S484" s="9"/>
      <c r="W484" s="9"/>
      <c r="X484" s="9"/>
      <c r="AE484" s="9"/>
      <c r="AF484" s="9"/>
      <c r="AU484" s="9"/>
      <c r="AV484" s="9"/>
      <c r="AW484" s="9"/>
      <c r="AX484" s="9"/>
      <c r="AY484" s="9"/>
      <c r="AZ484" s="9"/>
      <c r="BA484" s="9"/>
      <c r="BC484" s="9"/>
      <c r="BE484" s="9"/>
      <c r="BF484" s="9"/>
      <c r="BG484" s="9"/>
    </row>
    <row r="485" spans="18:59">
      <c r="R485" s="9"/>
      <c r="S485" s="9"/>
      <c r="W485" s="9"/>
      <c r="X485" s="9"/>
      <c r="AE485" s="9"/>
      <c r="AF485" s="9"/>
      <c r="AU485" s="9"/>
      <c r="AV485" s="9"/>
      <c r="AW485" s="9"/>
      <c r="AX485" s="9"/>
      <c r="AY485" s="9"/>
      <c r="AZ485" s="9"/>
      <c r="BA485" s="9"/>
      <c r="BC485" s="9"/>
      <c r="BE485" s="9"/>
      <c r="BF485" s="9"/>
      <c r="BG485" s="9"/>
    </row>
    <row r="486" spans="18:59">
      <c r="R486" s="9"/>
      <c r="S486" s="9"/>
      <c r="W486" s="9"/>
      <c r="X486" s="9"/>
      <c r="AE486" s="9"/>
      <c r="AF486" s="9"/>
      <c r="AU486" s="9"/>
      <c r="AV486" s="9"/>
      <c r="AW486" s="9"/>
      <c r="AX486" s="9"/>
      <c r="AY486" s="9"/>
      <c r="AZ486" s="9"/>
      <c r="BA486" s="9"/>
      <c r="BC486" s="9"/>
      <c r="BE486" s="9"/>
      <c r="BF486" s="9"/>
      <c r="BG486" s="9"/>
    </row>
    <row r="487" spans="18:59">
      <c r="R487" s="9"/>
      <c r="S487" s="9"/>
      <c r="W487" s="9"/>
      <c r="X487" s="9"/>
      <c r="AE487" s="9"/>
      <c r="AF487" s="9"/>
      <c r="AU487" s="9"/>
      <c r="AV487" s="9"/>
      <c r="AW487" s="9"/>
      <c r="AX487" s="9"/>
      <c r="AY487" s="9"/>
      <c r="AZ487" s="9"/>
      <c r="BA487" s="9"/>
      <c r="BC487" s="9"/>
      <c r="BE487" s="9"/>
      <c r="BF487" s="9"/>
      <c r="BG487" s="9"/>
    </row>
    <row r="488" spans="18:59">
      <c r="R488" s="9"/>
      <c r="S488" s="9"/>
      <c r="W488" s="9"/>
      <c r="X488" s="9"/>
      <c r="AE488" s="9"/>
      <c r="AF488" s="9"/>
      <c r="AU488" s="9"/>
      <c r="AV488" s="9"/>
      <c r="AW488" s="9"/>
      <c r="AX488" s="9"/>
      <c r="AY488" s="9"/>
      <c r="AZ488" s="9"/>
      <c r="BA488" s="9"/>
      <c r="BC488" s="9"/>
      <c r="BE488" s="9"/>
      <c r="BF488" s="9"/>
      <c r="BG488" s="9"/>
    </row>
    <row r="489" spans="18:59">
      <c r="R489" s="9"/>
      <c r="S489" s="9"/>
      <c r="W489" s="9"/>
      <c r="X489" s="9"/>
      <c r="AE489" s="9"/>
      <c r="AF489" s="9"/>
      <c r="AU489" s="9"/>
      <c r="AV489" s="9"/>
      <c r="AW489" s="9"/>
      <c r="AX489" s="9"/>
      <c r="AY489" s="9"/>
      <c r="AZ489" s="9"/>
      <c r="BA489" s="9"/>
      <c r="BC489" s="9"/>
      <c r="BE489" s="9"/>
      <c r="BF489" s="9"/>
      <c r="BG489" s="9"/>
    </row>
    <row r="490" spans="18:59">
      <c r="R490" s="9"/>
      <c r="S490" s="9"/>
      <c r="W490" s="9"/>
      <c r="X490" s="9"/>
      <c r="AE490" s="9"/>
      <c r="AF490" s="9"/>
      <c r="AU490" s="9"/>
      <c r="AV490" s="9"/>
      <c r="AW490" s="9"/>
      <c r="AX490" s="9"/>
      <c r="AY490" s="9"/>
      <c r="AZ490" s="9"/>
      <c r="BA490" s="9"/>
      <c r="BC490" s="9"/>
      <c r="BE490" s="9"/>
      <c r="BF490" s="9"/>
      <c r="BG490" s="9"/>
    </row>
    <row r="491" spans="18:59">
      <c r="R491" s="9"/>
      <c r="S491" s="9"/>
      <c r="W491" s="9"/>
      <c r="X491" s="9"/>
      <c r="AE491" s="9"/>
      <c r="AF491" s="9"/>
      <c r="AU491" s="9"/>
      <c r="AV491" s="9"/>
      <c r="AW491" s="9"/>
      <c r="AX491" s="9"/>
      <c r="AY491" s="9"/>
      <c r="AZ491" s="9"/>
      <c r="BA491" s="9"/>
      <c r="BC491" s="9"/>
      <c r="BE491" s="9"/>
      <c r="BF491" s="9"/>
      <c r="BG491" s="9"/>
    </row>
    <row r="492" spans="18:59">
      <c r="R492" s="9"/>
      <c r="S492" s="9"/>
      <c r="W492" s="9"/>
      <c r="X492" s="9"/>
      <c r="AE492" s="9"/>
      <c r="AF492" s="9"/>
      <c r="AU492" s="9"/>
      <c r="AV492" s="9"/>
      <c r="AW492" s="9"/>
      <c r="AX492" s="9"/>
      <c r="AY492" s="9"/>
      <c r="AZ492" s="9"/>
      <c r="BA492" s="9"/>
      <c r="BC492" s="9"/>
      <c r="BE492" s="9"/>
      <c r="BF492" s="9"/>
      <c r="BG492" s="9"/>
    </row>
    <row r="493" spans="18:59">
      <c r="R493" s="9"/>
      <c r="S493" s="9"/>
      <c r="W493" s="9"/>
      <c r="X493" s="9"/>
      <c r="AE493" s="9"/>
      <c r="AF493" s="9"/>
      <c r="AU493" s="9"/>
      <c r="AV493" s="9"/>
      <c r="AW493" s="9"/>
      <c r="AX493" s="9"/>
      <c r="AY493" s="9"/>
      <c r="AZ493" s="9"/>
      <c r="BA493" s="9"/>
      <c r="BC493" s="9"/>
      <c r="BE493" s="9"/>
      <c r="BF493" s="9"/>
      <c r="BG493" s="9"/>
    </row>
    <row r="494" spans="18:59">
      <c r="R494" s="9"/>
      <c r="S494" s="9"/>
      <c r="W494" s="9"/>
      <c r="X494" s="9"/>
      <c r="AE494" s="9"/>
      <c r="AF494" s="9"/>
      <c r="AU494" s="9"/>
      <c r="AV494" s="9"/>
      <c r="AW494" s="9"/>
      <c r="AX494" s="9"/>
      <c r="AY494" s="9"/>
      <c r="AZ494" s="9"/>
      <c r="BA494" s="9"/>
      <c r="BC494" s="9"/>
      <c r="BE494" s="9"/>
      <c r="BF494" s="9"/>
      <c r="BG494" s="9"/>
    </row>
    <row r="495" spans="18:59">
      <c r="R495" s="9"/>
      <c r="S495" s="9"/>
      <c r="W495" s="9"/>
      <c r="X495" s="9"/>
      <c r="AE495" s="9"/>
      <c r="AF495" s="9"/>
      <c r="AU495" s="9"/>
      <c r="AV495" s="9"/>
      <c r="AW495" s="9"/>
      <c r="AX495" s="9"/>
      <c r="AY495" s="9"/>
      <c r="AZ495" s="9"/>
      <c r="BA495" s="9"/>
      <c r="BC495" s="9"/>
      <c r="BE495" s="9"/>
      <c r="BF495" s="9"/>
      <c r="BG495" s="9"/>
    </row>
    <row r="496" spans="18:59">
      <c r="R496" s="9"/>
      <c r="S496" s="9"/>
      <c r="W496" s="9"/>
      <c r="X496" s="9"/>
      <c r="AE496" s="9"/>
      <c r="AF496" s="9"/>
      <c r="AU496" s="9"/>
      <c r="AV496" s="9"/>
      <c r="AW496" s="9"/>
      <c r="AX496" s="9"/>
      <c r="AY496" s="9"/>
      <c r="AZ496" s="9"/>
      <c r="BA496" s="9"/>
      <c r="BC496" s="9"/>
      <c r="BE496" s="9"/>
      <c r="BF496" s="9"/>
      <c r="BG496" s="9"/>
    </row>
    <row r="497" spans="18:59">
      <c r="R497" s="9"/>
      <c r="S497" s="9"/>
      <c r="W497" s="9"/>
      <c r="X497" s="9"/>
      <c r="AE497" s="9"/>
      <c r="AF497" s="9"/>
      <c r="AU497" s="9"/>
      <c r="AV497" s="9"/>
      <c r="AW497" s="9"/>
      <c r="AX497" s="9"/>
      <c r="AY497" s="9"/>
      <c r="AZ497" s="9"/>
      <c r="BA497" s="9"/>
      <c r="BC497" s="9"/>
      <c r="BE497" s="9"/>
      <c r="BF497" s="9"/>
      <c r="BG497" s="9"/>
    </row>
    <row r="498" spans="18:59">
      <c r="R498" s="9"/>
      <c r="S498" s="9"/>
      <c r="W498" s="9"/>
      <c r="X498" s="9"/>
      <c r="AE498" s="9"/>
      <c r="AF498" s="9"/>
      <c r="AU498" s="9"/>
      <c r="AV498" s="9"/>
      <c r="AW498" s="9"/>
      <c r="AX498" s="9"/>
      <c r="AY498" s="9"/>
      <c r="AZ498" s="9"/>
      <c r="BA498" s="9"/>
      <c r="BC498" s="9"/>
      <c r="BE498" s="9"/>
      <c r="BF498" s="9"/>
      <c r="BG498" s="9"/>
    </row>
    <row r="499" spans="18:59">
      <c r="R499" s="9"/>
      <c r="S499" s="9"/>
      <c r="W499" s="9"/>
      <c r="X499" s="9"/>
      <c r="AE499" s="9"/>
      <c r="AF499" s="9"/>
      <c r="AU499" s="9"/>
      <c r="AV499" s="9"/>
      <c r="AW499" s="9"/>
      <c r="AX499" s="9"/>
      <c r="AY499" s="9"/>
      <c r="AZ499" s="9"/>
      <c r="BA499" s="9"/>
      <c r="BC499" s="9"/>
      <c r="BE499" s="9"/>
      <c r="BF499" s="9"/>
      <c r="BG499" s="9"/>
    </row>
    <row r="500" spans="18:59">
      <c r="R500" s="9"/>
      <c r="S500" s="9"/>
      <c r="W500" s="9"/>
      <c r="X500" s="9"/>
      <c r="AE500" s="9"/>
      <c r="AF500" s="9"/>
      <c r="AU500" s="9"/>
      <c r="AV500" s="9"/>
      <c r="AW500" s="9"/>
      <c r="AX500" s="9"/>
      <c r="AY500" s="9"/>
      <c r="AZ500" s="9"/>
      <c r="BA500" s="9"/>
      <c r="BC500" s="9"/>
      <c r="BE500" s="9"/>
      <c r="BF500" s="9"/>
      <c r="BG500" s="9"/>
    </row>
    <row r="501" spans="18:59">
      <c r="R501" s="9"/>
      <c r="S501" s="9"/>
      <c r="W501" s="9"/>
      <c r="X501" s="9"/>
      <c r="AE501" s="9"/>
      <c r="AF501" s="9"/>
      <c r="AU501" s="9"/>
      <c r="AV501" s="9"/>
      <c r="AW501" s="9"/>
      <c r="AX501" s="9"/>
      <c r="AY501" s="9"/>
      <c r="AZ501" s="9"/>
      <c r="BA501" s="9"/>
      <c r="BC501" s="9"/>
      <c r="BE501" s="9"/>
      <c r="BF501" s="9"/>
      <c r="BG501" s="9"/>
    </row>
    <row r="502" spans="18:59">
      <c r="R502" s="9"/>
      <c r="S502" s="9"/>
      <c r="W502" s="9"/>
      <c r="X502" s="9"/>
      <c r="AE502" s="9"/>
      <c r="AF502" s="9"/>
      <c r="AU502" s="9"/>
      <c r="AV502" s="9"/>
      <c r="AW502" s="9"/>
      <c r="AX502" s="9"/>
      <c r="AY502" s="9"/>
      <c r="AZ502" s="9"/>
      <c r="BA502" s="9"/>
      <c r="BC502" s="9"/>
      <c r="BE502" s="9"/>
      <c r="BF502" s="9"/>
      <c r="BG502" s="9"/>
    </row>
  </sheetData>
  <mergeCells count="6">
    <mergeCell ref="I1:K1"/>
    <mergeCell ref="O2:S2"/>
    <mergeCell ref="Y2:AD2"/>
    <mergeCell ref="AG2:AI2"/>
    <mergeCell ref="AT2:BA2"/>
    <mergeCell ref="AJ2:AS2"/>
  </mergeCell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zoomScale="168" workbookViewId="0">
      <selection activeCell="E6" sqref="E6"/>
    </sheetView>
  </sheetViews>
  <sheetFormatPr baseColWidth="10" defaultColWidth="8.83203125" defaultRowHeight="15"/>
  <cols>
    <col min="1" max="1" width="23.1640625" customWidth="1"/>
  </cols>
  <sheetData>
    <row r="1" spans="1:21">
      <c r="A1" s="557" t="s">
        <v>609</v>
      </c>
      <c r="B1" s="557"/>
      <c r="C1" s="557"/>
      <c r="D1" s="557"/>
    </row>
    <row r="2" spans="1:21" s="436" customFormat="1">
      <c r="A2" s="436" t="s">
        <v>544</v>
      </c>
      <c r="B2" s="435">
        <v>2021</v>
      </c>
      <c r="C2" s="435">
        <v>2021</v>
      </c>
      <c r="D2" s="435">
        <v>2021</v>
      </c>
      <c r="E2" s="435">
        <v>2022</v>
      </c>
      <c r="F2" s="435">
        <v>2022</v>
      </c>
      <c r="G2" s="435">
        <v>2022</v>
      </c>
      <c r="H2" s="435">
        <v>2022</v>
      </c>
      <c r="I2" s="435">
        <v>2023</v>
      </c>
      <c r="J2" s="435">
        <v>2023</v>
      </c>
      <c r="K2" s="435">
        <v>2023</v>
      </c>
      <c r="L2" s="435">
        <v>2023</v>
      </c>
      <c r="M2" s="435">
        <v>2024</v>
      </c>
      <c r="N2" s="435">
        <v>2024</v>
      </c>
      <c r="O2" s="435">
        <v>2024</v>
      </c>
      <c r="P2" s="435">
        <v>2024</v>
      </c>
      <c r="Q2" s="435">
        <v>2025</v>
      </c>
      <c r="R2" s="435">
        <v>2025</v>
      </c>
      <c r="S2" s="435">
        <v>2025</v>
      </c>
      <c r="T2" s="435">
        <v>2025</v>
      </c>
      <c r="U2" s="435">
        <v>2026</v>
      </c>
    </row>
    <row r="3" spans="1:21">
      <c r="A3" s="25" t="s">
        <v>56</v>
      </c>
      <c r="B3" s="448" t="s">
        <v>112</v>
      </c>
      <c r="C3" s="448" t="s">
        <v>113</v>
      </c>
      <c r="D3" s="448" t="s">
        <v>114</v>
      </c>
      <c r="E3" s="448" t="s">
        <v>115</v>
      </c>
      <c r="F3" s="448" t="s">
        <v>116</v>
      </c>
      <c r="G3" s="448" t="s">
        <v>117</v>
      </c>
      <c r="H3" s="448" t="s">
        <v>118</v>
      </c>
      <c r="I3" s="448" t="s">
        <v>119</v>
      </c>
      <c r="J3" s="448" t="s">
        <v>120</v>
      </c>
      <c r="K3" s="448" t="s">
        <v>121</v>
      </c>
      <c r="L3" s="448" t="s">
        <v>122</v>
      </c>
      <c r="M3" s="448" t="s">
        <v>123</v>
      </c>
      <c r="N3" s="448" t="s">
        <v>124</v>
      </c>
      <c r="O3" s="448" t="s">
        <v>125</v>
      </c>
      <c r="P3" s="448" t="s">
        <v>126</v>
      </c>
      <c r="Q3" s="448" t="s">
        <v>127</v>
      </c>
      <c r="R3" s="448" t="s">
        <v>128</v>
      </c>
      <c r="S3" s="448" t="s">
        <v>129</v>
      </c>
      <c r="T3" s="448" t="s">
        <v>130</v>
      </c>
      <c r="U3" s="448" t="s">
        <v>131</v>
      </c>
    </row>
    <row r="4" spans="1:21">
      <c r="A4" s="25" t="s">
        <v>107</v>
      </c>
      <c r="B4" s="448"/>
      <c r="C4" s="448"/>
      <c r="D4" s="448">
        <v>0</v>
      </c>
      <c r="E4" s="448">
        <v>0</v>
      </c>
      <c r="F4" s="448">
        <v>0.5</v>
      </c>
      <c r="G4" s="448">
        <v>0.5</v>
      </c>
      <c r="H4" s="448">
        <v>0</v>
      </c>
      <c r="I4" s="448">
        <v>0</v>
      </c>
      <c r="J4" s="448">
        <v>0</v>
      </c>
      <c r="K4" s="448">
        <v>0</v>
      </c>
      <c r="L4" s="448">
        <v>0</v>
      </c>
      <c r="M4" s="448">
        <v>0</v>
      </c>
      <c r="N4" s="448">
        <v>0</v>
      </c>
      <c r="O4" s="448">
        <v>0</v>
      </c>
      <c r="P4" s="448">
        <v>0</v>
      </c>
      <c r="Q4" s="448">
        <v>0</v>
      </c>
      <c r="R4" s="448">
        <v>0</v>
      </c>
      <c r="S4" s="448">
        <v>0</v>
      </c>
      <c r="T4" s="448">
        <v>0</v>
      </c>
      <c r="U4" s="448">
        <v>0</v>
      </c>
    </row>
    <row r="5" spans="1:21">
      <c r="A5" s="25" t="s">
        <v>109</v>
      </c>
      <c r="B5" s="448">
        <v>0.04</v>
      </c>
      <c r="C5" s="448">
        <v>0.48</v>
      </c>
      <c r="D5" s="448">
        <v>0.48</v>
      </c>
      <c r="E5" s="448">
        <v>0</v>
      </c>
      <c r="F5" s="448">
        <v>0</v>
      </c>
      <c r="G5" s="448">
        <v>0</v>
      </c>
      <c r="H5" s="448">
        <v>0</v>
      </c>
      <c r="I5" s="448">
        <v>0</v>
      </c>
      <c r="J5" s="448">
        <v>0</v>
      </c>
      <c r="K5" s="448">
        <v>0</v>
      </c>
      <c r="L5" s="448">
        <v>0</v>
      </c>
      <c r="M5" s="448">
        <v>0</v>
      </c>
      <c r="N5" s="448">
        <v>0</v>
      </c>
      <c r="O5" s="448">
        <v>0</v>
      </c>
      <c r="P5" s="448">
        <v>0</v>
      </c>
      <c r="Q5" s="448">
        <v>0</v>
      </c>
      <c r="R5" s="448">
        <v>0</v>
      </c>
      <c r="S5" s="448">
        <v>0</v>
      </c>
      <c r="T5" s="448">
        <v>0</v>
      </c>
      <c r="U5" s="448">
        <v>0</v>
      </c>
    </row>
    <row r="6" spans="1:21" s="452" customFormat="1">
      <c r="A6" s="25" t="s">
        <v>576</v>
      </c>
      <c r="B6" s="448">
        <f>B8</f>
        <v>0</v>
      </c>
      <c r="C6" s="448">
        <f>C8</f>
        <v>0.5</v>
      </c>
      <c r="D6" s="448">
        <f t="shared" ref="D6:U6" si="0">D8</f>
        <v>0.5</v>
      </c>
      <c r="E6" s="448">
        <f t="shared" si="0"/>
        <v>0.25</v>
      </c>
      <c r="F6" s="448">
        <f t="shared" si="0"/>
        <v>0.25</v>
      </c>
      <c r="G6" s="448">
        <f t="shared" si="0"/>
        <v>0.25</v>
      </c>
      <c r="H6" s="448">
        <f t="shared" si="0"/>
        <v>0.25</v>
      </c>
      <c r="I6" s="448">
        <f t="shared" si="0"/>
        <v>0.25</v>
      </c>
      <c r="J6" s="448">
        <f t="shared" si="0"/>
        <v>0.25</v>
      </c>
      <c r="K6" s="448">
        <f t="shared" si="0"/>
        <v>0.25</v>
      </c>
      <c r="L6" s="448">
        <f t="shared" si="0"/>
        <v>0.25</v>
      </c>
      <c r="M6" s="448">
        <f t="shared" si="0"/>
        <v>0.25</v>
      </c>
      <c r="N6" s="448">
        <f t="shared" si="0"/>
        <v>0.25</v>
      </c>
      <c r="O6" s="448">
        <f t="shared" si="0"/>
        <v>0.25</v>
      </c>
      <c r="P6" s="448">
        <f t="shared" si="0"/>
        <v>0.25</v>
      </c>
      <c r="Q6" s="448">
        <f t="shared" si="0"/>
        <v>0.25</v>
      </c>
      <c r="R6" s="448">
        <f t="shared" si="0"/>
        <v>0.25</v>
      </c>
      <c r="S6" s="448">
        <f t="shared" si="0"/>
        <v>0.25</v>
      </c>
      <c r="T6" s="448">
        <f t="shared" si="0"/>
        <v>0.25</v>
      </c>
      <c r="U6" s="448">
        <f t="shared" si="0"/>
        <v>0.25</v>
      </c>
    </row>
    <row r="7" spans="1:21">
      <c r="A7" s="25" t="s">
        <v>106</v>
      </c>
      <c r="B7" s="448">
        <v>0</v>
      </c>
      <c r="C7" s="448">
        <v>0.5</v>
      </c>
      <c r="D7" s="448">
        <v>0.5</v>
      </c>
      <c r="E7" s="448">
        <v>0.25</v>
      </c>
      <c r="F7" s="448">
        <v>0.25</v>
      </c>
      <c r="G7" s="448">
        <v>0.25</v>
      </c>
      <c r="H7" s="448">
        <v>0.25</v>
      </c>
      <c r="I7" s="448">
        <v>0.25</v>
      </c>
      <c r="J7" s="448">
        <v>0.25</v>
      </c>
      <c r="K7" s="448">
        <v>0.25</v>
      </c>
      <c r="L7" s="448">
        <v>0.25</v>
      </c>
      <c r="M7" s="448">
        <v>0.25</v>
      </c>
      <c r="N7" s="448">
        <v>0.25</v>
      </c>
      <c r="O7" s="448">
        <v>0.25</v>
      </c>
      <c r="P7" s="448">
        <v>0.25</v>
      </c>
      <c r="Q7" s="448">
        <v>0.25</v>
      </c>
      <c r="R7" s="448">
        <v>0.25</v>
      </c>
      <c r="S7" s="448">
        <v>0.25</v>
      </c>
      <c r="T7" s="448">
        <v>0.25</v>
      </c>
      <c r="U7" s="448">
        <v>0.25</v>
      </c>
    </row>
    <row r="8" spans="1:21">
      <c r="A8" s="25" t="s">
        <v>108</v>
      </c>
      <c r="B8" s="448">
        <v>0</v>
      </c>
      <c r="C8" s="448">
        <v>0.5</v>
      </c>
      <c r="D8" s="448">
        <v>0.5</v>
      </c>
      <c r="E8" s="448">
        <v>0.25</v>
      </c>
      <c r="F8" s="448">
        <v>0.25</v>
      </c>
      <c r="G8" s="448">
        <v>0.25</v>
      </c>
      <c r="H8" s="448">
        <v>0.25</v>
      </c>
      <c r="I8" s="448">
        <v>0.25</v>
      </c>
      <c r="J8" s="448">
        <v>0.25</v>
      </c>
      <c r="K8" s="448">
        <v>0.25</v>
      </c>
      <c r="L8" s="448">
        <v>0.25</v>
      </c>
      <c r="M8" s="448">
        <v>0.25</v>
      </c>
      <c r="N8" s="448">
        <v>0.25</v>
      </c>
      <c r="O8" s="448">
        <v>0.25</v>
      </c>
      <c r="P8" s="448">
        <v>0.25</v>
      </c>
      <c r="Q8" s="448">
        <v>0.25</v>
      </c>
      <c r="R8" s="448">
        <v>0.25</v>
      </c>
      <c r="S8" s="448">
        <v>0.25</v>
      </c>
      <c r="T8" s="448">
        <v>0.25</v>
      </c>
      <c r="U8" s="448">
        <v>0.25</v>
      </c>
    </row>
    <row r="9" spans="1:21" ht="29">
      <c r="A9" s="25" t="s">
        <v>110</v>
      </c>
      <c r="B9" s="448">
        <v>0</v>
      </c>
      <c r="C9" s="448">
        <v>0.5</v>
      </c>
      <c r="D9" s="448">
        <v>0.5</v>
      </c>
      <c r="E9" s="448">
        <v>0.25</v>
      </c>
      <c r="F9" s="448">
        <v>0.25</v>
      </c>
      <c r="G9" s="448">
        <v>0.25</v>
      </c>
      <c r="H9" s="448">
        <v>0.25</v>
      </c>
      <c r="I9" s="448">
        <v>0.25</v>
      </c>
      <c r="J9" s="448">
        <v>0.25</v>
      </c>
      <c r="K9" s="448">
        <v>0.25</v>
      </c>
      <c r="L9" s="448">
        <v>0.25</v>
      </c>
      <c r="M9" s="448">
        <v>0.25</v>
      </c>
      <c r="N9" s="448">
        <v>0.25</v>
      </c>
      <c r="O9" s="448">
        <v>0.25</v>
      </c>
      <c r="P9" s="448">
        <v>0.25</v>
      </c>
      <c r="Q9" s="448">
        <v>0.25</v>
      </c>
      <c r="R9" s="448">
        <v>0.25</v>
      </c>
      <c r="S9" s="448">
        <v>0.25</v>
      </c>
      <c r="T9" s="448">
        <v>0.25</v>
      </c>
      <c r="U9" s="448">
        <v>0.25</v>
      </c>
    </row>
    <row r="10" spans="1:21">
      <c r="A10" s="25" t="s">
        <v>111</v>
      </c>
      <c r="B10" s="448">
        <v>0</v>
      </c>
      <c r="C10" s="448">
        <v>0.5</v>
      </c>
      <c r="D10" s="448">
        <v>0.5</v>
      </c>
      <c r="E10" s="448">
        <v>0.25</v>
      </c>
      <c r="F10" s="448">
        <v>0.25</v>
      </c>
      <c r="G10" s="448">
        <v>0.25</v>
      </c>
      <c r="H10" s="448">
        <v>0.25</v>
      </c>
      <c r="I10" s="448">
        <v>0.25</v>
      </c>
      <c r="J10" s="448">
        <v>0.25</v>
      </c>
      <c r="K10" s="448">
        <v>0.25</v>
      </c>
      <c r="L10" s="448">
        <v>0.25</v>
      </c>
      <c r="M10" s="448">
        <v>0.25</v>
      </c>
      <c r="N10" s="448">
        <v>0.25</v>
      </c>
      <c r="O10" s="448">
        <v>0.25</v>
      </c>
      <c r="P10" s="448">
        <v>0.25</v>
      </c>
      <c r="Q10" s="448">
        <v>0.25</v>
      </c>
      <c r="R10" s="448">
        <v>0.25</v>
      </c>
      <c r="S10" s="448">
        <v>0.25</v>
      </c>
      <c r="T10" s="448">
        <v>0.25</v>
      </c>
      <c r="U10" s="448">
        <v>0.25</v>
      </c>
    </row>
    <row r="11" spans="1:21">
      <c r="A11" s="25" t="s">
        <v>104</v>
      </c>
      <c r="B11" s="448">
        <v>0</v>
      </c>
      <c r="C11" s="448">
        <v>0.5</v>
      </c>
      <c r="D11" s="448">
        <v>0.5</v>
      </c>
      <c r="E11" s="448">
        <v>0.25</v>
      </c>
      <c r="F11" s="448">
        <v>0.25</v>
      </c>
      <c r="G11" s="448">
        <v>0.25</v>
      </c>
      <c r="H11" s="448">
        <v>0.25</v>
      </c>
      <c r="I11" s="448">
        <v>0.25</v>
      </c>
      <c r="J11" s="448">
        <v>0.25</v>
      </c>
      <c r="K11" s="448">
        <v>0.25</v>
      </c>
      <c r="L11" s="448">
        <v>0.25</v>
      </c>
      <c r="M11" s="448">
        <v>0.25</v>
      </c>
      <c r="N11" s="448">
        <v>0.25</v>
      </c>
      <c r="O11" s="448">
        <v>0.25</v>
      </c>
      <c r="P11" s="448">
        <v>0.25</v>
      </c>
      <c r="Q11" s="448">
        <v>0.25</v>
      </c>
      <c r="R11" s="448">
        <v>0.25</v>
      </c>
      <c r="S11" s="448">
        <v>0.25</v>
      </c>
      <c r="T11" s="448">
        <v>0.25</v>
      </c>
      <c r="U11" s="448">
        <v>0.25</v>
      </c>
    </row>
    <row r="12" spans="1:21" s="452" customFormat="1" ht="14" customHeight="1">
      <c r="A12" s="25" t="s">
        <v>574</v>
      </c>
      <c r="B12" s="448">
        <v>1</v>
      </c>
      <c r="C12" s="448"/>
      <c r="D12" s="448"/>
      <c r="E12" s="448"/>
      <c r="F12" s="448"/>
      <c r="G12" s="448"/>
      <c r="H12" s="448"/>
      <c r="I12" s="448"/>
      <c r="J12" s="448"/>
      <c r="K12" s="448"/>
      <c r="L12" s="448"/>
      <c r="M12" s="448"/>
      <c r="N12" s="448"/>
      <c r="O12" s="448"/>
      <c r="P12" s="448"/>
      <c r="Q12" s="448"/>
      <c r="R12" s="448"/>
      <c r="S12" s="448"/>
      <c r="T12" s="448"/>
      <c r="U12" s="448"/>
    </row>
    <row r="13" spans="1:21" s="424" customFormat="1">
      <c r="A13" s="472" t="s">
        <v>573</v>
      </c>
      <c r="B13" s="473">
        <v>0</v>
      </c>
      <c r="C13" s="473">
        <v>0.4</v>
      </c>
      <c r="D13" s="473">
        <v>0.6</v>
      </c>
      <c r="E13" s="473">
        <v>0.4</v>
      </c>
      <c r="F13" s="473">
        <v>0.3</v>
      </c>
      <c r="G13" s="473">
        <v>0.2</v>
      </c>
      <c r="H13" s="473">
        <v>0.1</v>
      </c>
      <c r="I13" s="473">
        <v>0.25</v>
      </c>
      <c r="J13" s="473">
        <v>0.25</v>
      </c>
      <c r="K13" s="473">
        <v>0.25</v>
      </c>
      <c r="L13" s="473">
        <v>0.25</v>
      </c>
      <c r="M13" s="473">
        <v>0.25</v>
      </c>
      <c r="N13" s="473">
        <v>0.25</v>
      </c>
      <c r="O13" s="473">
        <v>0.25</v>
      </c>
      <c r="P13" s="473">
        <v>0.25</v>
      </c>
      <c r="Q13" s="473">
        <v>0.25</v>
      </c>
      <c r="R13" s="473">
        <v>0.25</v>
      </c>
      <c r="S13" s="473">
        <v>0.25</v>
      </c>
      <c r="T13" s="473">
        <v>0.25</v>
      </c>
      <c r="U13" s="473">
        <v>0.25</v>
      </c>
    </row>
    <row r="14" spans="1:21" s="424" customFormat="1">
      <c r="A14" s="472"/>
      <c r="B14" s="473"/>
      <c r="C14" s="473"/>
      <c r="D14" s="473"/>
      <c r="E14" s="473"/>
      <c r="F14" s="473"/>
      <c r="G14" s="473"/>
      <c r="H14" s="473"/>
      <c r="I14" s="473"/>
      <c r="J14" s="473"/>
      <c r="K14" s="473"/>
      <c r="L14" s="473"/>
      <c r="M14" s="473"/>
      <c r="N14" s="473"/>
      <c r="O14" s="473"/>
      <c r="P14" s="473"/>
      <c r="Q14" s="473"/>
      <c r="R14" s="473"/>
      <c r="S14" s="473"/>
      <c r="T14" s="473"/>
      <c r="U14" s="473"/>
    </row>
    <row r="15" spans="1:21" s="424" customFormat="1">
      <c r="A15" s="556" t="s">
        <v>610</v>
      </c>
      <c r="B15" s="473">
        <v>1</v>
      </c>
      <c r="C15" s="473">
        <v>2</v>
      </c>
      <c r="D15" s="473">
        <v>3</v>
      </c>
      <c r="E15" s="473">
        <v>4</v>
      </c>
      <c r="F15" s="473">
        <v>5</v>
      </c>
      <c r="G15" s="473">
        <v>6</v>
      </c>
      <c r="H15" s="473">
        <v>7</v>
      </c>
      <c r="I15" s="473">
        <v>8</v>
      </c>
      <c r="J15" s="473">
        <v>9</v>
      </c>
      <c r="K15" s="473">
        <v>10</v>
      </c>
      <c r="L15" s="473">
        <v>11</v>
      </c>
      <c r="M15" s="473">
        <v>12</v>
      </c>
      <c r="N15" s="473">
        <v>13</v>
      </c>
      <c r="O15" s="473">
        <v>14</v>
      </c>
      <c r="P15" s="473">
        <v>15</v>
      </c>
      <c r="Q15" s="473">
        <v>16</v>
      </c>
      <c r="R15" s="473">
        <v>17</v>
      </c>
      <c r="S15" s="473">
        <v>18</v>
      </c>
      <c r="T15" s="473">
        <v>19</v>
      </c>
      <c r="U15" s="473">
        <v>20</v>
      </c>
    </row>
    <row r="16" spans="1:21">
      <c r="A16" s="25" t="s">
        <v>105</v>
      </c>
      <c r="B16" s="448">
        <v>7.0000000000000007E-2</v>
      </c>
      <c r="C16" s="448">
        <v>7.0000000000000007E-2</v>
      </c>
      <c r="D16" s="448">
        <v>4.9000000000000002E-2</v>
      </c>
      <c r="E16" s="448">
        <v>4.9000000000000002E-2</v>
      </c>
      <c r="F16" s="448">
        <v>4.9000000000000002E-2</v>
      </c>
      <c r="G16" s="448">
        <v>4.9000000000000002E-2</v>
      </c>
      <c r="H16" s="448">
        <v>4.9000000000000002E-2</v>
      </c>
      <c r="I16" s="448">
        <v>4.9000000000000002E-2</v>
      </c>
      <c r="J16" s="448">
        <v>4.9000000000000002E-2</v>
      </c>
      <c r="K16" s="448">
        <v>4.9000000000000002E-2</v>
      </c>
      <c r="L16" s="448">
        <v>4.9000000000000002E-2</v>
      </c>
      <c r="M16" s="448">
        <v>4.9000000000000002E-2</v>
      </c>
      <c r="N16" s="448">
        <f t="shared" ref="N16:T16" si="1">0.0475</f>
        <v>4.7500000000000001E-2</v>
      </c>
      <c r="O16" s="448">
        <f t="shared" si="1"/>
        <v>4.7500000000000001E-2</v>
      </c>
      <c r="P16" s="448">
        <f t="shared" si="1"/>
        <v>4.7500000000000001E-2</v>
      </c>
      <c r="Q16" s="448">
        <f t="shared" si="1"/>
        <v>4.7500000000000001E-2</v>
      </c>
      <c r="R16" s="448">
        <f t="shared" si="1"/>
        <v>4.7500000000000001E-2</v>
      </c>
      <c r="S16" s="448">
        <f t="shared" si="1"/>
        <v>4.7500000000000001E-2</v>
      </c>
      <c r="T16" s="448">
        <f t="shared" si="1"/>
        <v>4.7500000000000001E-2</v>
      </c>
      <c r="U16" s="448">
        <f>0.0375</f>
        <v>3.7499999999999999E-2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90"/>
  <sheetViews>
    <sheetView topLeftCell="A22" zoomScale="194" zoomScaleNormal="80" workbookViewId="0">
      <selection activeCell="D38" sqref="D38"/>
    </sheetView>
  </sheetViews>
  <sheetFormatPr baseColWidth="10" defaultColWidth="10.83203125" defaultRowHeight="15"/>
  <cols>
    <col min="1" max="1" width="15.5" style="54" customWidth="1"/>
    <col min="2" max="2" width="32.6640625" style="54" bestFit="1" customWidth="1"/>
    <col min="3" max="3" width="13" style="54" bestFit="1" customWidth="1"/>
    <col min="4" max="16384" width="10.83203125" style="54"/>
  </cols>
  <sheetData>
    <row r="1" spans="1:23" s="313" customFormat="1">
      <c r="A1" s="313" t="s">
        <v>575</v>
      </c>
      <c r="B1" s="313" t="s">
        <v>571</v>
      </c>
      <c r="C1" s="465">
        <v>2021</v>
      </c>
      <c r="D1" s="465">
        <f>C1</f>
        <v>2021</v>
      </c>
      <c r="E1" s="465">
        <f>D1</f>
        <v>2021</v>
      </c>
      <c r="F1" s="465">
        <v>2022</v>
      </c>
      <c r="G1" s="465">
        <v>2022</v>
      </c>
      <c r="H1" s="465">
        <v>2022</v>
      </c>
      <c r="I1" s="465">
        <v>2022</v>
      </c>
      <c r="J1" s="465">
        <v>2023</v>
      </c>
      <c r="K1" s="465">
        <v>2023</v>
      </c>
      <c r="L1" s="465">
        <v>2023</v>
      </c>
      <c r="M1" s="465">
        <v>2023</v>
      </c>
      <c r="N1" s="465">
        <v>2024</v>
      </c>
      <c r="O1" s="465">
        <v>2024</v>
      </c>
      <c r="P1" s="465">
        <v>2024</v>
      </c>
      <c r="Q1" s="465">
        <v>2024</v>
      </c>
      <c r="R1" s="465">
        <v>2025</v>
      </c>
      <c r="S1" s="465">
        <v>2025</v>
      </c>
      <c r="T1" s="465">
        <v>2025</v>
      </c>
      <c r="U1" s="465">
        <v>2025</v>
      </c>
      <c r="V1" s="465">
        <v>2026</v>
      </c>
    </row>
    <row r="2" spans="1:23" s="313" customFormat="1">
      <c r="B2" s="313" t="s">
        <v>572</v>
      </c>
      <c r="C2" s="453" t="s">
        <v>153</v>
      </c>
      <c r="D2" s="453" t="s">
        <v>154</v>
      </c>
      <c r="E2" s="453" t="s">
        <v>155</v>
      </c>
      <c r="F2" s="453" t="s">
        <v>156</v>
      </c>
      <c r="G2" s="453" t="s">
        <v>157</v>
      </c>
      <c r="H2" s="453" t="s">
        <v>158</v>
      </c>
      <c r="I2" s="453" t="s">
        <v>159</v>
      </c>
      <c r="J2" s="453" t="s">
        <v>160</v>
      </c>
      <c r="K2" s="453" t="s">
        <v>161</v>
      </c>
      <c r="L2" s="453" t="s">
        <v>162</v>
      </c>
      <c r="M2" s="453" t="s">
        <v>163</v>
      </c>
      <c r="N2" s="453" t="s">
        <v>165</v>
      </c>
      <c r="O2" s="453" t="s">
        <v>166</v>
      </c>
      <c r="P2" s="453" t="s">
        <v>167</v>
      </c>
      <c r="Q2" s="453" t="s">
        <v>168</v>
      </c>
      <c r="R2" s="453" t="s">
        <v>169</v>
      </c>
      <c r="S2" s="453" t="s">
        <v>170</v>
      </c>
      <c r="T2" s="453" t="s">
        <v>171</v>
      </c>
      <c r="U2" s="453" t="s">
        <v>172</v>
      </c>
      <c r="V2" s="453" t="s">
        <v>173</v>
      </c>
    </row>
    <row r="3" spans="1:23" s="313" customFormat="1">
      <c r="A3" s="313">
        <v>3</v>
      </c>
      <c r="B3" s="313" t="s">
        <v>509</v>
      </c>
      <c r="C3" s="466">
        <f>4*'ARP Timing'!B6*VLOOKUP(C$1,'ARP Score'!$A$5:$M14,$A3)</f>
        <v>0</v>
      </c>
      <c r="D3" s="996">
        <f>4*'ARP Timing'!C6*VLOOKUP(D$1,'ARP Score'!$A$5:$M14,$A3)</f>
        <v>391.4</v>
      </c>
      <c r="E3" s="996">
        <f>4*'ARP Timing'!D6*VLOOKUP(E$1,'ARP Score'!$A$5:$M14,$A3)</f>
        <v>391.4</v>
      </c>
      <c r="F3" s="996">
        <f>4*'ARP Timing'!E6*VLOOKUP(F$1,'ARP Score'!$A$5:$M14,$A3)</f>
        <v>10.1</v>
      </c>
      <c r="G3" s="996">
        <f>4*'ARP Timing'!F6*VLOOKUP(G$1,'ARP Score'!$A$5:$M14,$A3)</f>
        <v>10.1</v>
      </c>
      <c r="H3" s="996">
        <f>4*'ARP Timing'!G6*VLOOKUP(H$1,'ARP Score'!$A$5:$M14,$A3)</f>
        <v>10.1</v>
      </c>
      <c r="I3" s="996">
        <f>4*'ARP Timing'!H6*VLOOKUP(I$1,'ARP Score'!$A$5:$M14,$A3)</f>
        <v>10.1</v>
      </c>
      <c r="J3" s="996">
        <f>4*'ARP Timing'!I6*VLOOKUP(J$1,'ARP Score'!$A$5:$M14,$A3)</f>
        <v>0</v>
      </c>
      <c r="K3" s="996">
        <f>4*'ARP Timing'!J6*VLOOKUP(K$1,'ARP Score'!$A$5:$M14,$A3)</f>
        <v>0</v>
      </c>
      <c r="L3" s="996">
        <f>4*'ARP Timing'!K6*VLOOKUP(L$1,'ARP Score'!$A$5:$M14,$A3)</f>
        <v>0</v>
      </c>
      <c r="M3" s="996">
        <f>4*'ARP Timing'!L6*VLOOKUP(M$1,'ARP Score'!$A$5:$M14,$A3)</f>
        <v>0</v>
      </c>
      <c r="N3" s="996">
        <f>4*'ARP Timing'!M6*VLOOKUP(N$1,'ARP Score'!$A$5:$M14,$A3)</f>
        <v>0</v>
      </c>
      <c r="O3" s="996">
        <f>4*'ARP Timing'!N6*VLOOKUP(O$1,'ARP Score'!$A$5:$M14,$A3)</f>
        <v>0</v>
      </c>
      <c r="P3" s="996">
        <f>4*'ARP Timing'!O6*VLOOKUP(P$1,'ARP Score'!$A$5:$M14,$A3)</f>
        <v>0</v>
      </c>
      <c r="Q3" s="996">
        <f>4*'ARP Timing'!P6*VLOOKUP(Q$1,'ARP Score'!$A$5:$M14,$A3)</f>
        <v>0</v>
      </c>
      <c r="R3" s="996">
        <f>4*'ARP Timing'!Q6*VLOOKUP(R$1,'ARP Score'!$A$5:$M14,$A3)</f>
        <v>0</v>
      </c>
      <c r="S3" s="996">
        <f>4*'ARP Timing'!R6*VLOOKUP(S$1,'ARP Score'!$A$5:$M14,$A3)</f>
        <v>0</v>
      </c>
      <c r="T3" s="996">
        <f>4*'ARP Timing'!S6*VLOOKUP(T$1,'ARP Score'!$A$5:$M14,$A3)</f>
        <v>0</v>
      </c>
      <c r="U3" s="996">
        <f>4*'ARP Timing'!T6*VLOOKUP(U$1,'ARP Score'!$A$5:$M14,$A3)</f>
        <v>0</v>
      </c>
      <c r="V3" s="996">
        <f>4*'ARP Timing'!U6*VLOOKUP(V$1,'ARP Score'!$A$5:$M14,$A3)</f>
        <v>0</v>
      </c>
      <c r="W3" s="996">
        <f>SUM(C3:U3)/4</f>
        <v>205.8</v>
      </c>
    </row>
    <row r="4" spans="1:23" s="313" customFormat="1" ht="16">
      <c r="A4" s="313">
        <v>5</v>
      </c>
      <c r="B4" s="467" t="s">
        <v>540</v>
      </c>
      <c r="C4" s="466">
        <f>4*'ARP Timing'!B7*VLOOKUP(C$1,'ARP Score'!$A$5:$M15,$A4)</f>
        <v>0</v>
      </c>
      <c r="D4" s="466">
        <f>4*'ARP Timing'!C7*VLOOKUP(D$1,'ARP Score'!$A$5:$M15,$A4)</f>
        <v>53.272000000000048</v>
      </c>
      <c r="E4" s="466">
        <f>4*'ARP Timing'!D7*VLOOKUP(E$1,'ARP Score'!$A$5:$M15,$A4)</f>
        <v>53.272000000000048</v>
      </c>
      <c r="F4" s="466">
        <f>4*'ARP Timing'!E7*VLOOKUP(F$1,'ARP Score'!$A$5:$M15,$A4)</f>
        <v>98.978999999999999</v>
      </c>
      <c r="G4" s="466">
        <f>4*'ARP Timing'!F7*VLOOKUP(G$1,'ARP Score'!$A$5:$M15,$A4)</f>
        <v>98.978999999999999</v>
      </c>
      <c r="H4" s="466">
        <f>4*'ARP Timing'!G7*VLOOKUP(H$1,'ARP Score'!$A$5:$M15,$A4)</f>
        <v>98.978999999999999</v>
      </c>
      <c r="I4" s="466">
        <f>4*'ARP Timing'!H7*VLOOKUP(I$1,'ARP Score'!$A$5:$M15,$A4)</f>
        <v>98.978999999999999</v>
      </c>
      <c r="J4" s="466">
        <f>4*'ARP Timing'!I7*VLOOKUP(J$1,'ARP Score'!$A$5:$M15,$A4)</f>
        <v>2.1159999999999997</v>
      </c>
      <c r="K4" s="466">
        <f>4*'ARP Timing'!J7*VLOOKUP(K$1,'ARP Score'!$A$5:$M15,$A4)</f>
        <v>2.1159999999999997</v>
      </c>
      <c r="L4" s="466">
        <f>4*'ARP Timing'!K7*VLOOKUP(L$1,'ARP Score'!$A$5:$M15,$A4)</f>
        <v>2.1159999999999997</v>
      </c>
      <c r="M4" s="466">
        <f>4*'ARP Timing'!L7*VLOOKUP(M$1,'ARP Score'!$A$5:$M15,$A4)</f>
        <v>2.1159999999999997</v>
      </c>
      <c r="N4" s="466">
        <f>4*'ARP Timing'!M7*VLOOKUP(N$1,'ARP Score'!$A$5:$M15,$A4)</f>
        <v>2.1789999999999998</v>
      </c>
      <c r="O4" s="466">
        <f>4*'ARP Timing'!N7*VLOOKUP(O$1,'ARP Score'!$A$5:$M15,$A4)</f>
        <v>2.1789999999999998</v>
      </c>
      <c r="P4" s="466">
        <f>4*'ARP Timing'!O7*VLOOKUP(P$1,'ARP Score'!$A$5:$M15,$A4)</f>
        <v>2.1789999999999998</v>
      </c>
      <c r="Q4" s="466">
        <f>4*'ARP Timing'!P7*VLOOKUP(Q$1,'ARP Score'!$A$5:$M15,$A4)</f>
        <v>2.1789999999999998</v>
      </c>
      <c r="R4" s="466">
        <f>4*'ARP Timing'!Q7*VLOOKUP(R$1,'ARP Score'!$A$5:$M15,$A4)</f>
        <v>2.33</v>
      </c>
      <c r="S4" s="466">
        <f>4*'ARP Timing'!R7*VLOOKUP(S$1,'ARP Score'!$A$5:$M15,$A4)</f>
        <v>2.33</v>
      </c>
      <c r="T4" s="466">
        <f>4*'ARP Timing'!S7*VLOOKUP(T$1,'ARP Score'!$A$5:$M15,$A4)</f>
        <v>2.33</v>
      </c>
      <c r="U4" s="466">
        <f>4*'ARP Timing'!T7*VLOOKUP(U$1,'ARP Score'!$A$5:$M15,$A4)</f>
        <v>2.33</v>
      </c>
      <c r="V4" s="466">
        <f>4*'ARP Timing'!U7*VLOOKUP(V$1,'ARP Score'!$A$5:$M15,$A4)</f>
        <v>2.371</v>
      </c>
      <c r="W4" s="466">
        <f>SUM(C4:U4)/4</f>
        <v>132.24</v>
      </c>
    </row>
    <row r="5" spans="1:23" s="313" customFormat="1" ht="16">
      <c r="A5" s="313">
        <v>6</v>
      </c>
      <c r="B5" s="467" t="s">
        <v>542</v>
      </c>
      <c r="C5" s="466">
        <f>4*'ARP Timing'!B8*VLOOKUP(C$1,'ARP Score'!$A$5:$M16,$A5)</f>
        <v>0</v>
      </c>
      <c r="D5" s="466">
        <f>4*'ARP Timing'!C8*VLOOKUP(D$1,'ARP Score'!$A$5:$M16,$A5)</f>
        <v>95.444000000000031</v>
      </c>
      <c r="E5" s="466">
        <f>4*'ARP Timing'!D8*VLOOKUP(E$1,'ARP Score'!$A$5:$M16,$A5)</f>
        <v>95.444000000000031</v>
      </c>
      <c r="F5" s="466">
        <f>4*'ARP Timing'!E8*VLOOKUP(F$1,'ARP Score'!$A$5:$M16,$A5)</f>
        <v>52.756999999999998</v>
      </c>
      <c r="G5" s="466">
        <f>4*'ARP Timing'!F8*VLOOKUP(G$1,'ARP Score'!$A$5:$M16,$A5)</f>
        <v>52.756999999999998</v>
      </c>
      <c r="H5" s="466">
        <f>4*'ARP Timing'!G8*VLOOKUP(H$1,'ARP Score'!$A$5:$M16,$A5)</f>
        <v>52.756999999999998</v>
      </c>
      <c r="I5" s="466">
        <f>4*'ARP Timing'!H8*VLOOKUP(I$1,'ARP Score'!$A$5:$M16,$A5)</f>
        <v>52.756999999999998</v>
      </c>
      <c r="J5" s="466">
        <f>4*'ARP Timing'!I8*VLOOKUP(J$1,'ARP Score'!$A$5:$M16,$A5)</f>
        <v>12</v>
      </c>
      <c r="K5" s="466">
        <f>4*'ARP Timing'!J8*VLOOKUP(K$1,'ARP Score'!$A$5:$M16,$A5)</f>
        <v>12</v>
      </c>
      <c r="L5" s="466">
        <f>4*'ARP Timing'!K8*VLOOKUP(L$1,'ARP Score'!$A$5:$M16,$A5)</f>
        <v>12</v>
      </c>
      <c r="M5" s="466">
        <f>4*'ARP Timing'!L8*VLOOKUP(M$1,'ARP Score'!$A$5:$M16,$A5)</f>
        <v>12</v>
      </c>
      <c r="N5" s="466">
        <f>4*'ARP Timing'!M8*VLOOKUP(N$1,'ARP Score'!$A$5:$M16,$A5)</f>
        <v>4.2219999999999995</v>
      </c>
      <c r="O5" s="466">
        <f>4*'ARP Timing'!N8*VLOOKUP(O$1,'ARP Score'!$A$5:$M16,$A5)</f>
        <v>4.2219999999999995</v>
      </c>
      <c r="P5" s="466">
        <f>4*'ARP Timing'!O8*VLOOKUP(P$1,'ARP Score'!$A$5:$M16,$A5)</f>
        <v>4.2219999999999995</v>
      </c>
      <c r="Q5" s="466">
        <f>4*'ARP Timing'!P8*VLOOKUP(Q$1,'ARP Score'!$A$5:$M16,$A5)</f>
        <v>4.2219999999999995</v>
      </c>
      <c r="R5" s="466">
        <f>4*'ARP Timing'!Q8*VLOOKUP(R$1,'ARP Score'!$A$5:$M16,$A5)</f>
        <v>2.3719999999999999</v>
      </c>
      <c r="S5" s="466">
        <f>4*'ARP Timing'!R8*VLOOKUP(S$1,'ARP Score'!$A$5:$M16,$A5)</f>
        <v>2.3719999999999999</v>
      </c>
      <c r="T5" s="466">
        <f>4*'ARP Timing'!S8*VLOOKUP(T$1,'ARP Score'!$A$5:$M16,$A5)</f>
        <v>2.3719999999999999</v>
      </c>
      <c r="U5" s="466">
        <f>4*'ARP Timing'!T8*VLOOKUP(U$1,'ARP Score'!$A$5:$M16,$A5)</f>
        <v>2.3719999999999999</v>
      </c>
      <c r="V5" s="466">
        <f>4*'ARP Timing'!U8*VLOOKUP(V$1,'ARP Score'!$A$5:$M16,$A5)</f>
        <v>0.49</v>
      </c>
      <c r="W5" s="466">
        <f t="shared" ref="W5:W15" si="0">SUM(C5:U5)/4</f>
        <v>119.07300000000001</v>
      </c>
    </row>
    <row r="6" spans="1:23" s="313" customFormat="1" ht="16">
      <c r="A6" s="313">
        <v>7</v>
      </c>
      <c r="B6" s="467" t="s">
        <v>579</v>
      </c>
      <c r="C6" s="466">
        <f>4*'ARP Timing'!B9*VLOOKUP(C$1,'ARP Score'!$A$5:$M17,$A6)</f>
        <v>0</v>
      </c>
      <c r="D6" s="466">
        <f>4*'ARP Timing'!C9*VLOOKUP(D$1,'ARP Score'!$A$5:$M17,$A6)</f>
        <v>163.68599999999998</v>
      </c>
      <c r="E6" s="466">
        <f>4*'ARP Timing'!D9*VLOOKUP(E$1,'ARP Score'!$A$5:$M17,$A6)</f>
        <v>163.68599999999998</v>
      </c>
      <c r="F6" s="466">
        <f>4*'ARP Timing'!E9*VLOOKUP(F$1,'ARP Score'!$A$5:$M17,$A6)</f>
        <v>110.24799999999999</v>
      </c>
      <c r="G6" s="466">
        <f>4*'ARP Timing'!F9*VLOOKUP(G$1,'ARP Score'!$A$5:$M17,$A6)</f>
        <v>110.24799999999999</v>
      </c>
      <c r="H6" s="466">
        <f>4*'ARP Timing'!G9*VLOOKUP(H$1,'ARP Score'!$A$5:$M17,$A6)</f>
        <v>110.24799999999999</v>
      </c>
      <c r="I6" s="466">
        <f>4*'ARP Timing'!H9*VLOOKUP(I$1,'ARP Score'!$A$5:$M17,$A6)</f>
        <v>110.24799999999999</v>
      </c>
      <c r="J6" s="466">
        <f>4*'ARP Timing'!I9*VLOOKUP(J$1,'ARP Score'!$A$5:$M17,$A6)</f>
        <v>12.726000000000001</v>
      </c>
      <c r="K6" s="466">
        <f>4*'ARP Timing'!J9*VLOOKUP(K$1,'ARP Score'!$A$5:$M17,$A6)</f>
        <v>12.726000000000001</v>
      </c>
      <c r="L6" s="466">
        <f>4*'ARP Timing'!K9*VLOOKUP(L$1,'ARP Score'!$A$5:$M17,$A6)</f>
        <v>12.726000000000001</v>
      </c>
      <c r="M6" s="466">
        <f>4*'ARP Timing'!L9*VLOOKUP(M$1,'ARP Score'!$A$5:$M17,$A6)</f>
        <v>12.726000000000001</v>
      </c>
      <c r="N6" s="466">
        <f>4*'ARP Timing'!M9*VLOOKUP(N$1,'ARP Score'!$A$5:$M17,$A6)</f>
        <v>1.365</v>
      </c>
      <c r="O6" s="466">
        <f>4*'ARP Timing'!N9*VLOOKUP(O$1,'ARP Score'!$A$5:$M17,$A6)</f>
        <v>1.365</v>
      </c>
      <c r="P6" s="466">
        <f>4*'ARP Timing'!O9*VLOOKUP(P$1,'ARP Score'!$A$5:$M17,$A6)</f>
        <v>1.365</v>
      </c>
      <c r="Q6" s="466">
        <f>4*'ARP Timing'!P9*VLOOKUP(Q$1,'ARP Score'!$A$5:$M17,$A6)</f>
        <v>1.365</v>
      </c>
      <c r="R6" s="466">
        <f>4*'ARP Timing'!Q9*VLOOKUP(R$1,'ARP Score'!$A$5:$M17,$A6)</f>
        <v>-0.90100000000000025</v>
      </c>
      <c r="S6" s="466">
        <f>4*'ARP Timing'!R9*VLOOKUP(S$1,'ARP Score'!$A$5:$M17,$A6)</f>
        <v>-0.90100000000000025</v>
      </c>
      <c r="T6" s="466">
        <f>4*'ARP Timing'!S9*VLOOKUP(T$1,'ARP Score'!$A$5:$M17,$A6)</f>
        <v>-0.90100000000000025</v>
      </c>
      <c r="U6" s="466">
        <f>4*'ARP Timing'!T9*VLOOKUP(U$1,'ARP Score'!$A$5:$M17,$A6)</f>
        <v>-0.90100000000000025</v>
      </c>
      <c r="V6" s="466">
        <f>4*'ARP Timing'!U9*VLOOKUP(V$1,'ARP Score'!$A$5:$M17,$A6)</f>
        <v>-21.150000000000002</v>
      </c>
      <c r="W6" s="466">
        <f t="shared" si="0"/>
        <v>205.28100000000006</v>
      </c>
    </row>
    <row r="7" spans="1:23" s="313" customFormat="1" ht="16">
      <c r="A7" s="313">
        <v>8</v>
      </c>
      <c r="B7" s="467" t="s">
        <v>541</v>
      </c>
      <c r="C7" s="466">
        <f>4*'ARP Timing'!B10*VLOOKUP(C$1,'ARP Score'!$A$5:$M18,$A7)</f>
        <v>0</v>
      </c>
      <c r="D7" s="466">
        <f>4*'ARP Timing'!C10*VLOOKUP(D$1,'ARP Score'!$A$5:$M18,$A7)</f>
        <v>15.596</v>
      </c>
      <c r="E7" s="466">
        <f>4*'ARP Timing'!D10*VLOOKUP(E$1,'ARP Score'!$A$5:$M18,$A7)</f>
        <v>15.596</v>
      </c>
      <c r="F7" s="466">
        <f>4*'ARP Timing'!E10*VLOOKUP(F$1,'ARP Score'!$A$5:$M18,$A7)</f>
        <v>7.9489999999999998</v>
      </c>
      <c r="G7" s="466">
        <f>4*'ARP Timing'!F10*VLOOKUP(G$1,'ARP Score'!$A$5:$M18,$A7)</f>
        <v>7.9489999999999998</v>
      </c>
      <c r="H7" s="466">
        <f>4*'ARP Timing'!G10*VLOOKUP(H$1,'ARP Score'!$A$5:$M18,$A7)</f>
        <v>7.9489999999999998</v>
      </c>
      <c r="I7" s="466">
        <f>4*'ARP Timing'!H10*VLOOKUP(I$1,'ARP Score'!$A$5:$M18,$A7)</f>
        <v>7.9489999999999998</v>
      </c>
      <c r="J7" s="466">
        <f>4*'ARP Timing'!I10*VLOOKUP(J$1,'ARP Score'!$A$5:$M18,$A7)</f>
        <v>4.7519999999999998</v>
      </c>
      <c r="K7" s="466">
        <f>4*'ARP Timing'!J10*VLOOKUP(K$1,'ARP Score'!$A$5:$M18,$A7)</f>
        <v>4.7519999999999998</v>
      </c>
      <c r="L7" s="466">
        <f>4*'ARP Timing'!K10*VLOOKUP(L$1,'ARP Score'!$A$5:$M18,$A7)</f>
        <v>4.7519999999999998</v>
      </c>
      <c r="M7" s="466">
        <f>4*'ARP Timing'!L10*VLOOKUP(M$1,'ARP Score'!$A$5:$M18,$A7)</f>
        <v>4.7519999999999998</v>
      </c>
      <c r="N7" s="466">
        <f>4*'ARP Timing'!M10*VLOOKUP(N$1,'ARP Score'!$A$5:$M18,$A7)</f>
        <v>4.637999999999999</v>
      </c>
      <c r="O7" s="466">
        <f>4*'ARP Timing'!N10*VLOOKUP(O$1,'ARP Score'!$A$5:$M18,$A7)</f>
        <v>4.637999999999999</v>
      </c>
      <c r="P7" s="466">
        <f>4*'ARP Timing'!O10*VLOOKUP(P$1,'ARP Score'!$A$5:$M18,$A7)</f>
        <v>4.637999999999999</v>
      </c>
      <c r="Q7" s="466">
        <f>4*'ARP Timing'!P10*VLOOKUP(Q$1,'ARP Score'!$A$5:$M18,$A7)</f>
        <v>4.637999999999999</v>
      </c>
      <c r="R7" s="466">
        <f>4*'ARP Timing'!Q10*VLOOKUP(R$1,'ARP Score'!$A$5:$M18,$A7)</f>
        <v>1.8800000000000001</v>
      </c>
      <c r="S7" s="466">
        <f>4*'ARP Timing'!R10*VLOOKUP(S$1,'ARP Score'!$A$5:$M18,$A7)</f>
        <v>1.8800000000000001</v>
      </c>
      <c r="T7" s="466">
        <f>4*'ARP Timing'!S10*VLOOKUP(T$1,'ARP Score'!$A$5:$M18,$A7)</f>
        <v>1.8800000000000001</v>
      </c>
      <c r="U7" s="466">
        <f>4*'ARP Timing'!T10*VLOOKUP(U$1,'ARP Score'!$A$5:$M18,$A7)</f>
        <v>1.8800000000000001</v>
      </c>
      <c r="V7" s="466">
        <f>4*'ARP Timing'!U10*VLOOKUP(V$1,'ARP Score'!$A$5:$M18,$A7)</f>
        <v>1.446</v>
      </c>
      <c r="W7" s="466">
        <f t="shared" si="0"/>
        <v>27.016999999999996</v>
      </c>
    </row>
    <row r="8" spans="1:23" s="313" customFormat="1">
      <c r="A8" s="313">
        <v>9</v>
      </c>
      <c r="B8" s="471" t="s">
        <v>388</v>
      </c>
      <c r="C8" s="466">
        <f>4*'ARP Timing'!B$11*VLOOKUP(C$1,'ARP Score'!$A$5:$M19,$A8)</f>
        <v>0</v>
      </c>
      <c r="D8" s="466">
        <f>0.6*SUM('ARP Score'!B5:B7)*4</f>
        <v>989.16719999999987</v>
      </c>
      <c r="E8" s="465">
        <v>0</v>
      </c>
      <c r="F8" s="466">
        <v>0</v>
      </c>
      <c r="G8" s="466">
        <v>0</v>
      </c>
      <c r="H8" s="466">
        <f>D8*0.4/0.6</f>
        <v>659.44479999999999</v>
      </c>
      <c r="I8" s="466">
        <v>0</v>
      </c>
      <c r="J8" s="313">
        <v>0</v>
      </c>
      <c r="K8" s="466">
        <v>0</v>
      </c>
      <c r="L8" s="466">
        <v>0</v>
      </c>
      <c r="M8" s="466">
        <v>0</v>
      </c>
      <c r="N8" s="466">
        <v>0</v>
      </c>
      <c r="O8" s="466">
        <v>0</v>
      </c>
      <c r="P8" s="466">
        <v>0</v>
      </c>
      <c r="Q8" s="466">
        <v>0</v>
      </c>
      <c r="R8" s="466">
        <v>0</v>
      </c>
      <c r="S8" s="466">
        <v>0</v>
      </c>
      <c r="T8" s="466">
        <v>0</v>
      </c>
      <c r="U8" s="466">
        <v>0</v>
      </c>
      <c r="V8" s="466">
        <v>0</v>
      </c>
      <c r="W8" s="466">
        <f t="shared" si="0"/>
        <v>412.15299999999996</v>
      </c>
    </row>
    <row r="9" spans="1:23" s="313" customFormat="1">
      <c r="A9" s="313">
        <v>10</v>
      </c>
      <c r="B9" s="471" t="s">
        <v>309</v>
      </c>
      <c r="C9" s="466">
        <f>4*'ARP Timing'!B$11*VLOOKUP(C$1,'ARP Score'!$A$5:$M20,$A9)</f>
        <v>0</v>
      </c>
      <c r="D9" s="466">
        <f>4*'ARP Timing'!C$11*VLOOKUP(D$1,'ARP Score'!$A$5:$M20,$A9)</f>
        <v>24.693999999999999</v>
      </c>
      <c r="E9" s="466">
        <f>4*'ARP Timing'!D$11*VLOOKUP(E$1,'ARP Score'!$A$5:$M20,$A9)</f>
        <v>24.693999999999999</v>
      </c>
      <c r="F9" s="466">
        <f>4*'ARP Timing'!E$11*VLOOKUP(F$1,'ARP Score'!$A$5:$M20,$A9)</f>
        <v>46.79</v>
      </c>
      <c r="G9" s="466">
        <f>4*'ARP Timing'!F$11*VLOOKUP(G$1,'ARP Score'!$A$5:$M20,$A9)</f>
        <v>46.79</v>
      </c>
      <c r="H9" s="466">
        <f>4*'ARP Timing'!G$11*VLOOKUP(H$1,'ARP Score'!$A$5:$M20,$A9)</f>
        <v>46.79</v>
      </c>
      <c r="I9" s="466">
        <f>4*'ARP Timing'!H$11*VLOOKUP(I$1,'ARP Score'!$A$5:$M20,$A9)</f>
        <v>46.79</v>
      </c>
      <c r="J9" s="466">
        <f>4*'ARP Timing'!I$11*VLOOKUP(J$1,'ARP Score'!$A$5:$M20,$A9)</f>
        <v>38.595999999999997</v>
      </c>
      <c r="K9" s="466">
        <f>4*'ARP Timing'!J$11*VLOOKUP(K$1,'ARP Score'!$A$5:$M20,$A9)</f>
        <v>38.595999999999997</v>
      </c>
      <c r="L9" s="466">
        <f>4*'ARP Timing'!K$11*VLOOKUP(L$1,'ARP Score'!$A$5:$M20,$A9)</f>
        <v>38.595999999999997</v>
      </c>
      <c r="M9" s="466">
        <f>4*'ARP Timing'!L$11*VLOOKUP(M$1,'ARP Score'!$A$5:$M20,$A9)</f>
        <v>38.595999999999997</v>
      </c>
      <c r="N9" s="466">
        <f>4*'ARP Timing'!M$11*VLOOKUP(N$1,'ARP Score'!$A$5:$M20,$A9)</f>
        <v>31.911000000000001</v>
      </c>
      <c r="O9" s="466">
        <f>4*'ARP Timing'!N$11*VLOOKUP(O$1,'ARP Score'!$A$5:$M20,$A9)</f>
        <v>31.911000000000001</v>
      </c>
      <c r="P9" s="466">
        <f>4*'ARP Timing'!O$11*VLOOKUP(P$1,'ARP Score'!$A$5:$M20,$A9)</f>
        <v>31.911000000000001</v>
      </c>
      <c r="Q9" s="466">
        <f>4*'ARP Timing'!P$11*VLOOKUP(Q$1,'ARP Score'!$A$5:$M20,$A9)</f>
        <v>31.911000000000001</v>
      </c>
      <c r="R9" s="466">
        <f>4*'ARP Timing'!Q$11*VLOOKUP(R$1,'ARP Score'!$A$5:$M20,$A9)</f>
        <v>23.099</v>
      </c>
      <c r="S9" s="466">
        <f>4*'ARP Timing'!R$11*VLOOKUP(S$1,'ARP Score'!$A$5:$M20,$A9)</f>
        <v>23.099</v>
      </c>
      <c r="T9" s="466">
        <f>4*'ARP Timing'!S$11*VLOOKUP(T$1,'ARP Score'!$A$5:$M20,$A9)</f>
        <v>23.099</v>
      </c>
      <c r="U9" s="466">
        <f>4*'ARP Timing'!T$11*VLOOKUP(U$1,'ARP Score'!$A$5:$M20,$A9)</f>
        <v>23.099</v>
      </c>
      <c r="V9" s="466">
        <f>4*'ARP Timing'!U$11*VLOOKUP(V$1,'ARP Score'!$A$5:$M20,$A9)</f>
        <v>10.766999999999999</v>
      </c>
      <c r="W9" s="466">
        <f t="shared" si="0"/>
        <v>152.74300000000005</v>
      </c>
    </row>
    <row r="10" spans="1:23" s="313" customFormat="1">
      <c r="A10" s="1050">
        <v>11</v>
      </c>
      <c r="B10" s="471" t="s">
        <v>415</v>
      </c>
      <c r="C10" s="466">
        <f>4*'ARP Timing'!B$11*VLOOKUP(C$1,'ARP Score'!$A$5:$M22,$A10)</f>
        <v>0</v>
      </c>
      <c r="D10" s="466">
        <f>4*'ARP Timing'!C$11*VLOOKUP(D$1,'ARP Score'!$A$5:$M22,$A10)</f>
        <v>34.136000000000003</v>
      </c>
      <c r="E10" s="466">
        <f>4*'ARP Timing'!D$11*VLOOKUP(E$1,'ARP Score'!$A$5:$M22,$A10)</f>
        <v>34.136000000000003</v>
      </c>
      <c r="F10" s="466">
        <f>4*'ARP Timing'!E$11*VLOOKUP(F$1,'ARP Score'!$A$5:$M22,$A10)</f>
        <v>23.761000000000003</v>
      </c>
      <c r="G10" s="466">
        <f>4*'ARP Timing'!F$11*VLOOKUP(G$1,'ARP Score'!$A$5:$M22,$A10)</f>
        <v>23.761000000000003</v>
      </c>
      <c r="H10" s="466">
        <f>4*'ARP Timing'!G$11*VLOOKUP(H$1,'ARP Score'!$A$5:$M22,$A10)</f>
        <v>23.761000000000003</v>
      </c>
      <c r="I10" s="466">
        <f>4*'ARP Timing'!H$11*VLOOKUP(I$1,'ARP Score'!$A$5:$M22,$A10)</f>
        <v>23.761000000000003</v>
      </c>
      <c r="J10" s="466">
        <f>4*'ARP Timing'!I$11*VLOOKUP(J$1,'ARP Score'!$A$5:$M22,$A10)</f>
        <v>15.526</v>
      </c>
      <c r="K10" s="466">
        <f>4*'ARP Timing'!J$11*VLOOKUP(K$1,'ARP Score'!$A$5:$M22,$A10)</f>
        <v>15.526</v>
      </c>
      <c r="L10" s="466">
        <f>4*'ARP Timing'!K$11*VLOOKUP(L$1,'ARP Score'!$A$5:$M22,$A10)</f>
        <v>15.526</v>
      </c>
      <c r="M10" s="466">
        <f>4*'ARP Timing'!L$11*VLOOKUP(M$1,'ARP Score'!$A$5:$M22,$A10)</f>
        <v>15.526</v>
      </c>
      <c r="N10" s="466">
        <f>4*'ARP Timing'!M$11*VLOOKUP(N$1,'ARP Score'!$A$5:$M22,$A10)</f>
        <v>4.2830000000000004</v>
      </c>
      <c r="O10" s="466">
        <f>4*'ARP Timing'!N$11*VLOOKUP(O$1,'ARP Score'!$A$5:$M22,$A10)</f>
        <v>4.2830000000000004</v>
      </c>
      <c r="P10" s="466">
        <f>4*'ARP Timing'!O$11*VLOOKUP(P$1,'ARP Score'!$A$5:$M22,$A10)</f>
        <v>4.2830000000000004</v>
      </c>
      <c r="Q10" s="466">
        <f>4*'ARP Timing'!P$11*VLOOKUP(Q$1,'ARP Score'!$A$5:$M22,$A10)</f>
        <v>4.2830000000000004</v>
      </c>
      <c r="R10" s="466">
        <f>4*'ARP Timing'!Q$11*VLOOKUP(R$1,'ARP Score'!$A$5:$M22,$A10)</f>
        <v>0.84899999999999987</v>
      </c>
      <c r="S10" s="466">
        <f>4*'ARP Timing'!R$11*VLOOKUP(S$1,'ARP Score'!$A$5:$M22,$A10)</f>
        <v>0.84899999999999987</v>
      </c>
      <c r="T10" s="466">
        <f>4*'ARP Timing'!S$11*VLOOKUP(T$1,'ARP Score'!$A$5:$M22,$A10)</f>
        <v>0.84899999999999987</v>
      </c>
      <c r="U10" s="466">
        <f>4*'ARP Timing'!T$11*VLOOKUP(U$1,'ARP Score'!$A$5:$M22,$A10)</f>
        <v>0.84899999999999987</v>
      </c>
      <c r="V10" s="466">
        <f>4*'ARP Timing'!U$11*VLOOKUP(V$1,'ARP Score'!$A$5:$M22,$A10)</f>
        <v>0.35300000000000004</v>
      </c>
      <c r="W10" s="466">
        <f t="shared" si="0"/>
        <v>61.486999999999988</v>
      </c>
    </row>
    <row r="11" spans="1:23" s="313" customFormat="1" ht="16">
      <c r="A11" s="313">
        <v>12</v>
      </c>
      <c r="B11" s="468" t="s">
        <v>563</v>
      </c>
      <c r="C11" s="466">
        <f>4*'ARP Timing'!B12*VLOOKUP(C$1,'ARP Score'!$A$5:$M20,$A11)</f>
        <v>103</v>
      </c>
      <c r="D11" s="466">
        <f>4*'ARP Timing'!C12*VLOOKUP(D$1,'ARP Score'!$A$5:$M20,$A11)</f>
        <v>0</v>
      </c>
      <c r="E11" s="466">
        <f>4*'ARP Timing'!D12*VLOOKUP(E$1,'ARP Score'!$A$5:$M20,$A11)</f>
        <v>0</v>
      </c>
      <c r="F11" s="466">
        <f>4*'ARP Timing'!E12*VLOOKUP(F$1,'ARP Score'!$A$5:$M20,$A11)</f>
        <v>0</v>
      </c>
      <c r="G11" s="466">
        <f>4*'ARP Timing'!F12*VLOOKUP(G$1,'ARP Score'!$A$5:$M20,$A11)</f>
        <v>0</v>
      </c>
      <c r="H11" s="466">
        <f>4*'ARP Timing'!G12*VLOOKUP(H$1,'ARP Score'!$A$5:$M20,$A11)</f>
        <v>0</v>
      </c>
      <c r="I11" s="466">
        <f>4*'ARP Timing'!H12*VLOOKUP(I$1,'ARP Score'!$A$5:$M20,$A11)</f>
        <v>0</v>
      </c>
      <c r="J11" s="466">
        <f>4*'ARP Timing'!I12*VLOOKUP(J$1,'ARP Score'!$A$5:$M20,$A11)</f>
        <v>0</v>
      </c>
      <c r="K11" s="466">
        <f>4*'ARP Timing'!J12*VLOOKUP(K$1,'ARP Score'!$A$5:$M20,$A11)</f>
        <v>0</v>
      </c>
      <c r="L11" s="466">
        <f>4*'ARP Timing'!K12*VLOOKUP(L$1,'ARP Score'!$A$5:$M20,$A11)</f>
        <v>0</v>
      </c>
      <c r="M11" s="466">
        <f>4*'ARP Timing'!L12*VLOOKUP(M$1,'ARP Score'!$A$5:$M20,$A11)</f>
        <v>0</v>
      </c>
      <c r="N11" s="466">
        <f>4*'ARP Timing'!M12*VLOOKUP(N$1,'ARP Score'!$A$5:$M20,$A11)</f>
        <v>0</v>
      </c>
      <c r="O11" s="466">
        <f>4*'ARP Timing'!N12*VLOOKUP(O$1,'ARP Score'!$A$5:$M20,$A11)</f>
        <v>0</v>
      </c>
      <c r="P11" s="466">
        <f>4*'ARP Timing'!O12*VLOOKUP(P$1,'ARP Score'!$A$5:$M20,$A11)</f>
        <v>0</v>
      </c>
      <c r="Q11" s="466">
        <f>4*'ARP Timing'!P12*VLOOKUP(Q$1,'ARP Score'!$A$5:$M20,$A11)</f>
        <v>0</v>
      </c>
      <c r="R11" s="466">
        <f>4*'ARP Timing'!Q12*VLOOKUP(R$1,'ARP Score'!$A$5:$M20,$A11)</f>
        <v>0</v>
      </c>
      <c r="S11" s="466">
        <f>4*'ARP Timing'!R12*VLOOKUP(S$1,'ARP Score'!$A$5:$M20,$A11)</f>
        <v>0</v>
      </c>
      <c r="T11" s="466">
        <f>4*'ARP Timing'!S12*VLOOKUP(T$1,'ARP Score'!$A$5:$M20,$A11)</f>
        <v>0</v>
      </c>
      <c r="U11" s="466">
        <f>4*'ARP Timing'!T12*VLOOKUP(U$1,'ARP Score'!$A$5:$M20,$A11)</f>
        <v>0</v>
      </c>
      <c r="V11" s="466">
        <f>4*'ARP Timing'!U12*VLOOKUP(V$1,'ARP Score'!$A$5:$M20,$A11)</f>
        <v>0</v>
      </c>
      <c r="W11" s="466">
        <f t="shared" si="0"/>
        <v>25.75</v>
      </c>
    </row>
    <row r="12" spans="1:23" s="313" customFormat="1" ht="16">
      <c r="A12" s="313">
        <v>13</v>
      </c>
      <c r="B12" s="467" t="s">
        <v>403</v>
      </c>
      <c r="C12" s="466">
        <f>4*'ARP Timing'!B13*VLOOKUP(C$1,'ARP Score'!$A$5:$M21,$A12)</f>
        <v>0</v>
      </c>
      <c r="D12" s="466">
        <f>4*'ARP Timing'!C13*VLOOKUP(D$1,'ARP Score'!$A$5:$M21,$A12)</f>
        <v>71.198400000000007</v>
      </c>
      <c r="E12" s="466">
        <f>4*'ARP Timing'!D13*VLOOKUP(E$1,'ARP Score'!$A$5:$M21,$A12)</f>
        <v>106.7976</v>
      </c>
      <c r="F12" s="466">
        <f>4*'ARP Timing'!E13*VLOOKUP(F$1,'ARP Score'!$A$5:$M21,$A12)</f>
        <v>109.31680000000001</v>
      </c>
      <c r="G12" s="466">
        <f>4*'ARP Timing'!F13*VLOOKUP(G$1,'ARP Score'!$A$5:$M21,$A12)</f>
        <v>81.9876</v>
      </c>
      <c r="H12" s="466">
        <f>4*'ARP Timing'!G13*VLOOKUP(H$1,'ARP Score'!$A$5:$M21,$A12)</f>
        <v>54.658400000000007</v>
      </c>
      <c r="I12" s="466">
        <f>4*'ARP Timing'!H13*VLOOKUP(I$1,'ARP Score'!$A$5:$M21,$A12)</f>
        <v>27.329200000000004</v>
      </c>
      <c r="J12" s="466">
        <f>4*'ARP Timing'!I13*VLOOKUP(J$1,'ARP Score'!$A$5:$M21,$A12)</f>
        <v>24.342999999999996</v>
      </c>
      <c r="K12" s="466">
        <f>4*'ARP Timing'!J13*VLOOKUP(K$1,'ARP Score'!$A$5:$M21,$A12)</f>
        <v>24.342999999999996</v>
      </c>
      <c r="L12" s="466">
        <f>4*'ARP Timing'!K13*VLOOKUP(L$1,'ARP Score'!$A$5:$M21,$A12)</f>
        <v>24.342999999999996</v>
      </c>
      <c r="M12" s="466">
        <f>4*'ARP Timing'!L13*VLOOKUP(M$1,'ARP Score'!$A$5:$M21,$A12)</f>
        <v>24.342999999999996</v>
      </c>
      <c r="N12" s="466">
        <f>4*'ARP Timing'!M13*VLOOKUP(N$1,'ARP Score'!$A$5:$M21,$A12)</f>
        <v>9.2920000000000016</v>
      </c>
      <c r="O12" s="466">
        <f>4*'ARP Timing'!N13*VLOOKUP(O$1,'ARP Score'!$A$5:$M21,$A12)</f>
        <v>9.2920000000000016</v>
      </c>
      <c r="P12" s="466">
        <f>4*'ARP Timing'!O13*VLOOKUP(P$1,'ARP Score'!$A$5:$M21,$A12)</f>
        <v>9.2920000000000016</v>
      </c>
      <c r="Q12" s="466">
        <f>4*'ARP Timing'!P13*VLOOKUP(Q$1,'ARP Score'!$A$5:$M21,$A12)</f>
        <v>9.2920000000000016</v>
      </c>
      <c r="R12" s="466">
        <f>4*'ARP Timing'!Q13*VLOOKUP(R$1,'ARP Score'!$A$5:$M21,$A12)</f>
        <v>2.9870000000000001</v>
      </c>
      <c r="S12" s="466">
        <f>4*'ARP Timing'!R13*VLOOKUP(S$1,'ARP Score'!$A$5:$M21,$A12)</f>
        <v>2.9870000000000001</v>
      </c>
      <c r="T12" s="466">
        <f>4*'ARP Timing'!S13*VLOOKUP(T$1,'ARP Score'!$A$5:$M21,$A12)</f>
        <v>2.9870000000000001</v>
      </c>
      <c r="U12" s="466">
        <f>4*'ARP Timing'!T13*VLOOKUP(U$1,'ARP Score'!$A$5:$M21,$A12)</f>
        <v>2.9870000000000001</v>
      </c>
      <c r="V12" s="466">
        <f>4*'ARP Timing'!U13*VLOOKUP(V$1,'ARP Score'!$A$5:$M21,$A12)</f>
        <v>-19.045999999999999</v>
      </c>
      <c r="W12" s="466">
        <f t="shared" si="0"/>
        <v>149.44400000000002</v>
      </c>
    </row>
    <row r="13" spans="1:23">
      <c r="A13" s="54">
        <v>15</v>
      </c>
      <c r="B13" s="54" t="s">
        <v>585</v>
      </c>
      <c r="C13" s="466">
        <f>0.3*'ARP Score'!$N5*4*'ARP Timing'!B6</f>
        <v>0</v>
      </c>
      <c r="D13" s="466">
        <f>0.3*'ARP Score'!$N5*4*'ARP Timing'!C6</f>
        <v>2.04</v>
      </c>
      <c r="E13" s="466">
        <f>0.3*'ARP Score'!$N5*4*'ARP Timing'!D6</f>
        <v>2.04</v>
      </c>
      <c r="F13" s="466">
        <f>0.3*'ARP Score'!$N6*4*'ARP Timing'!E6</f>
        <v>1.5299999999999998</v>
      </c>
      <c r="G13" s="466">
        <f>0.3*'ARP Score'!$N6*4*'ARP Timing'!F6</f>
        <v>1.5299999999999998</v>
      </c>
      <c r="H13" s="466">
        <f>0.3*'ARP Score'!$N6*4*'ARP Timing'!G6</f>
        <v>1.5299999999999998</v>
      </c>
      <c r="I13" s="466">
        <f>0.3*'ARP Score'!$N6*4*'ARP Timing'!H6</f>
        <v>1.5299999999999998</v>
      </c>
      <c r="J13" s="466">
        <f>0.3*'ARP Score'!$N7*4*'ARP Timing'!I6</f>
        <v>0</v>
      </c>
      <c r="K13" s="466">
        <f>0.3*'ARP Score'!$N7*4*'ARP Timing'!J6</f>
        <v>0</v>
      </c>
      <c r="L13" s="466">
        <f>0.3*'ARP Score'!$N7*4*'ARP Timing'!K6</f>
        <v>0</v>
      </c>
      <c r="M13" s="466">
        <f>0.3*'ARP Score'!$N7*4*'ARP Timing'!L6</f>
        <v>0</v>
      </c>
      <c r="N13" s="466">
        <f>0.3*'ARP Score'!$N7*4*'ARP Timing'!M6</f>
        <v>0</v>
      </c>
      <c r="O13" s="466">
        <f>0.3*'ARP Score'!$N7*4*'ARP Timing'!N6</f>
        <v>0</v>
      </c>
      <c r="P13" s="466">
        <f>0.3*'ARP Score'!$N7*4*'ARP Timing'!O6</f>
        <v>0</v>
      </c>
      <c r="Q13" s="466">
        <f>0.3*'ARP Score'!$N7*4*'ARP Timing'!P6</f>
        <v>0</v>
      </c>
      <c r="R13" s="466">
        <f>0.3*'ARP Score'!$N7*4*'ARP Timing'!Q6</f>
        <v>0</v>
      </c>
      <c r="S13" s="466">
        <f>0.3*'ARP Score'!$N7*4*'ARP Timing'!R6</f>
        <v>0</v>
      </c>
      <c r="T13" s="466">
        <f>0.3*'ARP Score'!$N7*4*'ARP Timing'!S6</f>
        <v>0</v>
      </c>
      <c r="U13" s="466">
        <f>0.3*'ARP Score'!$N7*4*'ARP Timing'!T6</f>
        <v>0</v>
      </c>
      <c r="V13" s="466">
        <f>0.3*'ARP Score'!$N7*4*'ARP Timing'!U6</f>
        <v>0</v>
      </c>
      <c r="W13" s="466">
        <f t="shared" si="0"/>
        <v>2.5499999999999994</v>
      </c>
    </row>
    <row r="14" spans="1:23" s="313" customFormat="1">
      <c r="A14" s="313">
        <v>14</v>
      </c>
      <c r="B14" s="313" t="s">
        <v>586</v>
      </c>
      <c r="C14" s="466">
        <f>C13/0.3*0.2</f>
        <v>0</v>
      </c>
      <c r="D14" s="466">
        <f t="shared" ref="D14:F14" si="1">D13/0.3*0.2</f>
        <v>1.3600000000000003</v>
      </c>
      <c r="E14" s="466">
        <f t="shared" si="1"/>
        <v>1.3600000000000003</v>
      </c>
      <c r="F14" s="466">
        <f t="shared" si="1"/>
        <v>1.02</v>
      </c>
      <c r="G14" s="466">
        <f t="shared" ref="G14" si="2">G13/0.3*0.2</f>
        <v>1.02</v>
      </c>
      <c r="H14" s="466">
        <f t="shared" ref="H14" si="3">H13/0.3*0.2</f>
        <v>1.02</v>
      </c>
      <c r="I14" s="466">
        <f t="shared" ref="I14" si="4">I13/0.3*0.2</f>
        <v>1.02</v>
      </c>
      <c r="J14" s="466">
        <f t="shared" ref="J14" si="5">J13/0.3*0.2</f>
        <v>0</v>
      </c>
      <c r="K14" s="466">
        <f t="shared" ref="K14" si="6">K13/0.3*0.2</f>
        <v>0</v>
      </c>
      <c r="L14" s="466">
        <f t="shared" ref="L14" si="7">L13/0.3*0.2</f>
        <v>0</v>
      </c>
      <c r="M14" s="466">
        <f t="shared" ref="M14" si="8">M13/0.3*0.2</f>
        <v>0</v>
      </c>
      <c r="N14" s="466">
        <f t="shared" ref="N14" si="9">N13/0.3*0.2</f>
        <v>0</v>
      </c>
      <c r="O14" s="466">
        <f t="shared" ref="O14" si="10">O13/0.3*0.2</f>
        <v>0</v>
      </c>
      <c r="P14" s="466">
        <f t="shared" ref="P14" si="11">P13/0.3*0.2</f>
        <v>0</v>
      </c>
      <c r="Q14" s="466">
        <f t="shared" ref="Q14" si="12">Q13/0.3*0.2</f>
        <v>0</v>
      </c>
      <c r="R14" s="466">
        <f t="shared" ref="R14" si="13">R13/0.3*0.2</f>
        <v>0</v>
      </c>
      <c r="S14" s="466">
        <f t="shared" ref="S14" si="14">S13/0.3*0.2</f>
        <v>0</v>
      </c>
      <c r="T14" s="466">
        <f t="shared" ref="T14" si="15">T13/0.3*0.2</f>
        <v>0</v>
      </c>
      <c r="U14" s="466">
        <f t="shared" ref="U14" si="16">U13/0.3*0.2</f>
        <v>0</v>
      </c>
      <c r="V14" s="466">
        <f t="shared" ref="V14" si="17">V13/0.3*0.2</f>
        <v>0</v>
      </c>
      <c r="W14" s="466">
        <f t="shared" si="0"/>
        <v>1.7000000000000002</v>
      </c>
    </row>
    <row r="15" spans="1:23" s="313" customFormat="1">
      <c r="A15" s="313">
        <v>14</v>
      </c>
      <c r="B15" s="313" t="s">
        <v>514</v>
      </c>
      <c r="C15" s="466">
        <f>C14/0.2*0.5</f>
        <v>0</v>
      </c>
      <c r="D15" s="466">
        <f t="shared" ref="D15:F15" si="18">D14/0.2*0.5</f>
        <v>3.4000000000000008</v>
      </c>
      <c r="E15" s="466">
        <f t="shared" si="18"/>
        <v>3.4000000000000008</v>
      </c>
      <c r="F15" s="466">
        <f t="shared" si="18"/>
        <v>2.5499999999999998</v>
      </c>
      <c r="G15" s="466">
        <f t="shared" ref="G15" si="19">G14/0.2*0.5</f>
        <v>2.5499999999999998</v>
      </c>
      <c r="H15" s="466">
        <f t="shared" ref="H15" si="20">H14/0.2*0.5</f>
        <v>2.5499999999999998</v>
      </c>
      <c r="I15" s="466">
        <f t="shared" ref="I15" si="21">I14/0.2*0.5</f>
        <v>2.5499999999999998</v>
      </c>
      <c r="J15" s="466">
        <f t="shared" ref="J15" si="22">J14/0.2*0.5</f>
        <v>0</v>
      </c>
      <c r="K15" s="466">
        <f t="shared" ref="K15" si="23">K14/0.2*0.5</f>
        <v>0</v>
      </c>
      <c r="L15" s="466">
        <f t="shared" ref="L15" si="24">L14/0.2*0.5</f>
        <v>0</v>
      </c>
      <c r="M15" s="466">
        <f t="shared" ref="M15" si="25">M14/0.2*0.5</f>
        <v>0</v>
      </c>
      <c r="N15" s="466">
        <f t="shared" ref="N15" si="26">N14/0.2*0.5</f>
        <v>0</v>
      </c>
      <c r="O15" s="466">
        <f t="shared" ref="O15" si="27">O14/0.2*0.5</f>
        <v>0</v>
      </c>
      <c r="P15" s="466">
        <f t="shared" ref="P15" si="28">P14/0.2*0.5</f>
        <v>0</v>
      </c>
      <c r="Q15" s="466">
        <f t="shared" ref="Q15" si="29">Q14/0.2*0.5</f>
        <v>0</v>
      </c>
      <c r="R15" s="466">
        <f t="shared" ref="R15" si="30">R14/0.2*0.5</f>
        <v>0</v>
      </c>
      <c r="S15" s="466">
        <f t="shared" ref="S15" si="31">S14/0.2*0.5</f>
        <v>0</v>
      </c>
      <c r="T15" s="466">
        <f t="shared" ref="T15" si="32">T14/0.2*0.5</f>
        <v>0</v>
      </c>
      <c r="U15" s="466">
        <f t="shared" ref="U15" si="33">U14/0.2*0.5</f>
        <v>0</v>
      </c>
      <c r="V15" s="466">
        <f t="shared" ref="V15" si="34">V14/0.2*0.5</f>
        <v>0</v>
      </c>
      <c r="W15" s="466">
        <f t="shared" si="0"/>
        <v>4.2500000000000009</v>
      </c>
    </row>
    <row r="17" spans="1:22" s="313" customFormat="1">
      <c r="B17" s="313" t="s">
        <v>788</v>
      </c>
      <c r="D17" s="581" t="s">
        <v>154</v>
      </c>
      <c r="E17" s="581" t="s">
        <v>155</v>
      </c>
      <c r="F17" s="581" t="s">
        <v>156</v>
      </c>
      <c r="G17" s="581" t="s">
        <v>157</v>
      </c>
      <c r="H17" s="581" t="s">
        <v>158</v>
      </c>
      <c r="I17" s="581" t="s">
        <v>159</v>
      </c>
      <c r="J17" s="581" t="s">
        <v>160</v>
      </c>
      <c r="K17" s="581" t="s">
        <v>161</v>
      </c>
      <c r="L17" s="581" t="s">
        <v>162</v>
      </c>
      <c r="M17" s="581" t="s">
        <v>163</v>
      </c>
      <c r="N17" s="581" t="s">
        <v>165</v>
      </c>
      <c r="O17" s="581" t="s">
        <v>166</v>
      </c>
      <c r="P17" s="581" t="s">
        <v>167</v>
      </c>
      <c r="Q17" s="581" t="s">
        <v>168</v>
      </c>
      <c r="R17" s="581" t="s">
        <v>169</v>
      </c>
      <c r="S17" s="581" t="s">
        <v>170</v>
      </c>
      <c r="T17" s="581" t="s">
        <v>171</v>
      </c>
      <c r="U17" s="581" t="s">
        <v>172</v>
      </c>
      <c r="V17" s="581" t="s">
        <v>173</v>
      </c>
    </row>
    <row r="18" spans="1:22" s="313" customFormat="1">
      <c r="B18" s="467"/>
      <c r="C18" s="469" t="s">
        <v>5</v>
      </c>
      <c r="D18" s="477">
        <f>SUM(D19:D33)</f>
        <v>1.72858</v>
      </c>
      <c r="E18" s="477">
        <f t="shared" ref="E18:V18" si="35">SUM(E19:E33)</f>
        <v>3.45716</v>
      </c>
      <c r="F18" s="477">
        <f t="shared" si="35"/>
        <v>6.2138860000000005</v>
      </c>
      <c r="G18" s="477">
        <f t="shared" si="35"/>
        <v>8.9706119999999991</v>
      </c>
      <c r="H18" s="477">
        <f t="shared" si="35"/>
        <v>11.263321999999999</v>
      </c>
      <c r="I18" s="477">
        <f t="shared" si="35"/>
        <v>13.556031999999998</v>
      </c>
      <c r="J18" s="477">
        <f t="shared" si="35"/>
        <v>15.275161999999998</v>
      </c>
      <c r="K18" s="477">
        <f t="shared" si="35"/>
        <v>16.994291999999998</v>
      </c>
      <c r="L18" s="477">
        <f t="shared" si="35"/>
        <v>18.885495999999996</v>
      </c>
      <c r="M18" s="477">
        <f t="shared" si="35"/>
        <v>20.776699999999998</v>
      </c>
      <c r="N18" s="477">
        <f t="shared" si="35"/>
        <v>22.199953999999998</v>
      </c>
      <c r="O18" s="477">
        <f t="shared" si="35"/>
        <v>23.623207999999995</v>
      </c>
      <c r="P18" s="477">
        <f t="shared" si="35"/>
        <v>25.149805999999998</v>
      </c>
      <c r="Q18" s="477">
        <f t="shared" si="35"/>
        <v>26.676403999999998</v>
      </c>
      <c r="R18" s="477">
        <f t="shared" si="35"/>
        <v>27.553017999999998</v>
      </c>
      <c r="S18" s="477">
        <f t="shared" si="35"/>
        <v>26.812702000000005</v>
      </c>
      <c r="T18" s="477">
        <f t="shared" si="35"/>
        <v>26.257438000000004</v>
      </c>
      <c r="U18" s="477">
        <f t="shared" si="35"/>
        <v>26.187253000000002</v>
      </c>
      <c r="V18" s="477">
        <f t="shared" si="35"/>
        <v>26.129359000000004</v>
      </c>
    </row>
    <row r="19" spans="1:22" s="313" customFormat="1" ht="16">
      <c r="A19" s="313">
        <v>2021</v>
      </c>
      <c r="B19" s="467" t="s">
        <v>785</v>
      </c>
      <c r="C19" s="469"/>
      <c r="D19" s="313">
        <f>($D$9)*'ARP Timing'!B$16</f>
        <v>1.72858</v>
      </c>
      <c r="E19" s="313">
        <f>($D$9)*'ARP Timing'!C$16</f>
        <v>1.72858</v>
      </c>
      <c r="F19" s="313">
        <f>($D$9)*'ARP Timing'!D$16</f>
        <v>1.2100059999999999</v>
      </c>
      <c r="G19" s="313">
        <f>($D$9)*'ARP Timing'!E$16</f>
        <v>1.2100059999999999</v>
      </c>
      <c r="H19" s="313">
        <f>($D$9)*'ARP Timing'!F$16</f>
        <v>1.2100059999999999</v>
      </c>
      <c r="I19" s="313">
        <f>($D$9)*'ARP Timing'!G$16</f>
        <v>1.2100059999999999</v>
      </c>
      <c r="J19" s="313">
        <f>($D$9)*'ARP Timing'!H$16</f>
        <v>1.2100059999999999</v>
      </c>
      <c r="K19" s="313">
        <f>($D$9)*'ARP Timing'!I$16</f>
        <v>1.2100059999999999</v>
      </c>
      <c r="L19" s="313">
        <f>($D$9)*'ARP Timing'!J$16</f>
        <v>1.2100059999999999</v>
      </c>
      <c r="M19" s="313">
        <f>($D$9)*'ARP Timing'!K$16</f>
        <v>1.2100059999999999</v>
      </c>
      <c r="N19" s="313">
        <f>($D$9)*'ARP Timing'!L$16</f>
        <v>1.2100059999999999</v>
      </c>
      <c r="O19" s="313">
        <f>($D$9)*'ARP Timing'!M$16</f>
        <v>1.2100059999999999</v>
      </c>
      <c r="P19" s="313">
        <f>($D$9)*'ARP Timing'!N$16</f>
        <v>1.172965</v>
      </c>
      <c r="Q19" s="313">
        <f>($D$9)*'ARP Timing'!O$16</f>
        <v>1.172965</v>
      </c>
      <c r="R19" s="313">
        <f>($D$9)*'ARP Timing'!P$16</f>
        <v>1.172965</v>
      </c>
      <c r="S19" s="313">
        <f>($D$9)*'ARP Timing'!Q$16</f>
        <v>1.172965</v>
      </c>
      <c r="T19" s="313">
        <f>($D$9)*'ARP Timing'!R$16</f>
        <v>1.172965</v>
      </c>
      <c r="U19" s="313">
        <f>($D$9)*'ARP Timing'!S$16</f>
        <v>1.172965</v>
      </c>
      <c r="V19" s="313">
        <f>($D$9)*'ARP Timing'!T$16</f>
        <v>1.172965</v>
      </c>
    </row>
    <row r="20" spans="1:22" s="313" customFormat="1" ht="16">
      <c r="B20" s="467" t="s">
        <v>783</v>
      </c>
      <c r="C20" s="469"/>
      <c r="E20" s="313">
        <f>($E$9)*'ARP Timing'!B$16</f>
        <v>1.72858</v>
      </c>
      <c r="F20" s="313">
        <f>($E$9)*'ARP Timing'!C$16</f>
        <v>1.72858</v>
      </c>
      <c r="G20" s="313">
        <f>($E$9)*'ARP Timing'!D$16</f>
        <v>1.2100059999999999</v>
      </c>
      <c r="H20" s="313">
        <f>($E$9)*'ARP Timing'!E$16</f>
        <v>1.2100059999999999</v>
      </c>
      <c r="I20" s="313">
        <f>($E$9)*'ARP Timing'!F$16</f>
        <v>1.2100059999999999</v>
      </c>
      <c r="J20" s="313">
        <f>($E$9)*'ARP Timing'!G$16</f>
        <v>1.2100059999999999</v>
      </c>
      <c r="K20" s="313">
        <f>($E$9)*'ARP Timing'!H$16</f>
        <v>1.2100059999999999</v>
      </c>
      <c r="L20" s="313">
        <f>($E$9)*'ARP Timing'!I$16</f>
        <v>1.2100059999999999</v>
      </c>
      <c r="M20" s="313">
        <f>($E$9)*'ARP Timing'!J$16</f>
        <v>1.2100059999999999</v>
      </c>
      <c r="N20" s="313">
        <f>($E$9)*'ARP Timing'!K$16</f>
        <v>1.2100059999999999</v>
      </c>
      <c r="O20" s="313">
        <f>($E$9)*'ARP Timing'!L$16</f>
        <v>1.2100059999999999</v>
      </c>
      <c r="P20" s="313">
        <f>($E$9)*'ARP Timing'!M$16</f>
        <v>1.2100059999999999</v>
      </c>
      <c r="Q20" s="313">
        <f>($E$9)*'ARP Timing'!N$16</f>
        <v>1.172965</v>
      </c>
      <c r="R20" s="313">
        <f>($E$9)*'ARP Timing'!O$16</f>
        <v>1.172965</v>
      </c>
      <c r="S20" s="313">
        <f>($E$9)*'ARP Timing'!P$16</f>
        <v>1.172965</v>
      </c>
      <c r="T20" s="313">
        <f>($E$9)*'ARP Timing'!Q$16</f>
        <v>1.172965</v>
      </c>
      <c r="U20" s="313">
        <f>($E$9)*'ARP Timing'!R$16</f>
        <v>1.172965</v>
      </c>
      <c r="V20" s="313">
        <f>($E$9)*'ARP Timing'!S$16</f>
        <v>1.172965</v>
      </c>
    </row>
    <row r="21" spans="1:22" s="313" customFormat="1" ht="16">
      <c r="B21" s="467" t="s">
        <v>784</v>
      </c>
      <c r="C21" s="469"/>
      <c r="F21" s="313">
        <f>($F$9)*'ARP Timing'!B$16</f>
        <v>3.2753000000000001</v>
      </c>
      <c r="G21" s="313">
        <f>($F$9)*'ARP Timing'!C$16</f>
        <v>3.2753000000000001</v>
      </c>
      <c r="H21" s="313">
        <f>($F$9)*'ARP Timing'!D$16</f>
        <v>2.29271</v>
      </c>
      <c r="I21" s="313">
        <f>($F$9)*'ARP Timing'!E$16</f>
        <v>2.29271</v>
      </c>
      <c r="J21" s="313">
        <f>($F$9)*'ARP Timing'!F$16</f>
        <v>2.29271</v>
      </c>
      <c r="K21" s="313">
        <f>($F$9)*'ARP Timing'!G$16</f>
        <v>2.29271</v>
      </c>
      <c r="L21" s="313">
        <f>($F$9)*'ARP Timing'!H$16</f>
        <v>2.29271</v>
      </c>
      <c r="M21" s="313">
        <f>($F$9)*'ARP Timing'!I$16</f>
        <v>2.29271</v>
      </c>
      <c r="N21" s="313">
        <f>($F$9)*'ARP Timing'!J$16</f>
        <v>2.29271</v>
      </c>
      <c r="O21" s="313">
        <f>($F$9)*'ARP Timing'!K$16</f>
        <v>2.29271</v>
      </c>
      <c r="P21" s="313">
        <f>($F$9)*'ARP Timing'!L$16</f>
        <v>2.29271</v>
      </c>
      <c r="Q21" s="313">
        <f>($F$9)*'ARP Timing'!M$16</f>
        <v>2.29271</v>
      </c>
      <c r="R21" s="313">
        <f>($F$9)*'ARP Timing'!N$16</f>
        <v>2.2225250000000001</v>
      </c>
      <c r="S21" s="313">
        <f>($F$9)*'ARP Timing'!O$16</f>
        <v>2.2225250000000001</v>
      </c>
      <c r="T21" s="313">
        <f>($F$9)*'ARP Timing'!P$16</f>
        <v>2.2225250000000001</v>
      </c>
      <c r="U21" s="313">
        <f>($F$9)*'ARP Timing'!Q$16</f>
        <v>2.2225250000000001</v>
      </c>
      <c r="V21" s="313">
        <f>($F$9)*'ARP Timing'!R$16</f>
        <v>2.2225250000000001</v>
      </c>
    </row>
    <row r="22" spans="1:22" s="313" customFormat="1" ht="16">
      <c r="A22" s="313">
        <v>2022</v>
      </c>
      <c r="B22" s="467" t="s">
        <v>781</v>
      </c>
      <c r="C22" s="469"/>
      <c r="G22" s="313">
        <f>($G$9)*'ARP Timing'!B$16</f>
        <v>3.2753000000000001</v>
      </c>
      <c r="H22" s="313">
        <f>($G$9)*'ARP Timing'!C$16</f>
        <v>3.2753000000000001</v>
      </c>
      <c r="I22" s="313">
        <f>($G$9)*'ARP Timing'!D$16</f>
        <v>2.29271</v>
      </c>
      <c r="J22" s="313">
        <f>($G$9)*'ARP Timing'!E$16</f>
        <v>2.29271</v>
      </c>
      <c r="K22" s="313">
        <f>($G$9)*'ARP Timing'!F$16</f>
        <v>2.29271</v>
      </c>
      <c r="L22" s="313">
        <f>($G$9)*'ARP Timing'!G$16</f>
        <v>2.29271</v>
      </c>
      <c r="M22" s="313">
        <f>($G$9)*'ARP Timing'!H$16</f>
        <v>2.29271</v>
      </c>
      <c r="N22" s="313">
        <f>($G$9)*'ARP Timing'!I$16</f>
        <v>2.29271</v>
      </c>
      <c r="O22" s="313">
        <f>($G$9)*'ARP Timing'!J$16</f>
        <v>2.29271</v>
      </c>
      <c r="P22" s="313">
        <f>($G$9)*'ARP Timing'!K$16</f>
        <v>2.29271</v>
      </c>
      <c r="Q22" s="313">
        <f>($G$9)*'ARP Timing'!L$16</f>
        <v>2.29271</v>
      </c>
      <c r="R22" s="313">
        <f>($G$9)*'ARP Timing'!M$16</f>
        <v>2.29271</v>
      </c>
      <c r="S22" s="313">
        <f>($G$9)*'ARP Timing'!N$16</f>
        <v>2.2225250000000001</v>
      </c>
      <c r="T22" s="313">
        <f>($G$9)*'ARP Timing'!O$16</f>
        <v>2.2225250000000001</v>
      </c>
      <c r="U22" s="313">
        <f>($G$9)*'ARP Timing'!P$16</f>
        <v>2.2225250000000001</v>
      </c>
      <c r="V22" s="313">
        <f>($G$9)*'ARP Timing'!Q$16</f>
        <v>2.2225250000000001</v>
      </c>
    </row>
    <row r="23" spans="1:22" s="313" customFormat="1" ht="16">
      <c r="B23" s="467" t="s">
        <v>782</v>
      </c>
      <c r="C23" s="469"/>
      <c r="H23" s="313">
        <f>($H$9)*'ARP Timing'!B$16</f>
        <v>3.2753000000000001</v>
      </c>
      <c r="I23" s="313">
        <f>($H$9)*'ARP Timing'!C$16</f>
        <v>3.2753000000000001</v>
      </c>
      <c r="J23" s="313">
        <f>($H$9)*'ARP Timing'!D$16</f>
        <v>2.29271</v>
      </c>
      <c r="K23" s="313">
        <f>($H$9)*'ARP Timing'!E$16</f>
        <v>2.29271</v>
      </c>
      <c r="L23" s="313">
        <f>($H$9)*'ARP Timing'!F$16</f>
        <v>2.29271</v>
      </c>
      <c r="M23" s="313">
        <f>($H$9)*'ARP Timing'!G$16</f>
        <v>2.29271</v>
      </c>
      <c r="N23" s="313">
        <f>($H$9)*'ARP Timing'!H$16</f>
        <v>2.29271</v>
      </c>
      <c r="O23" s="313">
        <f>($H$9)*'ARP Timing'!I$16</f>
        <v>2.29271</v>
      </c>
      <c r="P23" s="313">
        <f>($H$9)*'ARP Timing'!J$16</f>
        <v>2.29271</v>
      </c>
      <c r="Q23" s="313">
        <f>($H$9)*'ARP Timing'!K$16</f>
        <v>2.29271</v>
      </c>
      <c r="R23" s="313">
        <f>($H$9)*'ARP Timing'!L$16</f>
        <v>2.29271</v>
      </c>
      <c r="S23" s="313">
        <f>($H$9)*'ARP Timing'!M$16</f>
        <v>2.29271</v>
      </c>
      <c r="T23" s="313">
        <f>($H$9)*'ARP Timing'!N$16</f>
        <v>2.2225250000000001</v>
      </c>
      <c r="U23" s="313">
        <f>($H$9)*'ARP Timing'!O$16</f>
        <v>2.2225250000000001</v>
      </c>
      <c r="V23" s="313">
        <f>($H$9)*'ARP Timing'!P$16</f>
        <v>2.2225250000000001</v>
      </c>
    </row>
    <row r="24" spans="1:22" s="313" customFormat="1" ht="16">
      <c r="B24" s="467" t="s">
        <v>783</v>
      </c>
      <c r="C24" s="469"/>
      <c r="H24" s="469"/>
      <c r="I24" s="313">
        <f>($I$9)*'ARP Timing'!B$16</f>
        <v>3.2753000000000001</v>
      </c>
      <c r="J24" s="313">
        <f>($I$9)*'ARP Timing'!C$16</f>
        <v>3.2753000000000001</v>
      </c>
      <c r="K24" s="313">
        <f>($I$9)*'ARP Timing'!D$16</f>
        <v>2.29271</v>
      </c>
      <c r="L24" s="313">
        <f>($I$9)*'ARP Timing'!E$16</f>
        <v>2.29271</v>
      </c>
      <c r="M24" s="313">
        <f>($I$9)*'ARP Timing'!F$16</f>
        <v>2.29271</v>
      </c>
      <c r="N24" s="313">
        <f>($I$9)*'ARP Timing'!G$16</f>
        <v>2.29271</v>
      </c>
      <c r="O24" s="313">
        <f>($I$9)*'ARP Timing'!H$16</f>
        <v>2.29271</v>
      </c>
      <c r="P24" s="313">
        <f>($I$9)*'ARP Timing'!I$16</f>
        <v>2.29271</v>
      </c>
      <c r="Q24" s="313">
        <f>($I$9)*'ARP Timing'!J$16</f>
        <v>2.29271</v>
      </c>
      <c r="R24" s="313">
        <f>($I$9)*'ARP Timing'!K$16</f>
        <v>2.29271</v>
      </c>
      <c r="S24" s="313">
        <f>($I$9)*'ARP Timing'!L$16</f>
        <v>2.29271</v>
      </c>
      <c r="T24" s="313">
        <f>($I$9)*'ARP Timing'!M$16</f>
        <v>2.29271</v>
      </c>
      <c r="U24" s="313">
        <f>($I$9)*'ARP Timing'!N$16</f>
        <v>2.2225250000000001</v>
      </c>
      <c r="V24" s="313">
        <f>($I$9)*'ARP Timing'!O$16</f>
        <v>2.2225250000000001</v>
      </c>
    </row>
    <row r="25" spans="1:22" s="313" customFormat="1" ht="16">
      <c r="B25" s="467" t="s">
        <v>784</v>
      </c>
      <c r="C25" s="469"/>
      <c r="H25" s="469"/>
      <c r="J25" s="313">
        <f>($J$9)*'ARP Timing'!B$16</f>
        <v>2.7017199999999999</v>
      </c>
      <c r="K25" s="313">
        <f>($J$9)*'ARP Timing'!C$16</f>
        <v>2.7017199999999999</v>
      </c>
      <c r="L25" s="313">
        <f>($J$9)*'ARP Timing'!D$16</f>
        <v>1.8912039999999999</v>
      </c>
      <c r="M25" s="313">
        <f>($J$9)*'ARP Timing'!E$16</f>
        <v>1.8912039999999999</v>
      </c>
      <c r="N25" s="313">
        <f>($J$9)*'ARP Timing'!F$16</f>
        <v>1.8912039999999999</v>
      </c>
      <c r="O25" s="313">
        <f>($J$9)*'ARP Timing'!G$16</f>
        <v>1.8912039999999999</v>
      </c>
      <c r="P25" s="313">
        <f>($J$9)*'ARP Timing'!H$16</f>
        <v>1.8912039999999999</v>
      </c>
      <c r="Q25" s="313">
        <f>($J$9)*'ARP Timing'!I$16</f>
        <v>1.8912039999999999</v>
      </c>
      <c r="R25" s="313">
        <f>($J$9)*'ARP Timing'!J$16</f>
        <v>1.8912039999999999</v>
      </c>
      <c r="S25" s="313">
        <f>($J$9)*'ARP Timing'!K$16</f>
        <v>1.8912039999999999</v>
      </c>
      <c r="T25" s="313">
        <f>($J$9)*'ARP Timing'!L$16</f>
        <v>1.8912039999999999</v>
      </c>
      <c r="U25" s="313">
        <f>($J$9)*'ARP Timing'!M$16</f>
        <v>1.8912039999999999</v>
      </c>
      <c r="V25" s="313">
        <f>($J$9)*'ARP Timing'!N$16</f>
        <v>1.8333099999999998</v>
      </c>
    </row>
    <row r="26" spans="1:22" s="313" customFormat="1" ht="16">
      <c r="A26" s="313">
        <v>2023</v>
      </c>
      <c r="B26" s="467" t="s">
        <v>781</v>
      </c>
      <c r="C26" s="469"/>
      <c r="H26" s="469"/>
      <c r="K26" s="313">
        <f>($K$9)*'ARP Timing'!B$16</f>
        <v>2.7017199999999999</v>
      </c>
      <c r="L26" s="313">
        <f>($K$9)*'ARP Timing'!C$16</f>
        <v>2.7017199999999999</v>
      </c>
      <c r="M26" s="313">
        <f>($K$9)*'ARP Timing'!D$16</f>
        <v>1.8912039999999999</v>
      </c>
      <c r="N26" s="313">
        <f>($K$9)*'ARP Timing'!E$16</f>
        <v>1.8912039999999999</v>
      </c>
      <c r="O26" s="313">
        <f>($K$9)*'ARP Timing'!F$16</f>
        <v>1.8912039999999999</v>
      </c>
      <c r="P26" s="313">
        <f>($K$9)*'ARP Timing'!G$16</f>
        <v>1.8912039999999999</v>
      </c>
      <c r="Q26" s="313">
        <f>($K$9)*'ARP Timing'!H$16</f>
        <v>1.8912039999999999</v>
      </c>
      <c r="R26" s="313">
        <f>($K$9)*'ARP Timing'!I$16</f>
        <v>1.8912039999999999</v>
      </c>
      <c r="S26" s="313">
        <f>($K$9)*'ARP Timing'!J$16</f>
        <v>1.8912039999999999</v>
      </c>
      <c r="T26" s="313">
        <f>($K$9)*'ARP Timing'!K$16</f>
        <v>1.8912039999999999</v>
      </c>
      <c r="U26" s="313">
        <f>($K$9)*'ARP Timing'!L$16</f>
        <v>1.8912039999999999</v>
      </c>
      <c r="V26" s="313">
        <f>($K$9)*'ARP Timing'!M$16</f>
        <v>1.8912039999999999</v>
      </c>
    </row>
    <row r="27" spans="1:22" s="313" customFormat="1" ht="16">
      <c r="B27" s="467" t="s">
        <v>782</v>
      </c>
      <c r="C27" s="469"/>
      <c r="H27" s="469"/>
      <c r="L27" s="313">
        <f>($L$9)*'ARP Timing'!B$16</f>
        <v>2.7017199999999999</v>
      </c>
      <c r="M27" s="313">
        <f>($L$9)*'ARP Timing'!C$16</f>
        <v>2.7017199999999999</v>
      </c>
      <c r="N27" s="313">
        <f>($L$9)*'ARP Timing'!D$16</f>
        <v>1.8912039999999999</v>
      </c>
      <c r="O27" s="313">
        <f>($L$9)*'ARP Timing'!E$16</f>
        <v>1.8912039999999999</v>
      </c>
      <c r="P27" s="313">
        <f>($L$9)*'ARP Timing'!F$16</f>
        <v>1.8912039999999999</v>
      </c>
      <c r="Q27" s="313">
        <f>($L$9)*'ARP Timing'!G$16</f>
        <v>1.8912039999999999</v>
      </c>
      <c r="R27" s="313">
        <f>($L$9)*'ARP Timing'!H$16</f>
        <v>1.8912039999999999</v>
      </c>
      <c r="S27" s="313">
        <f>($L$9)*'ARP Timing'!I$16</f>
        <v>1.8912039999999999</v>
      </c>
      <c r="T27" s="313">
        <f>($L$9)*'ARP Timing'!J$16</f>
        <v>1.8912039999999999</v>
      </c>
      <c r="U27" s="313">
        <f>($L$9)*'ARP Timing'!K$16</f>
        <v>1.8912039999999999</v>
      </c>
      <c r="V27" s="313">
        <f>($L$9)*'ARP Timing'!L$16</f>
        <v>1.8912039999999999</v>
      </c>
    </row>
    <row r="28" spans="1:22" s="313" customFormat="1" ht="16">
      <c r="B28" s="467" t="s">
        <v>783</v>
      </c>
      <c r="C28" s="469"/>
      <c r="H28" s="469"/>
      <c r="M28" s="313">
        <f>($M$9)*'ARP Timing'!B$16</f>
        <v>2.7017199999999999</v>
      </c>
      <c r="N28" s="313">
        <f>($M$9)*'ARP Timing'!C$16</f>
        <v>2.7017199999999999</v>
      </c>
      <c r="O28" s="313">
        <f>($M$9)*'ARP Timing'!D$16</f>
        <v>1.8912039999999999</v>
      </c>
      <c r="P28" s="313">
        <f>($M$9)*'ARP Timing'!E$16</f>
        <v>1.8912039999999999</v>
      </c>
      <c r="Q28" s="313">
        <f>($M$9)*'ARP Timing'!F$16</f>
        <v>1.8912039999999999</v>
      </c>
      <c r="R28" s="313">
        <f>($M$9)*'ARP Timing'!G$16</f>
        <v>1.8912039999999999</v>
      </c>
      <c r="S28" s="313">
        <f>($M$9)*'ARP Timing'!H$16</f>
        <v>1.8912039999999999</v>
      </c>
      <c r="T28" s="313">
        <f>($M$9)*'ARP Timing'!I$16</f>
        <v>1.8912039999999999</v>
      </c>
      <c r="U28" s="313">
        <f>($M$9)*'ARP Timing'!J$16</f>
        <v>1.8912039999999999</v>
      </c>
      <c r="V28" s="313">
        <f>($M$9)*'ARP Timing'!K$16</f>
        <v>1.8912039999999999</v>
      </c>
    </row>
    <row r="29" spans="1:22" s="313" customFormat="1" ht="16">
      <c r="B29" s="467" t="s">
        <v>784</v>
      </c>
      <c r="C29" s="469"/>
      <c r="H29" s="469"/>
      <c r="N29" s="313">
        <f>($N$9)*'ARP Timing'!B$16</f>
        <v>2.2337700000000003</v>
      </c>
      <c r="O29" s="313">
        <f>($N$9)*'ARP Timing'!C$16</f>
        <v>2.2337700000000003</v>
      </c>
      <c r="P29" s="313">
        <f>($N$9)*'ARP Timing'!D$16</f>
        <v>1.5636390000000002</v>
      </c>
      <c r="Q29" s="313">
        <f>($N$9)*'ARP Timing'!E$16</f>
        <v>1.5636390000000002</v>
      </c>
      <c r="R29" s="313">
        <f>($N$9)*'ARP Timing'!F$16</f>
        <v>1.5636390000000002</v>
      </c>
      <c r="S29" s="313">
        <f>($N$9)*'ARP Timing'!G$16</f>
        <v>1.5636390000000002</v>
      </c>
      <c r="T29" s="313">
        <f>($N$9)*'ARP Timing'!H$16</f>
        <v>1.5636390000000002</v>
      </c>
      <c r="U29" s="313">
        <f>($N$9)*'ARP Timing'!I$16</f>
        <v>1.5636390000000002</v>
      </c>
      <c r="V29" s="313">
        <f>($N$9)*'ARP Timing'!J$16</f>
        <v>1.5636390000000002</v>
      </c>
    </row>
    <row r="30" spans="1:22" s="313" customFormat="1" ht="16">
      <c r="A30" s="313">
        <v>2024</v>
      </c>
      <c r="B30" s="467" t="s">
        <v>781</v>
      </c>
      <c r="C30" s="469"/>
      <c r="H30" s="469"/>
      <c r="O30" s="313">
        <f>($O$9)*'ARP Timing'!B$16</f>
        <v>2.2337700000000003</v>
      </c>
      <c r="P30" s="313">
        <f>($O$9)*'ARP Timing'!C$16</f>
        <v>2.2337700000000003</v>
      </c>
      <c r="Q30" s="313">
        <f>($O$9)*'ARP Timing'!D$16</f>
        <v>1.5636390000000002</v>
      </c>
      <c r="R30" s="313">
        <f>($O$9)*'ARP Timing'!E$16</f>
        <v>1.5636390000000002</v>
      </c>
      <c r="S30" s="313">
        <f>($O$9)*'ARP Timing'!F$16</f>
        <v>1.5636390000000002</v>
      </c>
      <c r="T30" s="313">
        <f>($O$9)*'ARP Timing'!G$16</f>
        <v>1.5636390000000002</v>
      </c>
      <c r="U30" s="313">
        <f>($O$9)*'ARP Timing'!H$16</f>
        <v>1.5636390000000002</v>
      </c>
      <c r="V30" s="313">
        <f>($O$9)*'ARP Timing'!I$16</f>
        <v>1.5636390000000002</v>
      </c>
    </row>
    <row r="31" spans="1:22" s="313" customFormat="1" ht="16">
      <c r="B31" s="467" t="s">
        <v>782</v>
      </c>
      <c r="C31" s="469"/>
      <c r="H31" s="469"/>
      <c r="P31" s="313">
        <f>($P$9)*'ARP Timing'!B$16</f>
        <v>2.2337700000000003</v>
      </c>
      <c r="Q31" s="313">
        <f>($P$9)*'ARP Timing'!C$16</f>
        <v>2.2337700000000003</v>
      </c>
      <c r="R31" s="313">
        <f>($P$9)*'ARP Timing'!D$16</f>
        <v>1.5636390000000002</v>
      </c>
      <c r="S31" s="313">
        <f>($P$9)*'ARP Timing'!E$16</f>
        <v>1.5636390000000002</v>
      </c>
      <c r="T31" s="313">
        <f>($P$9)*'ARP Timing'!F$16</f>
        <v>1.5636390000000002</v>
      </c>
      <c r="U31" s="313">
        <f>($P$9)*'ARP Timing'!G$16</f>
        <v>1.5636390000000002</v>
      </c>
      <c r="V31" s="313">
        <f>($P$9)*'ARP Timing'!H$16</f>
        <v>1.5636390000000002</v>
      </c>
    </row>
    <row r="32" spans="1:22" s="313" customFormat="1" ht="16">
      <c r="B32" s="467" t="s">
        <v>783</v>
      </c>
      <c r="C32" s="469"/>
      <c r="H32" s="469"/>
      <c r="Q32" s="313">
        <f>($Q$9)*'ARP Timing'!B$16</f>
        <v>2.2337700000000003</v>
      </c>
      <c r="R32" s="313">
        <f>($Q$9)*'ARP Timing'!C$16</f>
        <v>2.2337700000000003</v>
      </c>
      <c r="S32" s="313">
        <f>($Q$9)*'ARP Timing'!D$16</f>
        <v>1.5636390000000002</v>
      </c>
      <c r="T32" s="313">
        <f>($Q$9)*'ARP Timing'!E$16</f>
        <v>1.5636390000000002</v>
      </c>
      <c r="U32" s="313">
        <f>($Q$9)*'ARP Timing'!F$16</f>
        <v>1.5636390000000002</v>
      </c>
      <c r="V32" s="313">
        <f>($Q$9)*'ARP Timing'!G$16</f>
        <v>1.5636390000000002</v>
      </c>
    </row>
    <row r="33" spans="1:23" s="313" customFormat="1" ht="16">
      <c r="B33" s="467" t="s">
        <v>784</v>
      </c>
      <c r="C33" s="469"/>
      <c r="H33" s="469"/>
      <c r="R33" s="313">
        <f>($R$9)*'ARP Timing'!B$16</f>
        <v>1.6169300000000002</v>
      </c>
      <c r="S33" s="313">
        <f>($R$9)*'ARP Timing'!C$16</f>
        <v>1.6169300000000002</v>
      </c>
      <c r="T33" s="313">
        <f>($R$9)*'ARP Timing'!D$16</f>
        <v>1.1318510000000002</v>
      </c>
      <c r="U33" s="313">
        <f>($R$9)*'ARP Timing'!E$16</f>
        <v>1.1318510000000002</v>
      </c>
      <c r="V33" s="313">
        <f>($R$9)*'ARP Timing'!F$16</f>
        <v>1.1318510000000002</v>
      </c>
    </row>
    <row r="34" spans="1:23" s="313" customFormat="1">
      <c r="S34" s="313">
        <f>($S$9)*'ARP Timing'!B$16</f>
        <v>1.6169300000000002</v>
      </c>
      <c r="T34" s="313">
        <f>($S$9)*'ARP Timing'!C$16</f>
        <v>1.6169300000000002</v>
      </c>
      <c r="U34" s="313">
        <f>($S$9)*'ARP Timing'!D$16</f>
        <v>1.1318510000000002</v>
      </c>
      <c r="V34" s="313">
        <f>($S$9)*'ARP Timing'!E$16</f>
        <v>1.1318510000000002</v>
      </c>
    </row>
    <row r="35" spans="1:23" s="313" customFormat="1"/>
    <row r="36" spans="1:23">
      <c r="B36" s="313" t="s">
        <v>787</v>
      </c>
      <c r="D36" s="581" t="s">
        <v>154</v>
      </c>
      <c r="E36" s="581" t="s">
        <v>155</v>
      </c>
      <c r="F36" s="581" t="s">
        <v>156</v>
      </c>
      <c r="G36" s="581" t="s">
        <v>157</v>
      </c>
      <c r="H36" s="581" t="s">
        <v>158</v>
      </c>
      <c r="I36" s="581" t="s">
        <v>159</v>
      </c>
      <c r="J36" s="581" t="s">
        <v>160</v>
      </c>
      <c r="K36" s="581" t="s">
        <v>161</v>
      </c>
      <c r="L36" s="581" t="s">
        <v>162</v>
      </c>
      <c r="M36" s="581" t="s">
        <v>163</v>
      </c>
      <c r="N36" s="581" t="s">
        <v>165</v>
      </c>
      <c r="O36" s="581" t="s">
        <v>166</v>
      </c>
      <c r="P36" s="581" t="s">
        <v>167</v>
      </c>
      <c r="Q36" s="581" t="s">
        <v>168</v>
      </c>
      <c r="R36" s="581" t="s">
        <v>169</v>
      </c>
      <c r="S36" s="581" t="s">
        <v>170</v>
      </c>
      <c r="T36" s="581" t="s">
        <v>171</v>
      </c>
      <c r="U36" s="581" t="s">
        <v>172</v>
      </c>
      <c r="V36" s="581" t="s">
        <v>173</v>
      </c>
      <c r="W36" s="313"/>
    </row>
    <row r="37" spans="1:23" s="313" customFormat="1">
      <c r="C37" s="313" t="s">
        <v>1126</v>
      </c>
      <c r="D37" s="581">
        <v>20</v>
      </c>
      <c r="E37" s="581">
        <v>50</v>
      </c>
      <c r="F37" s="581">
        <v>75</v>
      </c>
      <c r="G37" s="581">
        <v>90</v>
      </c>
      <c r="H37" s="581">
        <v>90</v>
      </c>
      <c r="I37" s="581">
        <v>90</v>
      </c>
      <c r="J37" s="581">
        <v>90</v>
      </c>
      <c r="K37" s="581">
        <v>90</v>
      </c>
      <c r="L37" s="1414">
        <f>L38</f>
        <v>91.718885999999998</v>
      </c>
      <c r="M37" s="1414">
        <f t="shared" ref="M37:V37" si="36">M38</f>
        <v>92.479659999999996</v>
      </c>
      <c r="N37" s="1414">
        <f t="shared" si="36"/>
        <v>92.453423999999984</v>
      </c>
      <c r="O37" s="1414">
        <f t="shared" si="36"/>
        <v>92.427187999999973</v>
      </c>
      <c r="P37" s="1414">
        <f t="shared" si="36"/>
        <v>91.102100199999967</v>
      </c>
      <c r="Q37" s="1414">
        <f t="shared" si="36"/>
        <v>91.260763199999957</v>
      </c>
      <c r="R37" s="1414">
        <f t="shared" si="36"/>
        <v>91.194608699999975</v>
      </c>
      <c r="S37" s="1414">
        <f t="shared" si="36"/>
        <v>91.128454199999993</v>
      </c>
      <c r="T37" s="1414">
        <f t="shared" si="36"/>
        <v>90.145246499999999</v>
      </c>
      <c r="U37" s="1414">
        <f t="shared" si="36"/>
        <v>90.151206000000002</v>
      </c>
      <c r="V37" s="1414">
        <f t="shared" si="36"/>
        <v>90.134798000000004</v>
      </c>
    </row>
    <row r="38" spans="1:23">
      <c r="B38" s="467"/>
      <c r="C38" s="469" t="s">
        <v>5</v>
      </c>
      <c r="D38" s="477">
        <f t="shared" ref="D38:U38" si="37">SUM(D39:D57)</f>
        <v>71.631223999999989</v>
      </c>
      <c r="E38" s="477">
        <f t="shared" si="37"/>
        <v>74.020743999999993</v>
      </c>
      <c r="F38" s="477">
        <f t="shared" si="37"/>
        <v>54.194646799999987</v>
      </c>
      <c r="G38" s="477">
        <f t="shared" si="37"/>
        <v>55.141060799999984</v>
      </c>
      <c r="H38" s="477">
        <f t="shared" si="37"/>
        <v>102.46648579999999</v>
      </c>
      <c r="I38" s="477">
        <f t="shared" si="37"/>
        <v>103.6307748</v>
      </c>
      <c r="J38" s="477">
        <f t="shared" si="37"/>
        <v>90.370272999999997</v>
      </c>
      <c r="K38" s="477">
        <f t="shared" si="37"/>
        <v>90.958112</v>
      </c>
      <c r="L38" s="477">
        <f t="shared" si="37"/>
        <v>91.718885999999998</v>
      </c>
      <c r="M38" s="477">
        <f t="shared" si="37"/>
        <v>92.479659999999996</v>
      </c>
      <c r="N38" s="477">
        <f t="shared" si="37"/>
        <v>92.453423999999984</v>
      </c>
      <c r="O38" s="477">
        <f t="shared" si="37"/>
        <v>92.427187999999973</v>
      </c>
      <c r="P38" s="477">
        <f t="shared" si="37"/>
        <v>91.102100199999967</v>
      </c>
      <c r="Q38" s="477">
        <f t="shared" si="37"/>
        <v>91.260763199999957</v>
      </c>
      <c r="R38" s="477">
        <f t="shared" si="37"/>
        <v>91.194608699999975</v>
      </c>
      <c r="S38" s="477">
        <f t="shared" si="37"/>
        <v>91.128454199999993</v>
      </c>
      <c r="T38" s="477">
        <f t="shared" si="37"/>
        <v>90.145246499999999</v>
      </c>
      <c r="U38" s="477">
        <f t="shared" si="37"/>
        <v>90.151206000000002</v>
      </c>
      <c r="V38" s="477">
        <f>SUM(V39:V57)</f>
        <v>90.134798000000004</v>
      </c>
    </row>
    <row r="39" spans="1:23" s="313" customFormat="1" ht="16">
      <c r="A39" s="313">
        <v>2021</v>
      </c>
      <c r="B39" s="467" t="s">
        <v>785</v>
      </c>
      <c r="C39" s="469"/>
      <c r="D39" s="313">
        <f>($D$8+$D$10)*'ARP Timing'!B16</f>
        <v>71.631223999999989</v>
      </c>
      <c r="E39" s="313">
        <f>($D$8+$D$10)*'ARP Timing'!C16</f>
        <v>71.631223999999989</v>
      </c>
      <c r="F39" s="313">
        <f>($D$8+$D$10)*'ARP Timing'!D16</f>
        <v>50.141856799999992</v>
      </c>
      <c r="G39" s="313">
        <f>($D$8+$D$10)*'ARP Timing'!E16</f>
        <v>50.141856799999992</v>
      </c>
      <c r="H39" s="313">
        <f>($D$8+$D$10)*'ARP Timing'!F16</f>
        <v>50.141856799999992</v>
      </c>
      <c r="I39" s="313">
        <f>($D$8+$D$10)*'ARP Timing'!G16</f>
        <v>50.141856799999992</v>
      </c>
      <c r="J39" s="313">
        <f>($D$8+$D$10)*'ARP Timing'!H16</f>
        <v>50.141856799999992</v>
      </c>
      <c r="K39" s="313">
        <f>($D$8+$D$10)*'ARP Timing'!I16</f>
        <v>50.141856799999992</v>
      </c>
      <c r="L39" s="313">
        <f>($D$8+$D$10)*'ARP Timing'!J16</f>
        <v>50.141856799999992</v>
      </c>
      <c r="M39" s="313">
        <f>($D$8+$D$10)*'ARP Timing'!K16</f>
        <v>50.141856799999992</v>
      </c>
      <c r="N39" s="313">
        <f>($D$8+$D$10)*'ARP Timing'!L16</f>
        <v>50.141856799999992</v>
      </c>
      <c r="O39" s="313">
        <f>($D$8+$D$10)*'ARP Timing'!M16</f>
        <v>50.141856799999992</v>
      </c>
      <c r="P39" s="313">
        <f>($D$8+$D$10)*'ARP Timing'!N16</f>
        <v>48.606901999999991</v>
      </c>
      <c r="Q39" s="313">
        <f>($D$8+$D$10)*'ARP Timing'!O16</f>
        <v>48.606901999999991</v>
      </c>
      <c r="R39" s="313">
        <f>($D$8+$D$10)*'ARP Timing'!P16</f>
        <v>48.606901999999991</v>
      </c>
      <c r="S39" s="313">
        <f>($D$8+$D$10)*'ARP Timing'!Q16</f>
        <v>48.606901999999991</v>
      </c>
      <c r="T39" s="313">
        <f>($D$8+$D$10)*'ARP Timing'!R16</f>
        <v>48.606901999999991</v>
      </c>
      <c r="U39" s="313">
        <f>($D$8+$D$10)*'ARP Timing'!S16</f>
        <v>48.606901999999991</v>
      </c>
      <c r="V39" s="313">
        <f>($D$8+$D$10)*'ARP Timing'!T16</f>
        <v>48.606901999999991</v>
      </c>
    </row>
    <row r="40" spans="1:23" s="313" customFormat="1" ht="16">
      <c r="B40" s="467" t="s">
        <v>783</v>
      </c>
      <c r="C40" s="469"/>
      <c r="E40" s="313">
        <f>($E$8+$E$10)*'ARP Timing'!B$16</f>
        <v>2.3895200000000005</v>
      </c>
      <c r="F40" s="313">
        <f>($E$8+$E$10)*'ARP Timing'!C$16</f>
        <v>2.3895200000000005</v>
      </c>
      <c r="G40" s="313">
        <f>($E$8+$E$10)*'ARP Timing'!D$16</f>
        <v>1.6726640000000002</v>
      </c>
      <c r="H40" s="313">
        <f>($E$8+$E$10)*'ARP Timing'!E$16</f>
        <v>1.6726640000000002</v>
      </c>
      <c r="I40" s="313">
        <f>($E$8+$E$10)*'ARP Timing'!F$16</f>
        <v>1.6726640000000002</v>
      </c>
      <c r="J40" s="313">
        <f>($E$8+$E$10)*'ARP Timing'!G$16</f>
        <v>1.6726640000000002</v>
      </c>
      <c r="K40" s="313">
        <f>($E$8+$E$10)*'ARP Timing'!H$16</f>
        <v>1.6726640000000002</v>
      </c>
      <c r="L40" s="313">
        <f>($E$8+$E$10)*'ARP Timing'!I$16</f>
        <v>1.6726640000000002</v>
      </c>
      <c r="M40" s="313">
        <f>($E$8+$E$10)*'ARP Timing'!J$16</f>
        <v>1.6726640000000002</v>
      </c>
      <c r="N40" s="313">
        <f>($E$8+$E$10)*'ARP Timing'!K$16</f>
        <v>1.6726640000000002</v>
      </c>
      <c r="O40" s="313">
        <f>($E$8+$E$10)*'ARP Timing'!L$16</f>
        <v>1.6726640000000002</v>
      </c>
      <c r="P40" s="313">
        <f>($E$8+$E$10)*'ARP Timing'!M$16</f>
        <v>1.6726640000000002</v>
      </c>
      <c r="Q40" s="313">
        <f>($E$8+$E$10)*'ARP Timing'!N$16</f>
        <v>1.6214600000000001</v>
      </c>
      <c r="R40" s="313">
        <f>($E$8+$E$10)*'ARP Timing'!O$16</f>
        <v>1.6214600000000001</v>
      </c>
      <c r="S40" s="313">
        <f>($E$8+$E$10)*'ARP Timing'!P$16</f>
        <v>1.6214600000000001</v>
      </c>
      <c r="T40" s="313">
        <f>($E$8+$E$10)*'ARP Timing'!Q$16</f>
        <v>1.6214600000000001</v>
      </c>
      <c r="U40" s="313">
        <f>($E$8+$E$10)*'ARP Timing'!R$16</f>
        <v>1.6214600000000001</v>
      </c>
      <c r="V40" s="313">
        <f>($E$8+$E$10)*'ARP Timing'!S$16</f>
        <v>1.6214600000000001</v>
      </c>
    </row>
    <row r="41" spans="1:23" s="313" customFormat="1" ht="16">
      <c r="B41" s="467" t="s">
        <v>784</v>
      </c>
      <c r="C41" s="469"/>
      <c r="F41" s="313">
        <f>($F$8+$F$10)*'ARP Timing'!B$16</f>
        <v>1.6632700000000002</v>
      </c>
      <c r="G41" s="313">
        <f>($F$8+$F$10)*'ARP Timing'!C$16</f>
        <v>1.6632700000000002</v>
      </c>
      <c r="H41" s="313">
        <f>($F$8+$F$10)*'ARP Timing'!D$16</f>
        <v>1.1642890000000001</v>
      </c>
      <c r="I41" s="313">
        <f>($F$8+$F$10)*'ARP Timing'!E$16</f>
        <v>1.1642890000000001</v>
      </c>
      <c r="J41" s="313">
        <f>($F$8+$F$10)*'ARP Timing'!F$16</f>
        <v>1.1642890000000001</v>
      </c>
      <c r="K41" s="313">
        <f>($F$8+$F$10)*'ARP Timing'!G$16</f>
        <v>1.1642890000000001</v>
      </c>
      <c r="L41" s="313">
        <f>($F$8+$F$10)*'ARP Timing'!H$16</f>
        <v>1.1642890000000001</v>
      </c>
      <c r="M41" s="313">
        <f>($F$8+$F$10)*'ARP Timing'!I$16</f>
        <v>1.1642890000000001</v>
      </c>
      <c r="N41" s="313">
        <f>($F$8+$F$10)*'ARP Timing'!J$16</f>
        <v>1.1642890000000001</v>
      </c>
      <c r="O41" s="313">
        <f>($F$8+$F$10)*'ARP Timing'!K$16</f>
        <v>1.1642890000000001</v>
      </c>
      <c r="P41" s="313">
        <f>($F$8+$F$10)*'ARP Timing'!L$16</f>
        <v>1.1642890000000001</v>
      </c>
      <c r="Q41" s="313">
        <f>($F$8+$F$10)*'ARP Timing'!M$16</f>
        <v>1.1642890000000001</v>
      </c>
      <c r="R41" s="313">
        <f>($F$8+$F$10)*'ARP Timing'!N$16</f>
        <v>1.1286475000000002</v>
      </c>
      <c r="S41" s="313">
        <f>($F$8+$F$10)*'ARP Timing'!O$16</f>
        <v>1.1286475000000002</v>
      </c>
      <c r="T41" s="313">
        <f>($F$8+$F$10)*'ARP Timing'!P$16</f>
        <v>1.1286475000000002</v>
      </c>
      <c r="U41" s="313">
        <f>($F$8+$F$10)*'ARP Timing'!Q$16</f>
        <v>1.1286475000000002</v>
      </c>
      <c r="V41" s="313">
        <f>($F$8+$F$10)*'ARP Timing'!R$16</f>
        <v>1.1286475000000002</v>
      </c>
    </row>
    <row r="42" spans="1:23" s="313" customFormat="1" ht="16">
      <c r="A42" s="313">
        <v>2022</v>
      </c>
      <c r="B42" s="467" t="s">
        <v>781</v>
      </c>
      <c r="C42" s="469"/>
      <c r="G42" s="313">
        <f>($G$8+$G$10)*'ARP Timing'!B$16</f>
        <v>1.6632700000000002</v>
      </c>
      <c r="H42" s="313">
        <f>($G$8+$G$10)*'ARP Timing'!C$16</f>
        <v>1.6632700000000002</v>
      </c>
      <c r="I42" s="313">
        <f>($G$8+$G$10)*'ARP Timing'!D$16</f>
        <v>1.1642890000000001</v>
      </c>
      <c r="J42" s="313">
        <f>($G$8+$G$10)*'ARP Timing'!E$16</f>
        <v>1.1642890000000001</v>
      </c>
      <c r="K42" s="313">
        <f>($G$8+$G$10)*'ARP Timing'!F$16</f>
        <v>1.1642890000000001</v>
      </c>
      <c r="L42" s="313">
        <f>($G$8+$G$10)*'ARP Timing'!G$16</f>
        <v>1.1642890000000001</v>
      </c>
      <c r="M42" s="313">
        <f>($G$8+$G$10)*'ARP Timing'!H$16</f>
        <v>1.1642890000000001</v>
      </c>
      <c r="N42" s="313">
        <f>($G$8+$G$10)*'ARP Timing'!I$16</f>
        <v>1.1642890000000001</v>
      </c>
      <c r="O42" s="313">
        <f>($G$8+$G$10)*'ARP Timing'!J$16</f>
        <v>1.1642890000000001</v>
      </c>
      <c r="P42" s="313">
        <f>($G$8+$G$10)*'ARP Timing'!K$16</f>
        <v>1.1642890000000001</v>
      </c>
      <c r="Q42" s="313">
        <f>($G$8+$G$10)*'ARP Timing'!L$16</f>
        <v>1.1642890000000001</v>
      </c>
      <c r="R42" s="313">
        <f>($G$8+$G$10)*'ARP Timing'!M$16</f>
        <v>1.1642890000000001</v>
      </c>
      <c r="S42" s="313">
        <f>($G$8+$G$10)*'ARP Timing'!N$16</f>
        <v>1.1286475000000002</v>
      </c>
      <c r="T42" s="313">
        <f>($G$8+$G$10)*'ARP Timing'!O$16</f>
        <v>1.1286475000000002</v>
      </c>
      <c r="U42" s="313">
        <f>($G$8+$G$10)*'ARP Timing'!P$16</f>
        <v>1.1286475000000002</v>
      </c>
      <c r="V42" s="313">
        <f>($G$8+$G$10)*'ARP Timing'!Q$16</f>
        <v>1.1286475000000002</v>
      </c>
    </row>
    <row r="43" spans="1:23" s="313" customFormat="1" ht="16">
      <c r="B43" s="467" t="s">
        <v>782</v>
      </c>
      <c r="C43" s="469"/>
      <c r="H43" s="313">
        <f>($H$8+$H$10)*'ARP Timing'!B$16</f>
        <v>47.824406000000003</v>
      </c>
      <c r="I43" s="313">
        <f>($H$8+$H$10)*'ARP Timing'!C$16</f>
        <v>47.824406000000003</v>
      </c>
      <c r="J43" s="313">
        <f>($H$8+$H$10)*'ARP Timing'!D$16</f>
        <v>33.4770842</v>
      </c>
      <c r="K43" s="313">
        <f>($H$8+$H$10)*'ARP Timing'!E$16</f>
        <v>33.4770842</v>
      </c>
      <c r="L43" s="313">
        <f>($H$8+$H$10)*'ARP Timing'!F$16</f>
        <v>33.4770842</v>
      </c>
      <c r="M43" s="313">
        <f>($H$8+$H$10)*'ARP Timing'!G$16</f>
        <v>33.4770842</v>
      </c>
      <c r="N43" s="313">
        <f>($H$8+$H$10)*'ARP Timing'!H$16</f>
        <v>33.4770842</v>
      </c>
      <c r="O43" s="313">
        <f>($H$8+$H$10)*'ARP Timing'!I$16</f>
        <v>33.4770842</v>
      </c>
      <c r="P43" s="313">
        <f>($H$8+$H$10)*'ARP Timing'!J$16</f>
        <v>33.4770842</v>
      </c>
      <c r="Q43" s="313">
        <f>($H$8+$H$10)*'ARP Timing'!K$16</f>
        <v>33.4770842</v>
      </c>
      <c r="R43" s="313">
        <f>($H$8+$H$10)*'ARP Timing'!L$16</f>
        <v>33.4770842</v>
      </c>
      <c r="S43" s="313">
        <f>($H$8+$H$10)*'ARP Timing'!M$16</f>
        <v>33.4770842</v>
      </c>
      <c r="T43" s="313">
        <f>($H$8+$H$10)*'ARP Timing'!N$16</f>
        <v>32.452275499999999</v>
      </c>
      <c r="U43" s="313">
        <f>($H$8+$H$10)*'ARP Timing'!O$16</f>
        <v>32.452275499999999</v>
      </c>
      <c r="V43" s="313">
        <f>($H$8+$H$10)*'ARP Timing'!P$16</f>
        <v>32.452275499999999</v>
      </c>
    </row>
    <row r="44" spans="1:23" s="313" customFormat="1" ht="16">
      <c r="B44" s="467" t="s">
        <v>783</v>
      </c>
      <c r="C44" s="469"/>
      <c r="H44" s="469"/>
      <c r="I44" s="313">
        <f>($I$8+$I$10)*'ARP Timing'!B$16</f>
        <v>1.6632700000000002</v>
      </c>
      <c r="J44" s="313">
        <f>($I$8+$I$10)*'ARP Timing'!C$16</f>
        <v>1.6632700000000002</v>
      </c>
      <c r="K44" s="313">
        <f>($I$8+$I$10)*'ARP Timing'!D$16</f>
        <v>1.1642890000000001</v>
      </c>
      <c r="L44" s="313">
        <f>($I$8+$I$10)*'ARP Timing'!E$16</f>
        <v>1.1642890000000001</v>
      </c>
      <c r="M44" s="313">
        <f>($I$8+$I$10)*'ARP Timing'!F$16</f>
        <v>1.1642890000000001</v>
      </c>
      <c r="N44" s="313">
        <f>($I$8+$I$10)*'ARP Timing'!G$16</f>
        <v>1.1642890000000001</v>
      </c>
      <c r="O44" s="313">
        <f>($I$8+$I$10)*'ARP Timing'!H$16</f>
        <v>1.1642890000000001</v>
      </c>
      <c r="P44" s="313">
        <f>($I$8+$I$10)*'ARP Timing'!I$16</f>
        <v>1.1642890000000001</v>
      </c>
      <c r="Q44" s="313">
        <f>($I$8+$I$10)*'ARP Timing'!J$16</f>
        <v>1.1642890000000001</v>
      </c>
      <c r="R44" s="313">
        <f>($I$8+$I$10)*'ARP Timing'!K$16</f>
        <v>1.1642890000000001</v>
      </c>
      <c r="S44" s="313">
        <f>($I$8+$I$10)*'ARP Timing'!L$16</f>
        <v>1.1642890000000001</v>
      </c>
      <c r="T44" s="313">
        <f>($I$8+$I$10)*'ARP Timing'!M$16</f>
        <v>1.1642890000000001</v>
      </c>
      <c r="U44" s="313">
        <f>($I$8+$I$10)*'ARP Timing'!N$16</f>
        <v>1.1286475000000002</v>
      </c>
      <c r="V44" s="313">
        <f>($I$8+$I$10)*'ARP Timing'!O$16</f>
        <v>1.1286475000000002</v>
      </c>
    </row>
    <row r="45" spans="1:23" s="313" customFormat="1" ht="16">
      <c r="B45" s="467" t="s">
        <v>784</v>
      </c>
      <c r="C45" s="469"/>
      <c r="H45" s="469"/>
      <c r="J45" s="313">
        <f>($J$8+$J$10)*'ARP Timing'!B$16</f>
        <v>1.0868200000000001</v>
      </c>
      <c r="K45" s="313">
        <f>($J$8+$J$10)*'ARP Timing'!C$16</f>
        <v>1.0868200000000001</v>
      </c>
      <c r="L45" s="313">
        <f>($J$8+$J$10)*'ARP Timing'!D$16</f>
        <v>0.76077400000000006</v>
      </c>
      <c r="M45" s="313">
        <f>($J$8+$J$10)*'ARP Timing'!E$16</f>
        <v>0.76077400000000006</v>
      </c>
      <c r="N45" s="313">
        <f>($J$8+$J$10)*'ARP Timing'!F$16</f>
        <v>0.76077400000000006</v>
      </c>
      <c r="O45" s="313">
        <f>($J$8+$J$10)*'ARP Timing'!G$16</f>
        <v>0.76077400000000006</v>
      </c>
      <c r="P45" s="313">
        <f>($J$8+$J$10)*'ARP Timing'!H$16</f>
        <v>0.76077400000000006</v>
      </c>
      <c r="Q45" s="313">
        <f>($J$8+$J$10)*'ARP Timing'!I$16</f>
        <v>0.76077400000000006</v>
      </c>
      <c r="R45" s="313">
        <f>($J$8+$J$10)*'ARP Timing'!J$16</f>
        <v>0.76077400000000006</v>
      </c>
      <c r="S45" s="313">
        <f>($J$8+$J$10)*'ARP Timing'!K$16</f>
        <v>0.76077400000000006</v>
      </c>
      <c r="T45" s="313">
        <f>($J$8+$J$10)*'ARP Timing'!L$16</f>
        <v>0.76077400000000006</v>
      </c>
      <c r="U45" s="313">
        <f>($J$8+$J$10)*'ARP Timing'!M$16</f>
        <v>0.76077400000000006</v>
      </c>
      <c r="V45" s="313">
        <f>($J$8+$J$10)*'ARP Timing'!N$16</f>
        <v>0.73748499999999995</v>
      </c>
    </row>
    <row r="46" spans="1:23" s="313" customFormat="1" ht="16">
      <c r="A46" s="313">
        <v>2023</v>
      </c>
      <c r="B46" s="467" t="s">
        <v>781</v>
      </c>
      <c r="C46" s="469"/>
      <c r="H46" s="469"/>
      <c r="K46" s="313">
        <f>($K$8+$K$10)*'ARP Timing'!B$16</f>
        <v>1.0868200000000001</v>
      </c>
      <c r="L46" s="313">
        <f>($K$8+$K$10)*'ARP Timing'!C$16</f>
        <v>1.0868200000000001</v>
      </c>
      <c r="M46" s="313">
        <f>($K$8+$K$10)*'ARP Timing'!D$16</f>
        <v>0.76077400000000006</v>
      </c>
      <c r="N46" s="313">
        <f>($K$8+$K$10)*'ARP Timing'!E$16</f>
        <v>0.76077400000000006</v>
      </c>
      <c r="O46" s="313">
        <f>($K$8+$K$10)*'ARP Timing'!F$16</f>
        <v>0.76077400000000006</v>
      </c>
      <c r="P46" s="313">
        <f>($K$8+$K$10)*'ARP Timing'!G$16</f>
        <v>0.76077400000000006</v>
      </c>
      <c r="Q46" s="313">
        <f>($K$8+$K$10)*'ARP Timing'!H$16</f>
        <v>0.76077400000000006</v>
      </c>
      <c r="R46" s="313">
        <f>($K$8+$K$10)*'ARP Timing'!I$16</f>
        <v>0.76077400000000006</v>
      </c>
      <c r="S46" s="313">
        <f>($K$8+$K$10)*'ARP Timing'!J$16</f>
        <v>0.76077400000000006</v>
      </c>
      <c r="T46" s="313">
        <f>($K$8+$K$10)*'ARP Timing'!K$16</f>
        <v>0.76077400000000006</v>
      </c>
      <c r="U46" s="313">
        <f>($K$8+$K$10)*'ARP Timing'!L$16</f>
        <v>0.76077400000000006</v>
      </c>
      <c r="V46" s="313">
        <f>($K$8+$K$10)*'ARP Timing'!M$16</f>
        <v>0.76077400000000006</v>
      </c>
    </row>
    <row r="47" spans="1:23" s="313" customFormat="1" ht="16">
      <c r="B47" s="467" t="s">
        <v>782</v>
      </c>
      <c r="C47" s="469"/>
      <c r="H47" s="469"/>
      <c r="L47" s="313">
        <f>($L$8+$L$10)*'ARP Timing'!B$16</f>
        <v>1.0868200000000001</v>
      </c>
      <c r="M47" s="313">
        <f>($L$8+$L$10)*'ARP Timing'!C$16</f>
        <v>1.0868200000000001</v>
      </c>
      <c r="N47" s="313">
        <f>($L$8+$L$10)*'ARP Timing'!D$16</f>
        <v>0.76077400000000006</v>
      </c>
      <c r="O47" s="313">
        <f>($L$8+$L$10)*'ARP Timing'!E$16</f>
        <v>0.76077400000000006</v>
      </c>
      <c r="P47" s="313">
        <f>($L$8+$L$10)*'ARP Timing'!F$16</f>
        <v>0.76077400000000006</v>
      </c>
      <c r="Q47" s="313">
        <f>($L$8+$L$10)*'ARP Timing'!G$16</f>
        <v>0.76077400000000006</v>
      </c>
      <c r="R47" s="313">
        <f>($L$8+$L$10)*'ARP Timing'!H$16</f>
        <v>0.76077400000000006</v>
      </c>
      <c r="S47" s="313">
        <f>($L$8+$L$10)*'ARP Timing'!I$16</f>
        <v>0.76077400000000006</v>
      </c>
      <c r="T47" s="313">
        <f>($L$8+$L$10)*'ARP Timing'!J$16</f>
        <v>0.76077400000000006</v>
      </c>
      <c r="U47" s="313">
        <f>($L$8+$L$10)*'ARP Timing'!K$16</f>
        <v>0.76077400000000006</v>
      </c>
      <c r="V47" s="313">
        <f>($L$8+$L$10)*'ARP Timing'!L$16</f>
        <v>0.76077400000000006</v>
      </c>
    </row>
    <row r="48" spans="1:23" s="313" customFormat="1" ht="16">
      <c r="B48" s="467" t="s">
        <v>783</v>
      </c>
      <c r="C48" s="469"/>
      <c r="H48" s="469"/>
      <c r="M48" s="313">
        <f>($M$8+$M$10)*'ARP Timing'!B$16</f>
        <v>1.0868200000000001</v>
      </c>
      <c r="N48" s="313">
        <f>($M$8+$M$10)*'ARP Timing'!C$16</f>
        <v>1.0868200000000001</v>
      </c>
      <c r="O48" s="313">
        <f>($M$8+$M$10)*'ARP Timing'!D$16</f>
        <v>0.76077400000000006</v>
      </c>
      <c r="P48" s="313">
        <f>($M$8+$M$10)*'ARP Timing'!E$16</f>
        <v>0.76077400000000006</v>
      </c>
      <c r="Q48" s="313">
        <f>($M$8+$M$10)*'ARP Timing'!F$16</f>
        <v>0.76077400000000006</v>
      </c>
      <c r="R48" s="313">
        <f>($M$8+$M$10)*'ARP Timing'!G$16</f>
        <v>0.76077400000000006</v>
      </c>
      <c r="S48" s="313">
        <f>($M$8+$M$10)*'ARP Timing'!H$16</f>
        <v>0.76077400000000006</v>
      </c>
      <c r="T48" s="313">
        <f>($M$8+$M$10)*'ARP Timing'!I$16</f>
        <v>0.76077400000000006</v>
      </c>
      <c r="U48" s="313">
        <f>($M$8+$M$10)*'ARP Timing'!J$16</f>
        <v>0.76077400000000006</v>
      </c>
      <c r="V48" s="313">
        <f>($M$8+$M$10)*'ARP Timing'!K$16</f>
        <v>0.76077400000000006</v>
      </c>
    </row>
    <row r="49" spans="1:22" s="313" customFormat="1" ht="16">
      <c r="B49" s="467" t="s">
        <v>784</v>
      </c>
      <c r="C49" s="469"/>
      <c r="H49" s="469"/>
      <c r="N49" s="313">
        <f>($N$8+$N$10)*'ARP Timing'!B$16</f>
        <v>0.29981000000000008</v>
      </c>
      <c r="O49" s="313">
        <f>($N$8+$N$10)*'ARP Timing'!C$16</f>
        <v>0.29981000000000008</v>
      </c>
      <c r="P49" s="313">
        <f>($N$8+$N$10)*'ARP Timing'!D$16</f>
        <v>0.20986700000000003</v>
      </c>
      <c r="Q49" s="313">
        <f>($N$8+$N$10)*'ARP Timing'!E$16</f>
        <v>0.20986700000000003</v>
      </c>
      <c r="R49" s="313">
        <f>($N$8+$N$10)*'ARP Timing'!F$16</f>
        <v>0.20986700000000003</v>
      </c>
      <c r="S49" s="313">
        <f>($N$8+$N$10)*'ARP Timing'!G$16</f>
        <v>0.20986700000000003</v>
      </c>
      <c r="T49" s="313">
        <f>($N$8+$N$10)*'ARP Timing'!H$16</f>
        <v>0.20986700000000003</v>
      </c>
      <c r="U49" s="313">
        <f>($N$8+$N$10)*'ARP Timing'!I$16</f>
        <v>0.20986700000000003</v>
      </c>
      <c r="V49" s="313">
        <f>($N$8+$N$10)*'ARP Timing'!J$16</f>
        <v>0.20986700000000003</v>
      </c>
    </row>
    <row r="50" spans="1:22" s="313" customFormat="1" ht="16">
      <c r="A50" s="313">
        <v>2024</v>
      </c>
      <c r="B50" s="467" t="s">
        <v>781</v>
      </c>
      <c r="C50" s="469"/>
      <c r="H50" s="469"/>
      <c r="O50" s="313">
        <f>($O$8+$O$10)*'ARP Timing'!B$16</f>
        <v>0.29981000000000008</v>
      </c>
      <c r="P50" s="313">
        <f>($O$8+$O$10)*'ARP Timing'!C$16</f>
        <v>0.29981000000000008</v>
      </c>
      <c r="Q50" s="313">
        <f>($O$8+$O$10)*'ARP Timing'!D$16</f>
        <v>0.20986700000000003</v>
      </c>
      <c r="R50" s="313">
        <f>($O$8+$O$10)*'ARP Timing'!E$16</f>
        <v>0.20986700000000003</v>
      </c>
      <c r="S50" s="313">
        <f>($O$8+$O$10)*'ARP Timing'!F$16</f>
        <v>0.20986700000000003</v>
      </c>
      <c r="T50" s="313">
        <f>($O$8+$O$10)*'ARP Timing'!G$16</f>
        <v>0.20986700000000003</v>
      </c>
      <c r="U50" s="313">
        <f>($O$8+$O$10)*'ARP Timing'!H$16</f>
        <v>0.20986700000000003</v>
      </c>
      <c r="V50" s="313">
        <f>($O$8+$O$10)*'ARP Timing'!I$16</f>
        <v>0.20986700000000003</v>
      </c>
    </row>
    <row r="51" spans="1:22" s="313" customFormat="1" ht="16">
      <c r="B51" s="467" t="s">
        <v>782</v>
      </c>
      <c r="C51" s="469"/>
      <c r="H51" s="469"/>
      <c r="P51" s="313">
        <f>($P$8+$P$10)*'ARP Timing'!B$16</f>
        <v>0.29981000000000008</v>
      </c>
      <c r="Q51" s="313">
        <f>($P$8+$P$10)*'ARP Timing'!C$16</f>
        <v>0.29981000000000008</v>
      </c>
      <c r="R51" s="313">
        <f>($P$8+$P$10)*'ARP Timing'!D$16</f>
        <v>0.20986700000000003</v>
      </c>
      <c r="S51" s="313">
        <f>($P$8+$P$10)*'ARP Timing'!E$16</f>
        <v>0.20986700000000003</v>
      </c>
      <c r="T51" s="313">
        <f>($P$8+$P$10)*'ARP Timing'!F$16</f>
        <v>0.20986700000000003</v>
      </c>
      <c r="U51" s="313">
        <f>($P$8+$P$10)*'ARP Timing'!G$16</f>
        <v>0.20986700000000003</v>
      </c>
      <c r="V51" s="313">
        <f>($P$8+$P$10)*'ARP Timing'!H$16</f>
        <v>0.20986700000000003</v>
      </c>
    </row>
    <row r="52" spans="1:22" s="313" customFormat="1" ht="16">
      <c r="B52" s="467" t="s">
        <v>783</v>
      </c>
      <c r="C52" s="469"/>
      <c r="H52" s="469"/>
      <c r="Q52" s="313">
        <f>($Q$8+$Q$10)*'ARP Timing'!B$16</f>
        <v>0.29981000000000008</v>
      </c>
      <c r="R52" s="313">
        <f>($Q$8+$Q$10)*'ARP Timing'!C$16</f>
        <v>0.29981000000000008</v>
      </c>
      <c r="S52" s="313">
        <f>($Q$8+$Q$10)*'ARP Timing'!D$16</f>
        <v>0.20986700000000003</v>
      </c>
      <c r="T52" s="313">
        <f>($Q$8+$Q$10)*'ARP Timing'!E$16</f>
        <v>0.20986700000000003</v>
      </c>
      <c r="U52" s="313">
        <f>($Q$8+$Q$10)*'ARP Timing'!F$16</f>
        <v>0.20986700000000003</v>
      </c>
      <c r="V52" s="313">
        <f>($Q$8+$Q$10)*'ARP Timing'!G$16</f>
        <v>0.20986700000000003</v>
      </c>
    </row>
    <row r="53" spans="1:22" s="313" customFormat="1" ht="16">
      <c r="B53" s="467" t="s">
        <v>784</v>
      </c>
      <c r="C53" s="469"/>
      <c r="H53" s="469"/>
      <c r="R53" s="313">
        <f>($R$8+$R$10)*'ARP Timing'!B$16</f>
        <v>5.9429999999999997E-2</v>
      </c>
      <c r="S53" s="313">
        <f>($R$8+$R$10)*'ARP Timing'!C$16</f>
        <v>5.9429999999999997E-2</v>
      </c>
      <c r="T53" s="313">
        <f>($R$8+$R$10)*'ARP Timing'!D$16</f>
        <v>4.1600999999999992E-2</v>
      </c>
      <c r="U53" s="313">
        <f>($R$8+$R$10)*'ARP Timing'!E$16</f>
        <v>4.1600999999999992E-2</v>
      </c>
      <c r="V53" s="313">
        <f>($R$8+$R$10)*'ARP Timing'!F$16</f>
        <v>4.1600999999999992E-2</v>
      </c>
    </row>
    <row r="54" spans="1:22" s="313" customFormat="1">
      <c r="B54" s="467"/>
      <c r="C54" s="469"/>
      <c r="H54" s="469"/>
      <c r="S54" s="313">
        <f>($S$8+$S$10)*'ARP Timing'!B$16</f>
        <v>5.9429999999999997E-2</v>
      </c>
      <c r="T54" s="313">
        <f>($S$8+$S$10)*'ARP Timing'!C$16</f>
        <v>5.9429999999999997E-2</v>
      </c>
      <c r="U54" s="313">
        <f>($S$8+$S$10)*'ARP Timing'!D$16</f>
        <v>4.1600999999999992E-2</v>
      </c>
      <c r="V54" s="313">
        <f>($S$8+$S$10)*'ARP Timing'!E$16</f>
        <v>4.1600999999999992E-2</v>
      </c>
    </row>
    <row r="55" spans="1:22" s="313" customFormat="1">
      <c r="B55" s="467"/>
      <c r="C55" s="469"/>
      <c r="H55" s="469"/>
      <c r="T55" s="313">
        <f>($T$8+$T$10)*'ARP Timing'!B$16</f>
        <v>5.9429999999999997E-2</v>
      </c>
      <c r="U55" s="313">
        <f>($T$8+$T$10)*'ARP Timing'!C$16</f>
        <v>5.9429999999999997E-2</v>
      </c>
      <c r="V55" s="313">
        <f>($T$8+$T$10)*'ARP Timing'!D$16</f>
        <v>4.1600999999999992E-2</v>
      </c>
    </row>
    <row r="56" spans="1:22" s="313" customFormat="1">
      <c r="B56" s="467"/>
      <c r="C56" s="469"/>
      <c r="H56" s="469"/>
      <c r="U56" s="313">
        <f>($U$8+$U$10)*'ARP Timing'!B$16</f>
        <v>5.9429999999999997E-2</v>
      </c>
      <c r="V56" s="313">
        <f>($U$8+$U$10)*'ARP Timing'!C$16</f>
        <v>5.9429999999999997E-2</v>
      </c>
    </row>
    <row r="57" spans="1:22" s="313" customFormat="1">
      <c r="B57" s="467"/>
      <c r="C57" s="469"/>
      <c r="H57" s="469"/>
      <c r="V57" s="313">
        <f>($V$8++$V$10)*'ARP Timing'!B$16</f>
        <v>2.4710000000000006E-2</v>
      </c>
    </row>
    <row r="58" spans="1:22" s="313" customFormat="1">
      <c r="B58" s="467"/>
      <c r="C58" s="469"/>
      <c r="H58" s="469"/>
    </row>
    <row r="59" spans="1:22" s="313" customFormat="1">
      <c r="B59" s="467"/>
      <c r="C59" s="469"/>
      <c r="H59" s="469"/>
    </row>
    <row r="60" spans="1:22" s="313" customFormat="1">
      <c r="B60" s="467"/>
      <c r="C60" s="469"/>
      <c r="H60" s="469"/>
    </row>
    <row r="61" spans="1:22" s="313" customFormat="1">
      <c r="B61" s="467"/>
      <c r="C61" s="469"/>
      <c r="H61" s="469"/>
    </row>
    <row r="62" spans="1:22" s="313" customFormat="1">
      <c r="B62" s="467"/>
      <c r="C62" s="469"/>
      <c r="H62" s="469"/>
    </row>
    <row r="63" spans="1:22" s="313" customFormat="1">
      <c r="B63" s="467"/>
      <c r="C63" s="469"/>
      <c r="H63" s="469"/>
    </row>
    <row r="64" spans="1:22" ht="16">
      <c r="B64" s="467" t="s">
        <v>577</v>
      </c>
      <c r="C64" s="474">
        <v>2021</v>
      </c>
      <c r="D64" s="465">
        <v>2022</v>
      </c>
      <c r="E64" s="465">
        <v>2023</v>
      </c>
      <c r="F64" s="465">
        <v>2024</v>
      </c>
      <c r="G64" s="465">
        <v>2025</v>
      </c>
      <c r="H64" s="469"/>
    </row>
    <row r="65" spans="2:25" ht="16">
      <c r="B65" s="467" t="s">
        <v>540</v>
      </c>
      <c r="C65" s="478">
        <f>SUM(C4:E4)/4</f>
        <v>26.636000000000024</v>
      </c>
      <c r="D65" s="478">
        <f>SUM(F4:I4)/4</f>
        <v>98.978999999999999</v>
      </c>
      <c r="E65" s="478">
        <f>SUM(J4:M4)/4</f>
        <v>2.1159999999999997</v>
      </c>
      <c r="F65" s="478">
        <f>SUM(N4:Q4)/4</f>
        <v>2.1789999999999998</v>
      </c>
      <c r="G65" s="478">
        <f>SUM(R4:U4)/4</f>
        <v>2.33</v>
      </c>
    </row>
    <row r="66" spans="2:25" s="313" customFormat="1" ht="16">
      <c r="B66" s="467" t="s">
        <v>542</v>
      </c>
      <c r="C66" s="478">
        <f>SUM(C5:E5)/4</f>
        <v>47.722000000000016</v>
      </c>
      <c r="D66" s="478">
        <f>SUM(F5:I5)/4</f>
        <v>52.756999999999998</v>
      </c>
      <c r="E66" s="478">
        <f>SUM(J5:M5)/4</f>
        <v>12</v>
      </c>
      <c r="F66" s="478">
        <f>SUM(N5:Q5)/4</f>
        <v>4.2219999999999995</v>
      </c>
      <c r="G66" s="478">
        <f>SUM(R5:U5)/4</f>
        <v>2.3719999999999999</v>
      </c>
      <c r="H66" s="469"/>
    </row>
    <row r="67" spans="2:25" s="313" customFormat="1" ht="16">
      <c r="B67" s="467" t="s">
        <v>134</v>
      </c>
      <c r="C67" s="478">
        <f>SUM(C6:E6)/4</f>
        <v>81.842999999999989</v>
      </c>
      <c r="D67" s="478">
        <f>SUM(F6:I6)/4</f>
        <v>110.24799999999999</v>
      </c>
      <c r="E67" s="478">
        <f>SUM(J6:M6)/4</f>
        <v>12.726000000000001</v>
      </c>
      <c r="F67" s="478">
        <f>SUM(N6:Q6)/4</f>
        <v>1.365</v>
      </c>
      <c r="G67" s="478">
        <f>SUM(R6:U6)/4</f>
        <v>-0.90100000000000025</v>
      </c>
      <c r="H67" s="469"/>
      <c r="O67" s="467"/>
      <c r="P67" s="467"/>
      <c r="Q67" s="467"/>
      <c r="R67" s="467"/>
      <c r="S67" s="479"/>
      <c r="T67" s="479"/>
      <c r="U67" s="479"/>
      <c r="V67" s="468"/>
      <c r="W67" s="467"/>
      <c r="X67" s="467"/>
      <c r="Y67" s="480"/>
    </row>
    <row r="68" spans="2:25" s="313" customFormat="1" ht="16">
      <c r="B68" s="467" t="s">
        <v>541</v>
      </c>
      <c r="C68" s="478">
        <f>SUM(C7:E7)/4</f>
        <v>7.798</v>
      </c>
      <c r="D68" s="478">
        <f>SUM(F7:I7)/4</f>
        <v>7.9489999999999998</v>
      </c>
      <c r="E68" s="478">
        <f>SUM(J7:M7)/4</f>
        <v>4.7519999999999998</v>
      </c>
      <c r="F68" s="478">
        <f>SUM(N7:Q7)/4</f>
        <v>4.637999999999999</v>
      </c>
      <c r="G68" s="478">
        <f>SUM(R7:U7)/4</f>
        <v>1.8800000000000001</v>
      </c>
      <c r="H68" s="469"/>
      <c r="O68" s="480"/>
      <c r="P68" s="480"/>
      <c r="Q68" s="480"/>
      <c r="R68" s="480"/>
      <c r="S68" s="480"/>
      <c r="T68" s="480"/>
      <c r="U68" s="480"/>
      <c r="V68" s="480"/>
      <c r="W68" s="480"/>
      <c r="X68" s="480"/>
      <c r="Y68" s="480"/>
    </row>
    <row r="69" spans="2:25">
      <c r="B69" s="471" t="s">
        <v>388</v>
      </c>
      <c r="C69" s="478">
        <f>SUM(C8:E8)/4</f>
        <v>247.29179999999997</v>
      </c>
      <c r="D69" s="478">
        <f>SUM(F8:I8)/4</f>
        <v>164.8612</v>
      </c>
      <c r="E69" s="478">
        <f>SUM(J8:M8)/4</f>
        <v>0</v>
      </c>
      <c r="F69" s="478">
        <f>SUM(N8:Q8)/4</f>
        <v>0</v>
      </c>
      <c r="G69" s="478">
        <f>SUM(R8:U8)/4</f>
        <v>0</v>
      </c>
      <c r="H69" s="469"/>
      <c r="O69" s="480"/>
      <c r="P69" s="480"/>
      <c r="Q69" s="480"/>
      <c r="R69" s="481"/>
      <c r="S69" s="481"/>
      <c r="T69" s="480"/>
      <c r="U69" s="480"/>
      <c r="V69" s="480"/>
      <c r="W69" s="480"/>
      <c r="X69" s="480"/>
      <c r="Y69" s="480"/>
    </row>
    <row r="70" spans="2:25">
      <c r="B70" s="471" t="s">
        <v>309</v>
      </c>
      <c r="C70" s="478">
        <f>SUM(C9:E9)/4</f>
        <v>12.347</v>
      </c>
      <c r="D70" s="478">
        <f>SUM(F9:I9)/4</f>
        <v>46.79</v>
      </c>
      <c r="E70" s="478">
        <f>SUM(J9:M9)/4</f>
        <v>38.595999999999997</v>
      </c>
      <c r="F70" s="478">
        <f>SUM(N9:Q9)/4</f>
        <v>31.911000000000001</v>
      </c>
      <c r="G70" s="478">
        <f>SUM(R9:U9)/4</f>
        <v>23.099</v>
      </c>
      <c r="H70" s="469"/>
      <c r="R70" s="4"/>
      <c r="S70" s="4"/>
    </row>
    <row r="71" spans="2:25">
      <c r="B71" s="471" t="s">
        <v>415</v>
      </c>
      <c r="C71" s="478">
        <f>SUM(C10:E10)/4</f>
        <v>17.068000000000001</v>
      </c>
      <c r="D71" s="478">
        <f>SUM(F10:I10)/4</f>
        <v>23.761000000000003</v>
      </c>
      <c r="E71" s="478">
        <f>SUM(J10:M10)/4</f>
        <v>15.526</v>
      </c>
      <c r="F71" s="478">
        <f>SUM(N10:Q10)/4</f>
        <v>4.2830000000000004</v>
      </c>
      <c r="G71" s="478">
        <f>SUM(R10:U10)/4</f>
        <v>0.84899999999999987</v>
      </c>
      <c r="H71" s="469"/>
      <c r="R71" s="4"/>
      <c r="S71" s="4"/>
    </row>
    <row r="72" spans="2:25" ht="16">
      <c r="B72" s="468" t="s">
        <v>563</v>
      </c>
      <c r="C72" s="478">
        <f>SUM(C11:E11)/4</f>
        <v>25.75</v>
      </c>
      <c r="D72" s="478">
        <f>SUM(F11:I11)/4</f>
        <v>0</v>
      </c>
      <c r="E72" s="478">
        <f>SUM(J11:M11)/4</f>
        <v>0</v>
      </c>
      <c r="F72" s="478">
        <f>SUM(N11:Q11)/4</f>
        <v>0</v>
      </c>
      <c r="G72" s="478">
        <f>SUM(R11:U11)/4</f>
        <v>0</v>
      </c>
      <c r="H72" s="469"/>
      <c r="R72" s="4"/>
      <c r="S72" s="4"/>
    </row>
    <row r="73" spans="2:25" ht="16">
      <c r="B73" s="467" t="s">
        <v>403</v>
      </c>
      <c r="C73" s="478">
        <f>SUM(C12:E12)/4</f>
        <v>44.499000000000002</v>
      </c>
      <c r="D73" s="478">
        <f>SUM(F12:I12)/4</f>
        <v>68.323000000000008</v>
      </c>
      <c r="E73" s="478">
        <f>SUM(J12:M12)/4</f>
        <v>24.342999999999996</v>
      </c>
      <c r="F73" s="478">
        <f>SUM(N12:Q12)/4</f>
        <v>9.2920000000000016</v>
      </c>
      <c r="G73" s="478">
        <f>SUM(R12:U12)/4</f>
        <v>2.9870000000000001</v>
      </c>
      <c r="R73" s="4"/>
      <c r="S73" s="4"/>
    </row>
    <row r="74" spans="2:25">
      <c r="B74" s="313" t="s">
        <v>585</v>
      </c>
      <c r="C74" s="478">
        <f>SUM(C13:E13)/4</f>
        <v>1.02</v>
      </c>
      <c r="D74" s="478">
        <f>SUM(F13:I13)/4</f>
        <v>1.5299999999999998</v>
      </c>
      <c r="E74" s="478">
        <f>SUM(J13:M13)/4</f>
        <v>0</v>
      </c>
      <c r="F74" s="478">
        <f>SUM(N13:Q13)/4</f>
        <v>0</v>
      </c>
      <c r="G74" s="478">
        <f>SUM(R13:U13)/4</f>
        <v>0</v>
      </c>
      <c r="R74" s="4"/>
      <c r="S74" s="4"/>
    </row>
    <row r="75" spans="2:25" s="313" customFormat="1">
      <c r="B75" s="313" t="s">
        <v>586</v>
      </c>
      <c r="C75" s="478">
        <f>SUM(C14:E14)/4</f>
        <v>0.68000000000000016</v>
      </c>
      <c r="D75" s="478">
        <f>SUM(F14:I14)/4</f>
        <v>1.02</v>
      </c>
      <c r="E75" s="478">
        <f>SUM(J14:M14)/4</f>
        <v>0</v>
      </c>
      <c r="F75" s="478">
        <f>SUM(N14:Q14)/4</f>
        <v>0</v>
      </c>
      <c r="G75" s="478">
        <f>SUM(R14:U14)/4</f>
        <v>0</v>
      </c>
      <c r="R75" s="4"/>
      <c r="S75" s="4"/>
    </row>
    <row r="76" spans="2:25" s="313" customFormat="1">
      <c r="B76" s="313" t="s">
        <v>514</v>
      </c>
      <c r="C76" s="478">
        <f>SUM(C15:E15)/4</f>
        <v>1.7000000000000004</v>
      </c>
      <c r="D76" s="478">
        <f>SUM(F15:I15)/4</f>
        <v>2.5499999999999998</v>
      </c>
      <c r="E76" s="478">
        <f>SUM(J15:M15)/4</f>
        <v>0</v>
      </c>
      <c r="F76" s="478">
        <f>SUM(N15:Q15)/4</f>
        <v>0</v>
      </c>
      <c r="G76" s="478">
        <f>SUM(R15:U15)/4</f>
        <v>0</v>
      </c>
      <c r="R76" s="4"/>
      <c r="S76" s="4"/>
    </row>
    <row r="77" spans="2:25">
      <c r="B77" s="313"/>
      <c r="C77" s="465">
        <v>2021</v>
      </c>
      <c r="D77" s="465">
        <v>2022</v>
      </c>
      <c r="E77" s="465">
        <v>2023</v>
      </c>
      <c r="F77" s="465">
        <v>2024</v>
      </c>
      <c r="G77" s="465">
        <v>2025</v>
      </c>
      <c r="H77" s="313"/>
      <c r="I77" s="313"/>
      <c r="J77" s="313"/>
      <c r="K77" s="313"/>
      <c r="L77" s="313"/>
      <c r="M77" s="313"/>
      <c r="N77" s="313"/>
      <c r="R77" s="4"/>
      <c r="S77" s="4"/>
    </row>
    <row r="78" spans="2:25">
      <c r="B78" s="313" t="s">
        <v>587</v>
      </c>
      <c r="C78" s="477">
        <f>SUM(C74:C76)</f>
        <v>3.4000000000000004</v>
      </c>
      <c r="D78" s="477">
        <f t="shared" ref="D78:G78" si="38">SUM(D74:D76)</f>
        <v>5.0999999999999996</v>
      </c>
      <c r="E78" s="477">
        <f t="shared" si="38"/>
        <v>0</v>
      </c>
      <c r="F78" s="477">
        <f t="shared" si="38"/>
        <v>0</v>
      </c>
      <c r="G78" s="477">
        <f t="shared" si="38"/>
        <v>0</v>
      </c>
      <c r="H78" s="313"/>
      <c r="I78" s="313"/>
      <c r="J78" s="313"/>
      <c r="K78" s="313"/>
      <c r="L78" s="313"/>
      <c r="M78" s="313"/>
      <c r="N78" s="313"/>
      <c r="R78" s="4"/>
      <c r="S78" s="4"/>
    </row>
    <row r="79" spans="2:25">
      <c r="B79" s="313"/>
      <c r="C79" s="313"/>
      <c r="D79" s="313"/>
      <c r="E79" s="313"/>
      <c r="F79" s="313"/>
      <c r="G79" s="313"/>
      <c r="H79" s="313"/>
      <c r="I79" s="313"/>
      <c r="J79" s="313"/>
      <c r="K79" s="313"/>
      <c r="L79" s="313"/>
      <c r="M79" s="313"/>
      <c r="N79" s="313"/>
    </row>
    <row r="80" spans="2:25">
      <c r="B80" s="313"/>
      <c r="C80" s="313"/>
      <c r="D80" s="313"/>
      <c r="E80" s="313"/>
      <c r="F80" s="313"/>
      <c r="G80" s="313"/>
      <c r="H80" s="313"/>
      <c r="I80" s="313"/>
      <c r="J80" s="313"/>
      <c r="K80" s="313"/>
      <c r="L80" s="313"/>
      <c r="M80" s="313"/>
      <c r="N80" s="313"/>
    </row>
    <row r="81" spans="2:14">
      <c r="B81" s="313" t="s">
        <v>540</v>
      </c>
      <c r="C81" s="478">
        <v>26.636000000000024</v>
      </c>
      <c r="D81" s="478">
        <v>98.978999999999999</v>
      </c>
      <c r="E81" s="478">
        <v>2.1159999999999997</v>
      </c>
      <c r="F81" s="478">
        <v>2.1789999999999998</v>
      </c>
      <c r="G81" s="478">
        <v>2.33</v>
      </c>
      <c r="H81" s="478"/>
      <c r="I81" s="478"/>
      <c r="J81" s="478"/>
      <c r="K81" s="478"/>
      <c r="L81" s="478"/>
      <c r="M81" s="478"/>
      <c r="N81" s="313"/>
    </row>
    <row r="82" spans="2:14">
      <c r="B82" s="313" t="s">
        <v>542</v>
      </c>
      <c r="C82" s="478">
        <v>47.722000000000016</v>
      </c>
      <c r="D82" s="478">
        <v>52.756999999999998</v>
      </c>
      <c r="E82" s="478">
        <v>12</v>
      </c>
      <c r="F82" s="478">
        <v>4.2219999999999995</v>
      </c>
      <c r="G82" s="478">
        <v>2.3719999999999999</v>
      </c>
      <c r="H82" s="478"/>
      <c r="I82" s="478"/>
      <c r="J82" s="478"/>
      <c r="K82" s="478"/>
      <c r="L82" s="478"/>
      <c r="M82" s="478"/>
      <c r="N82" s="313"/>
    </row>
    <row r="83" spans="2:14">
      <c r="B83" s="313" t="s">
        <v>134</v>
      </c>
      <c r="C83" s="478">
        <v>81.842999999999989</v>
      </c>
      <c r="D83" s="478">
        <v>110.24799999999999</v>
      </c>
      <c r="E83" s="478">
        <v>12.726000000000001</v>
      </c>
      <c r="F83" s="478">
        <v>1.365</v>
      </c>
      <c r="G83" s="478">
        <v>-0.90100000000000025</v>
      </c>
      <c r="H83" s="478"/>
      <c r="I83" s="478"/>
      <c r="J83" s="478"/>
      <c r="K83" s="478"/>
      <c r="L83" s="478"/>
      <c r="M83" s="478"/>
      <c r="N83" s="313"/>
    </row>
    <row r="84" spans="2:14">
      <c r="B84" s="313" t="s">
        <v>541</v>
      </c>
      <c r="C84" s="478">
        <v>7.798</v>
      </c>
      <c r="D84" s="478">
        <v>7.9489999999999998</v>
      </c>
      <c r="E84" s="478">
        <v>4.7519999999999998</v>
      </c>
      <c r="F84" s="478">
        <v>4.637999999999999</v>
      </c>
      <c r="G84" s="478">
        <v>1.8800000000000001</v>
      </c>
      <c r="H84" s="478"/>
      <c r="I84" s="478"/>
      <c r="J84" s="478"/>
      <c r="K84" s="478"/>
      <c r="L84" s="478"/>
      <c r="M84" s="478"/>
      <c r="N84" s="313"/>
    </row>
    <row r="85" spans="2:14">
      <c r="B85" s="54" t="s">
        <v>388</v>
      </c>
      <c r="C85" s="478">
        <v>283.95749999999998</v>
      </c>
      <c r="D85" s="478">
        <v>77.092500000000001</v>
      </c>
      <c r="E85" s="478">
        <v>1</v>
      </c>
      <c r="F85" s="478">
        <v>0</v>
      </c>
      <c r="G85" s="478">
        <v>0</v>
      </c>
      <c r="H85" s="478"/>
      <c r="I85" s="478"/>
      <c r="J85" s="478"/>
      <c r="K85" s="478"/>
      <c r="L85" s="478"/>
      <c r="M85" s="478"/>
      <c r="N85" s="313"/>
    </row>
    <row r="86" spans="2:14">
      <c r="B86" s="54" t="s">
        <v>309</v>
      </c>
      <c r="C86" s="478">
        <v>12.347</v>
      </c>
      <c r="D86" s="478">
        <v>46.79</v>
      </c>
      <c r="E86" s="478">
        <v>38.595999999999997</v>
      </c>
      <c r="F86" s="478">
        <v>31.911000000000001</v>
      </c>
      <c r="G86" s="478">
        <v>23.099</v>
      </c>
      <c r="H86" s="478"/>
      <c r="I86" s="478"/>
      <c r="J86" s="478"/>
      <c r="K86" s="478"/>
      <c r="L86" s="478"/>
      <c r="M86" s="478"/>
      <c r="N86" s="313"/>
    </row>
    <row r="87" spans="2:14">
      <c r="B87" s="54" t="s">
        <v>415</v>
      </c>
      <c r="C87" s="478">
        <v>2.286</v>
      </c>
      <c r="D87" s="478">
        <v>4.6049999999999995</v>
      </c>
      <c r="E87" s="478">
        <v>1.349</v>
      </c>
      <c r="F87" s="478">
        <v>0.441</v>
      </c>
      <c r="G87" s="478">
        <v>0.313</v>
      </c>
      <c r="H87" s="478"/>
      <c r="I87" s="478"/>
      <c r="J87" s="478"/>
      <c r="K87" s="478"/>
      <c r="L87" s="478"/>
      <c r="M87" s="478"/>
      <c r="N87" s="313"/>
    </row>
    <row r="88" spans="2:14">
      <c r="B88" s="54" t="s">
        <v>563</v>
      </c>
      <c r="C88" s="478">
        <v>25.75</v>
      </c>
      <c r="D88" s="478">
        <v>0</v>
      </c>
      <c r="E88" s="478">
        <v>0</v>
      </c>
      <c r="F88" s="478">
        <v>0</v>
      </c>
      <c r="G88" s="478">
        <v>0</v>
      </c>
      <c r="H88" s="478"/>
      <c r="I88" s="478"/>
      <c r="J88" s="478"/>
      <c r="K88" s="478"/>
      <c r="L88" s="478"/>
      <c r="M88" s="478"/>
      <c r="N88" s="313"/>
    </row>
    <row r="89" spans="2:14">
      <c r="B89" s="54" t="s">
        <v>403</v>
      </c>
      <c r="C89" s="478">
        <v>60.441000000000003</v>
      </c>
      <c r="D89" s="478">
        <v>91.678999999999988</v>
      </c>
      <c r="E89" s="478">
        <v>41.220000000000006</v>
      </c>
      <c r="F89" s="478">
        <v>14.004000000000003</v>
      </c>
      <c r="G89" s="478">
        <v>3.8530000000000006</v>
      </c>
      <c r="H89" s="478"/>
      <c r="I89" s="478"/>
      <c r="J89" s="478"/>
      <c r="K89" s="478"/>
      <c r="L89" s="478"/>
      <c r="M89" s="478"/>
      <c r="N89" s="313"/>
    </row>
    <row r="90" spans="2:14">
      <c r="C90" s="465">
        <v>3.4</v>
      </c>
      <c r="D90" s="465">
        <v>5.0999999999999996</v>
      </c>
      <c r="E90" s="465">
        <v>0</v>
      </c>
      <c r="F90" s="465">
        <v>0</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313" bestFit="1" customWidth="1"/>
    <col min="2" max="16384" width="10.83203125" style="313"/>
  </cols>
  <sheetData>
    <row r="1" spans="1:23">
      <c r="B1" s="313" t="s">
        <v>148</v>
      </c>
      <c r="C1" s="313" t="s">
        <v>149</v>
      </c>
      <c r="D1" s="313" t="s">
        <v>150</v>
      </c>
      <c r="E1" s="313" t="s">
        <v>151</v>
      </c>
      <c r="F1" s="313" t="s">
        <v>152</v>
      </c>
      <c r="G1" s="313" t="s">
        <v>153</v>
      </c>
      <c r="H1" s="313" t="s">
        <v>154</v>
      </c>
      <c r="I1" s="313" t="s">
        <v>155</v>
      </c>
      <c r="J1" s="313" t="s">
        <v>156</v>
      </c>
      <c r="K1" s="313" t="s">
        <v>157</v>
      </c>
      <c r="L1" s="313" t="s">
        <v>158</v>
      </c>
      <c r="M1" s="313" t="s">
        <v>159</v>
      </c>
      <c r="N1" s="313" t="s">
        <v>160</v>
      </c>
      <c r="O1" s="313" t="s">
        <v>161</v>
      </c>
      <c r="P1" s="313" t="s">
        <v>162</v>
      </c>
      <c r="Q1" s="313" t="s">
        <v>163</v>
      </c>
      <c r="R1" s="313" t="s">
        <v>165</v>
      </c>
      <c r="S1" s="313" t="s">
        <v>166</v>
      </c>
      <c r="T1" s="313" t="s">
        <v>167</v>
      </c>
      <c r="U1" s="313" t="s">
        <v>168</v>
      </c>
      <c r="V1" s="313" t="s">
        <v>169</v>
      </c>
      <c r="W1" s="313" t="s">
        <v>170</v>
      </c>
    </row>
    <row r="2" spans="1:23">
      <c r="A2" s="313" t="s">
        <v>485</v>
      </c>
      <c r="B2" s="369">
        <v>112.989</v>
      </c>
      <c r="C2" s="369">
        <v>113.38</v>
      </c>
      <c r="D2" s="369">
        <v>112.86</v>
      </c>
      <c r="E2" s="369">
        <v>113.83799999999999</v>
      </c>
      <c r="F2" s="369">
        <v>114.41500000000001</v>
      </c>
      <c r="G2" s="369">
        <v>115.613</v>
      </c>
      <c r="H2" s="369">
        <v>116.079929684229</v>
      </c>
      <c r="I2" s="369">
        <v>116.665860886253</v>
      </c>
      <c r="J2" s="369">
        <v>117.173130068039</v>
      </c>
      <c r="K2" s="369">
        <v>117.776205556525</v>
      </c>
      <c r="L2" s="369">
        <v>118.328856673063</v>
      </c>
      <c r="M2" s="369">
        <v>118.891592663992</v>
      </c>
      <c r="N2" s="369">
        <v>119.478532353454</v>
      </c>
      <c r="O2" s="369">
        <v>120.061438093161</v>
      </c>
      <c r="P2" s="369">
        <v>120.658462657013</v>
      </c>
      <c r="Q2" s="369">
        <v>121.265572095255</v>
      </c>
      <c r="R2" s="369">
        <v>121.88982581995801</v>
      </c>
      <c r="S2" s="369">
        <v>122.528198368807</v>
      </c>
      <c r="T2" s="369">
        <v>123.170604867411</v>
      </c>
      <c r="U2" s="369">
        <v>123.820070778088</v>
      </c>
      <c r="V2" s="369">
        <v>124.47558761339801</v>
      </c>
      <c r="W2" s="369">
        <v>125.131104448709</v>
      </c>
    </row>
    <row r="3" spans="1:23">
      <c r="A3" s="313" t="s">
        <v>484</v>
      </c>
      <c r="B3" s="372">
        <v>3.4368838919380802E-3</v>
      </c>
      <c r="C3" s="372">
        <v>3.4605138553309698E-3</v>
      </c>
      <c r="D3" s="372">
        <v>-4.5863467983771099E-3</v>
      </c>
      <c r="E3" s="372">
        <v>8.6656034024454893E-3</v>
      </c>
      <c r="F3" s="372">
        <v>5.0686062650433499E-3</v>
      </c>
      <c r="G3" s="372">
        <v>1.04706550714504E-2</v>
      </c>
      <c r="H3" s="372">
        <v>4.0387299371946704E-3</v>
      </c>
      <c r="I3" s="372">
        <v>5.0476529716862997E-3</v>
      </c>
      <c r="J3" s="372">
        <v>4.3480515888107999E-3</v>
      </c>
      <c r="K3" s="372">
        <v>5.1468752958592203E-3</v>
      </c>
      <c r="L3" s="372">
        <v>4.6923834396541703E-3</v>
      </c>
      <c r="M3" s="372">
        <v>4.7556953286800301E-3</v>
      </c>
      <c r="N3" s="372">
        <v>4.9367636206325604E-3</v>
      </c>
      <c r="O3" s="372">
        <v>4.8787487444397204E-3</v>
      </c>
      <c r="P3" s="372">
        <v>4.97265877649067E-3</v>
      </c>
      <c r="Q3" s="372">
        <v>5.03163578312149E-3</v>
      </c>
      <c r="R3" s="372">
        <v>5.1478231943116199E-3</v>
      </c>
      <c r="S3" s="372">
        <v>5.23729150119134E-3</v>
      </c>
      <c r="T3" s="372">
        <v>5.2429278089169999E-3</v>
      </c>
      <c r="U3" s="372">
        <v>5.2728969820035098E-3</v>
      </c>
      <c r="V3" s="372">
        <v>5.2941080649626703E-3</v>
      </c>
      <c r="W3" s="372">
        <v>5.26622808438937E-3</v>
      </c>
    </row>
    <row r="4" spans="1:23">
      <c r="A4" s="313" t="s">
        <v>483</v>
      </c>
      <c r="B4" s="369">
        <v>110.529</v>
      </c>
      <c r="C4" s="369">
        <v>110.88200000000001</v>
      </c>
      <c r="D4" s="369">
        <v>110.435</v>
      </c>
      <c r="E4" s="369">
        <v>111.431</v>
      </c>
      <c r="F4" s="369">
        <v>111.83499999999999</v>
      </c>
      <c r="G4" s="369">
        <v>112.864</v>
      </c>
      <c r="H4" s="369">
        <v>113.331748734778</v>
      </c>
      <c r="I4" s="369">
        <v>113.915555194576</v>
      </c>
      <c r="J4" s="369">
        <v>114.364746923467</v>
      </c>
      <c r="K4" s="369">
        <v>114.924235646865</v>
      </c>
      <c r="L4" s="369">
        <v>115.440791354819</v>
      </c>
      <c r="M4" s="369">
        <v>115.96851279450701</v>
      </c>
      <c r="N4" s="369">
        <v>116.52210368492899</v>
      </c>
      <c r="O4" s="369">
        <v>117.071115307263</v>
      </c>
      <c r="P4" s="369">
        <v>117.63129076657199</v>
      </c>
      <c r="Q4" s="369">
        <v>118.20059915499699</v>
      </c>
      <c r="R4" s="369">
        <v>118.776332952822</v>
      </c>
      <c r="S4" s="369">
        <v>119.374397493133</v>
      </c>
      <c r="T4" s="369">
        <v>119.981640842685</v>
      </c>
      <c r="U4" s="369">
        <v>120.594864779056</v>
      </c>
      <c r="V4" s="369">
        <v>121.219127553946</v>
      </c>
      <c r="W4" s="369">
        <v>121.837226137653</v>
      </c>
    </row>
    <row r="5" spans="1:23">
      <c r="A5" s="313" t="s">
        <v>482</v>
      </c>
      <c r="B5" s="372">
        <v>3.82351872706788E-3</v>
      </c>
      <c r="C5" s="372">
        <v>3.1937319617476598E-3</v>
      </c>
      <c r="D5" s="372">
        <v>-4.0313125665121198E-3</v>
      </c>
      <c r="E5" s="372">
        <v>9.0188798840946695E-3</v>
      </c>
      <c r="F5" s="372">
        <v>3.6255620069818302E-3</v>
      </c>
      <c r="G5" s="372">
        <v>9.2010551258552304E-3</v>
      </c>
      <c r="H5" s="372">
        <v>4.1443572332882104E-3</v>
      </c>
      <c r="I5" s="372">
        <v>5.1513054930816303E-3</v>
      </c>
      <c r="J5" s="372">
        <v>3.9431992244038901E-3</v>
      </c>
      <c r="K5" s="372">
        <v>4.8921432386195302E-3</v>
      </c>
      <c r="L5" s="372">
        <v>4.49474999808697E-3</v>
      </c>
      <c r="M5" s="372">
        <v>4.5713602054786601E-3</v>
      </c>
      <c r="N5" s="372">
        <v>4.7736310234707301E-3</v>
      </c>
      <c r="O5" s="372">
        <v>4.7116521670327299E-3</v>
      </c>
      <c r="P5" s="372">
        <v>4.7849160558435201E-3</v>
      </c>
      <c r="Q5" s="372">
        <v>4.8397699686470999E-3</v>
      </c>
      <c r="R5" s="372">
        <v>4.87081962308911E-3</v>
      </c>
      <c r="S5" s="372">
        <v>5.0352164058453698E-3</v>
      </c>
      <c r="T5" s="372">
        <v>5.0868809585997701E-3</v>
      </c>
      <c r="U5" s="372">
        <v>5.11098141402422E-3</v>
      </c>
      <c r="V5" s="372">
        <v>5.1765286692269097E-3</v>
      </c>
      <c r="W5" s="372">
        <v>5.0990185804744596E-3</v>
      </c>
    </row>
    <row r="6" spans="1:23">
      <c r="A6" s="313" t="s">
        <v>481</v>
      </c>
      <c r="B6" s="369">
        <v>111.28100000000001</v>
      </c>
      <c r="C6" s="369">
        <v>111.205</v>
      </c>
      <c r="D6" s="369">
        <v>110.901</v>
      </c>
      <c r="E6" s="369">
        <v>111.373</v>
      </c>
      <c r="F6" s="369">
        <v>112.102</v>
      </c>
      <c r="G6" s="369">
        <v>113.15</v>
      </c>
      <c r="H6" s="369">
        <v>113.740871678471</v>
      </c>
      <c r="I6" s="369">
        <v>114.281152336175</v>
      </c>
      <c r="J6" s="369">
        <v>114.807363360671</v>
      </c>
      <c r="K6" s="369">
        <v>115.391332330529</v>
      </c>
      <c r="L6" s="369">
        <v>115.906636484177</v>
      </c>
      <c r="M6" s="369">
        <v>116.47813120061301</v>
      </c>
      <c r="N6" s="369">
        <v>117.06948406540501</v>
      </c>
      <c r="O6" s="369">
        <v>117.660979705042</v>
      </c>
      <c r="P6" s="369">
        <v>118.263437866774</v>
      </c>
      <c r="Q6" s="369">
        <v>118.87469011020799</v>
      </c>
      <c r="R6" s="369">
        <v>119.499263080446</v>
      </c>
      <c r="S6" s="369">
        <v>120.12606865428199</v>
      </c>
      <c r="T6" s="369">
        <v>120.750798876066</v>
      </c>
      <c r="U6" s="369">
        <v>121.383984751452</v>
      </c>
      <c r="V6" s="369">
        <v>122.03331038248599</v>
      </c>
      <c r="W6" s="369">
        <v>122.676475823877</v>
      </c>
    </row>
    <row r="7" spans="1:23">
      <c r="A7" s="313" t="s">
        <v>480</v>
      </c>
      <c r="B7" s="372">
        <v>3.24555314142505E-3</v>
      </c>
      <c r="C7" s="372">
        <v>-6.8295576064203401E-4</v>
      </c>
      <c r="D7" s="372">
        <v>-2.7336900319230302E-3</v>
      </c>
      <c r="E7" s="372">
        <v>4.2560481871218902E-3</v>
      </c>
      <c r="F7" s="372">
        <v>6.5455720865918998E-3</v>
      </c>
      <c r="G7" s="372">
        <v>9.3486289272271001E-3</v>
      </c>
      <c r="H7" s="372">
        <v>5.2220210205149399E-3</v>
      </c>
      <c r="I7" s="372">
        <v>4.7501012585042801E-3</v>
      </c>
      <c r="J7" s="372">
        <v>4.6045302636466001E-3</v>
      </c>
      <c r="K7" s="372">
        <v>5.08651146376282E-3</v>
      </c>
      <c r="L7" s="372">
        <v>4.4657093669009402E-3</v>
      </c>
      <c r="M7" s="372">
        <v>4.93064706017576E-3</v>
      </c>
      <c r="N7" s="372">
        <v>5.07694327421948E-3</v>
      </c>
      <c r="O7" s="372">
        <v>5.0525176937379302E-3</v>
      </c>
      <c r="P7" s="372">
        <v>5.1202885038195102E-3</v>
      </c>
      <c r="Q7" s="372">
        <v>5.1685648114068198E-3</v>
      </c>
      <c r="R7" s="372">
        <v>5.2540449919040704E-3</v>
      </c>
      <c r="S7" s="372">
        <v>5.2452672734406604E-3</v>
      </c>
      <c r="T7" s="372">
        <v>5.2006215535225202E-3</v>
      </c>
      <c r="U7" s="372">
        <v>5.2437406731884496E-3</v>
      </c>
      <c r="V7" s="372">
        <v>5.3493517482039498E-3</v>
      </c>
      <c r="W7" s="372">
        <v>5.2704088693051902E-3</v>
      </c>
    </row>
    <row r="8" spans="1:23">
      <c r="A8" s="313" t="s">
        <v>479</v>
      </c>
      <c r="B8" s="369">
        <v>115.81100000000001</v>
      </c>
      <c r="C8" s="369">
        <v>116.688</v>
      </c>
      <c r="D8" s="369">
        <v>115.96899999999999</v>
      </c>
      <c r="E8" s="369">
        <v>116.889</v>
      </c>
      <c r="F8" s="369">
        <v>117.727</v>
      </c>
      <c r="G8" s="369">
        <v>119.875</v>
      </c>
      <c r="H8" s="369">
        <v>120.76873975873001</v>
      </c>
      <c r="I8" s="369">
        <v>121.552279732736</v>
      </c>
      <c r="J8" s="369">
        <v>122.340256590244</v>
      </c>
      <c r="K8" s="369">
        <v>123.25721026709</v>
      </c>
      <c r="L8" s="369">
        <v>124.206114070071</v>
      </c>
      <c r="M8" s="369">
        <v>125.17969366017699</v>
      </c>
      <c r="N8" s="369">
        <v>126.18181722618</v>
      </c>
      <c r="O8" s="369">
        <v>127.184679442917</v>
      </c>
      <c r="P8" s="369">
        <v>128.20678945908199</v>
      </c>
      <c r="Q8" s="369">
        <v>129.23804458913099</v>
      </c>
      <c r="R8" s="369">
        <v>130.283856199566</v>
      </c>
      <c r="S8" s="369">
        <v>131.336805862246</v>
      </c>
      <c r="T8" s="369">
        <v>132.40388083176001</v>
      </c>
      <c r="U8" s="369">
        <v>133.47650409411</v>
      </c>
      <c r="V8" s="369">
        <v>134.564804617167</v>
      </c>
      <c r="W8" s="369">
        <v>135.654176919939</v>
      </c>
    </row>
    <row r="9" spans="1:23">
      <c r="A9" s="313" t="s">
        <v>478</v>
      </c>
      <c r="B9" s="372">
        <v>4.7630615467371103E-3</v>
      </c>
      <c r="C9" s="372">
        <v>7.57268307846393E-3</v>
      </c>
      <c r="D9" s="372">
        <v>-6.1617304264364198E-3</v>
      </c>
      <c r="E9" s="372">
        <v>7.9331545499228308E-3</v>
      </c>
      <c r="F9" s="372">
        <v>7.1691947060887901E-3</v>
      </c>
      <c r="G9" s="372">
        <v>1.8245602113363901E-2</v>
      </c>
      <c r="H9" s="372">
        <v>7.4555975702150796E-3</v>
      </c>
      <c r="I9" s="372">
        <v>6.4879369907486798E-3</v>
      </c>
      <c r="J9" s="372">
        <v>6.4826168562215304E-3</v>
      </c>
      <c r="K9" s="372">
        <v>7.4951099695452798E-3</v>
      </c>
      <c r="L9" s="372">
        <v>7.6985662820430196E-3</v>
      </c>
      <c r="M9" s="372">
        <v>7.8384192066154306E-3</v>
      </c>
      <c r="N9" s="372">
        <v>8.0054802556355203E-3</v>
      </c>
      <c r="O9" s="372">
        <v>7.9477553801552397E-3</v>
      </c>
      <c r="P9" s="372">
        <v>8.0364240460568705E-3</v>
      </c>
      <c r="Q9" s="372">
        <v>8.0436857860606299E-3</v>
      </c>
      <c r="R9" s="372">
        <v>8.0921342764015396E-3</v>
      </c>
      <c r="S9" s="372">
        <v>8.0819657430741803E-3</v>
      </c>
      <c r="T9" s="372">
        <v>8.1247214937825198E-3</v>
      </c>
      <c r="U9" s="372">
        <v>8.1011467006266696E-3</v>
      </c>
      <c r="V9" s="372">
        <v>8.1534988531763997E-3</v>
      </c>
      <c r="W9" s="372">
        <v>8.0955217515532602E-3</v>
      </c>
    </row>
    <row r="10" spans="1:23">
      <c r="A10" s="313" t="s">
        <v>477</v>
      </c>
      <c r="B10" s="369">
        <v>115.65</v>
      </c>
      <c r="C10" s="369">
        <v>116.628</v>
      </c>
      <c r="D10" s="369">
        <v>115.81100000000001</v>
      </c>
      <c r="E10" s="369">
        <v>116.685</v>
      </c>
      <c r="F10" s="369">
        <v>117.64700000000001</v>
      </c>
      <c r="G10" s="369">
        <v>119.90600000000001</v>
      </c>
      <c r="H10" s="369">
        <v>120.799970882254</v>
      </c>
      <c r="I10" s="369">
        <v>121.583713481823</v>
      </c>
      <c r="J10" s="369">
        <v>122.37189411228201</v>
      </c>
      <c r="K10" s="369">
        <v>123.28908491583501</v>
      </c>
      <c r="L10" s="369">
        <v>124.23823410791201</v>
      </c>
      <c r="M10" s="369">
        <v>125.21206546833901</v>
      </c>
      <c r="N10" s="369">
        <v>126.214448186213</v>
      </c>
      <c r="O10" s="369">
        <v>127.217569745839</v>
      </c>
      <c r="P10" s="369">
        <v>128.23994408242501</v>
      </c>
      <c r="Q10" s="369">
        <v>129.27146589784601</v>
      </c>
      <c r="R10" s="369">
        <v>130.31754795799901</v>
      </c>
      <c r="S10" s="369">
        <v>131.37076991631699</v>
      </c>
      <c r="T10" s="369">
        <v>132.43812083431101</v>
      </c>
      <c r="U10" s="369">
        <v>133.51102147994499</v>
      </c>
      <c r="V10" s="369">
        <v>134.599603440468</v>
      </c>
      <c r="W10" s="369">
        <v>135.68925745787101</v>
      </c>
    </row>
    <row r="11" spans="1:23">
      <c r="A11" s="313" t="s">
        <v>476</v>
      </c>
      <c r="B11" s="372">
        <v>5.5909640282765204E-3</v>
      </c>
      <c r="C11" s="372">
        <v>8.4565499351492192E-3</v>
      </c>
      <c r="D11" s="372">
        <v>-7.0051788592789804E-3</v>
      </c>
      <c r="E11" s="372">
        <v>7.5467788033951599E-3</v>
      </c>
      <c r="F11" s="372">
        <v>8.2444187341990105E-3</v>
      </c>
      <c r="G11" s="372">
        <v>1.9201509600754701E-2</v>
      </c>
      <c r="H11" s="372">
        <v>7.4555975702150796E-3</v>
      </c>
      <c r="I11" s="372">
        <v>6.4879369907486798E-3</v>
      </c>
      <c r="J11" s="372">
        <v>6.4826168562215304E-3</v>
      </c>
      <c r="K11" s="372">
        <v>7.4951099695452798E-3</v>
      </c>
      <c r="L11" s="372">
        <v>7.6985662820430196E-3</v>
      </c>
      <c r="M11" s="372">
        <v>7.8384192066154306E-3</v>
      </c>
      <c r="N11" s="372">
        <v>8.0054802556355203E-3</v>
      </c>
      <c r="O11" s="372">
        <v>7.9477553801552397E-3</v>
      </c>
      <c r="P11" s="372">
        <v>8.0364240460568705E-3</v>
      </c>
      <c r="Q11" s="372">
        <v>8.0436857860606299E-3</v>
      </c>
      <c r="R11" s="372">
        <v>8.0921342764015396E-3</v>
      </c>
      <c r="S11" s="372">
        <v>8.0819657430741803E-3</v>
      </c>
      <c r="T11" s="372">
        <v>8.1247214937825198E-3</v>
      </c>
      <c r="U11" s="372">
        <v>8.1011467006266696E-3</v>
      </c>
      <c r="V11" s="372">
        <v>8.1534988531763997E-3</v>
      </c>
      <c r="W11" s="372">
        <v>8.0955217515532602E-3</v>
      </c>
    </row>
    <row r="12" spans="1:23">
      <c r="A12" s="313" t="s">
        <v>475</v>
      </c>
      <c r="B12" s="369">
        <v>116.521</v>
      </c>
      <c r="C12" s="369">
        <v>116.961</v>
      </c>
      <c r="D12" s="369">
        <v>116.655</v>
      </c>
      <c r="E12" s="369">
        <v>117.77500000000001</v>
      </c>
      <c r="F12" s="369">
        <v>118.093</v>
      </c>
      <c r="G12" s="369">
        <v>119.773</v>
      </c>
      <c r="H12" s="369">
        <v>120.66597928777701</v>
      </c>
      <c r="I12" s="369">
        <v>121.448852558323</v>
      </c>
      <c r="J12" s="369">
        <v>122.236158937087</v>
      </c>
      <c r="K12" s="369">
        <v>123.152332390575</v>
      </c>
      <c r="L12" s="369">
        <v>124.100428784272</v>
      </c>
      <c r="M12" s="369">
        <v>125.073179968804</v>
      </c>
      <c r="N12" s="369">
        <v>126.074450841554</v>
      </c>
      <c r="O12" s="369">
        <v>127.07645973653</v>
      </c>
      <c r="P12" s="369">
        <v>128.09770005324401</v>
      </c>
      <c r="Q12" s="369">
        <v>129.12807770238999</v>
      </c>
      <c r="R12" s="369">
        <v>130.172999446011</v>
      </c>
      <c r="S12" s="369">
        <v>131.22505316820701</v>
      </c>
      <c r="T12" s="369">
        <v>132.29122017820501</v>
      </c>
      <c r="U12" s="369">
        <v>133.36293076007399</v>
      </c>
      <c r="V12" s="369">
        <v>134.45030526308199</v>
      </c>
      <c r="W12" s="369">
        <v>135.53875063384299</v>
      </c>
    </row>
    <row r="13" spans="1:23">
      <c r="A13" s="313" t="s">
        <v>474</v>
      </c>
      <c r="B13" s="372">
        <v>1.11692484814108E-3</v>
      </c>
      <c r="C13" s="372">
        <v>3.7761433561331898E-3</v>
      </c>
      <c r="D13" s="372">
        <v>-2.6162567009515602E-3</v>
      </c>
      <c r="E13" s="372">
        <v>9.6009600960096399E-3</v>
      </c>
      <c r="F13" s="372">
        <v>2.7000636807472701E-3</v>
      </c>
      <c r="G13" s="372">
        <v>1.42260760586994E-2</v>
      </c>
      <c r="H13" s="372">
        <v>7.4555975702150796E-3</v>
      </c>
      <c r="I13" s="372">
        <v>6.4879369907486798E-3</v>
      </c>
      <c r="J13" s="372">
        <v>6.4826168562215304E-3</v>
      </c>
      <c r="K13" s="372">
        <v>7.4951099695452798E-3</v>
      </c>
      <c r="L13" s="372">
        <v>7.6985662820430196E-3</v>
      </c>
      <c r="M13" s="372">
        <v>7.8384192066154306E-3</v>
      </c>
      <c r="N13" s="372">
        <v>8.0054802556355203E-3</v>
      </c>
      <c r="O13" s="372">
        <v>7.9477553801552397E-3</v>
      </c>
      <c r="P13" s="372">
        <v>8.0364240460568705E-3</v>
      </c>
      <c r="Q13" s="372">
        <v>8.0436857860606299E-3</v>
      </c>
      <c r="R13" s="372">
        <v>8.0921342764015396E-3</v>
      </c>
      <c r="S13" s="372">
        <v>8.0819657430741803E-3</v>
      </c>
      <c r="T13" s="372">
        <v>8.1247214937825198E-3</v>
      </c>
      <c r="U13" s="372">
        <v>8.1011467006266696E-3</v>
      </c>
      <c r="V13" s="372">
        <v>8.1534988531763997E-3</v>
      </c>
      <c r="W13" s="372">
        <v>8.0955217515532602E-3</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19844-9C74-7249-BB25-29C7E56C5967}">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103"/>
  <sheetViews>
    <sheetView topLeftCell="A5" workbookViewId="0">
      <selection activeCell="M14" sqref="M14"/>
    </sheetView>
  </sheetViews>
  <sheetFormatPr baseColWidth="10" defaultColWidth="8.6640625" defaultRowHeight="15"/>
  <cols>
    <col min="1" max="1" width="15.1640625" style="452" customWidth="1"/>
    <col min="2" max="2" width="28.33203125" style="452" customWidth="1"/>
    <col min="3" max="3" width="25.1640625" style="452" customWidth="1"/>
    <col min="4" max="4" width="11.1640625" style="452" customWidth="1"/>
    <col min="5" max="5" width="15.1640625" style="452" customWidth="1"/>
    <col min="6" max="6" width="12.5" style="452" customWidth="1"/>
    <col min="7" max="7" width="11.83203125" style="452" bestFit="1" customWidth="1"/>
    <col min="8" max="16384" width="8.6640625" style="452"/>
  </cols>
  <sheetData>
    <row r="1" spans="1:11" s="618" customFormat="1">
      <c r="A1" s="618" t="s">
        <v>620</v>
      </c>
      <c r="B1" s="618" t="s">
        <v>621</v>
      </c>
      <c r="C1" s="618" t="s">
        <v>622</v>
      </c>
      <c r="D1" s="618" t="s">
        <v>623</v>
      </c>
      <c r="E1" s="618" t="s">
        <v>624</v>
      </c>
      <c r="F1" s="618" t="s">
        <v>625</v>
      </c>
    </row>
    <row r="2" spans="1:11">
      <c r="C2" s="453" t="str">
        <f>'Haver Pivoted'!A1</f>
        <v>name</v>
      </c>
      <c r="D2" s="55">
        <v>44286</v>
      </c>
      <c r="E2" s="55">
        <v>44286</v>
      </c>
      <c r="F2" s="55"/>
      <c r="H2" s="619"/>
    </row>
    <row r="3" spans="1:11">
      <c r="C3" s="581" t="str">
        <f>'Haver Pivoted'!A2</f>
        <v>gdp</v>
      </c>
      <c r="D3" s="452">
        <v>22061</v>
      </c>
      <c r="E3" s="452">
        <f>'Haver Pivoted'!GX2</f>
        <v>22061.5</v>
      </c>
      <c r="F3" s="452">
        <f>E3-D3</f>
        <v>0.5</v>
      </c>
      <c r="G3" s="1077">
        <f>F3/D3</f>
        <v>2.2664430442862972E-5</v>
      </c>
      <c r="H3" s="620"/>
    </row>
    <row r="4" spans="1:11">
      <c r="C4" s="581" t="str">
        <f>'Haver Pivoted'!A3</f>
        <v>gdph</v>
      </c>
      <c r="D4" s="452">
        <v>19088.099999999999</v>
      </c>
      <c r="E4" s="452">
        <f>'Haver Pivoted'!GX3</f>
        <v>19086.400000000001</v>
      </c>
      <c r="F4" s="452">
        <f t="shared" ref="F4:F67" si="0">E4-D4</f>
        <v>-1.6999999999970896</v>
      </c>
      <c r="G4" s="1077">
        <f t="shared" ref="G4:G67" si="1">F4/D4</f>
        <v>-8.9060723696810559E-5</v>
      </c>
      <c r="H4" s="620"/>
    </row>
    <row r="5" spans="1:11">
      <c r="C5" s="581" t="str">
        <f>'Haver Pivoted'!A4</f>
        <v>jgdp</v>
      </c>
      <c r="D5" s="452">
        <v>115.613</v>
      </c>
      <c r="E5" s="452">
        <f>'Haver Pivoted'!GX4</f>
        <v>115.63</v>
      </c>
      <c r="F5" s="452">
        <f t="shared" si="0"/>
        <v>1.6999999999995907E-2</v>
      </c>
      <c r="G5" s="1077">
        <f t="shared" si="1"/>
        <v>1.470422876319783E-4</v>
      </c>
      <c r="H5" s="621"/>
    </row>
    <row r="6" spans="1:11">
      <c r="C6" s="581" t="str">
        <f>'Haver Pivoted'!A5</f>
        <v>c</v>
      </c>
      <c r="D6" s="452">
        <v>15069.2</v>
      </c>
      <c r="E6" s="452">
        <f>'Haver Pivoted'!GX5</f>
        <v>15070.1</v>
      </c>
      <c r="F6" s="452">
        <f t="shared" si="0"/>
        <v>0.8999999999996362</v>
      </c>
      <c r="G6" s="1077">
        <f t="shared" si="1"/>
        <v>5.9724471106603943E-5</v>
      </c>
    </row>
    <row r="7" spans="1:11">
      <c r="C7" s="581" t="str">
        <f>'Haver Pivoted'!A6</f>
        <v>ch</v>
      </c>
      <c r="D7" s="452">
        <v>13352.2</v>
      </c>
      <c r="E7" s="452">
        <f>'Haver Pivoted'!GX6</f>
        <v>13353.3</v>
      </c>
      <c r="F7" s="452">
        <f t="shared" si="0"/>
        <v>1.0999999999985448</v>
      </c>
      <c r="G7" s="1077">
        <f t="shared" si="1"/>
        <v>8.238342745004903E-5</v>
      </c>
      <c r="K7" s="605"/>
    </row>
    <row r="8" spans="1:11">
      <c r="C8" s="581" t="str">
        <f>'Haver Pivoted'!A7</f>
        <v>jc</v>
      </c>
      <c r="D8" s="452">
        <v>112.864</v>
      </c>
      <c r="E8" s="452">
        <f>'Haver Pivoted'!GX7</f>
        <v>112.861</v>
      </c>
      <c r="F8" s="452">
        <f t="shared" si="0"/>
        <v>-3.0000000000001137E-3</v>
      </c>
      <c r="G8" s="1077">
        <f t="shared" si="1"/>
        <v>-2.6580663453360802E-5</v>
      </c>
    </row>
    <row r="9" spans="1:11">
      <c r="C9" s="581" t="str">
        <f>'Haver Pivoted'!A8</f>
        <v>jgf</v>
      </c>
      <c r="D9" s="452">
        <v>113.15</v>
      </c>
      <c r="E9" s="452">
        <f>'Haver Pivoted'!GX8</f>
        <v>113.16500000000001</v>
      </c>
      <c r="F9" s="452">
        <f t="shared" si="0"/>
        <v>1.5000000000000568E-2</v>
      </c>
      <c r="G9" s="1077">
        <f t="shared" si="1"/>
        <v>1.325673884224531E-4</v>
      </c>
    </row>
    <row r="10" spans="1:11">
      <c r="C10" s="581" t="str">
        <f>'Haver Pivoted'!A9</f>
        <v>jgs</v>
      </c>
      <c r="D10" s="452">
        <v>119.875</v>
      </c>
      <c r="E10" s="452">
        <f>'Haver Pivoted'!GX9</f>
        <v>119.88500000000001</v>
      </c>
      <c r="F10" s="452">
        <f t="shared" si="0"/>
        <v>1.0000000000005116E-2</v>
      </c>
      <c r="G10" s="1077">
        <f t="shared" si="1"/>
        <v>8.3420229405673546E-5</v>
      </c>
    </row>
    <row r="11" spans="1:11">
      <c r="C11" s="581" t="str">
        <f>'Haver Pivoted'!A10</f>
        <v>jgse</v>
      </c>
      <c r="D11" s="452">
        <v>119.90600000000001</v>
      </c>
      <c r="E11" s="452">
        <f>'Haver Pivoted'!GX10</f>
        <v>119.911</v>
      </c>
      <c r="F11" s="452">
        <f t="shared" si="0"/>
        <v>4.9999999999954525E-3</v>
      </c>
      <c r="G11" s="1077">
        <f t="shared" si="1"/>
        <v>4.1699331142690541E-5</v>
      </c>
    </row>
    <row r="12" spans="1:11">
      <c r="C12" s="581" t="str">
        <f>'Haver Pivoted'!A11</f>
        <v>jgsi</v>
      </c>
      <c r="D12" s="452">
        <v>119.773</v>
      </c>
      <c r="E12" s="452">
        <f>'Haver Pivoted'!GX11</f>
        <v>119.809</v>
      </c>
      <c r="F12" s="452">
        <f t="shared" si="0"/>
        <v>3.6000000000001364E-2</v>
      </c>
      <c r="G12" s="1077">
        <f t="shared" si="1"/>
        <v>3.005685755554371E-4</v>
      </c>
      <c r="I12" s="618"/>
    </row>
    <row r="13" spans="1:11" s="618" customFormat="1">
      <c r="A13" s="452" t="s">
        <v>406</v>
      </c>
      <c r="B13" s="452" t="s">
        <v>406</v>
      </c>
      <c r="C13" s="581" t="str">
        <f>'Haver Pivoted'!A12</f>
        <v>yptmr</v>
      </c>
      <c r="D13" s="452">
        <v>880.1</v>
      </c>
      <c r="E13" s="452">
        <f>'Haver Pivoted'!GX12</f>
        <v>880.1</v>
      </c>
      <c r="F13" s="452">
        <f t="shared" si="0"/>
        <v>0</v>
      </c>
      <c r="G13" s="1077">
        <f t="shared" si="1"/>
        <v>0</v>
      </c>
      <c r="I13" s="986"/>
    </row>
    <row r="14" spans="1:11" s="618" customFormat="1">
      <c r="A14" s="452" t="s">
        <v>143</v>
      </c>
      <c r="B14" s="452" t="s">
        <v>440</v>
      </c>
      <c r="C14" s="581" t="str">
        <f>'Haver Pivoted'!A13</f>
        <v>yptmd</v>
      </c>
      <c r="D14" s="452">
        <v>694.4</v>
      </c>
      <c r="E14" s="452">
        <f>'Haver Pivoted'!GX13</f>
        <v>700.1</v>
      </c>
      <c r="F14" s="452">
        <f t="shared" si="0"/>
        <v>5.7000000000000455</v>
      </c>
      <c r="G14" s="1077">
        <f t="shared" si="1"/>
        <v>8.2085253456221849E-3</v>
      </c>
      <c r="I14" s="978"/>
    </row>
    <row r="15" spans="1:11" s="618" customFormat="1">
      <c r="A15" s="452" t="s">
        <v>640</v>
      </c>
      <c r="B15" s="452" t="s">
        <v>279</v>
      </c>
      <c r="C15" s="581" t="str">
        <f>'Haver Pivoted'!A14</f>
        <v>yptu</v>
      </c>
      <c r="D15" s="452">
        <v>544.29999999999995</v>
      </c>
      <c r="E15" s="452">
        <f>'Haver Pivoted'!GX14</f>
        <v>544.29999999999995</v>
      </c>
      <c r="F15" s="452">
        <f t="shared" si="0"/>
        <v>0</v>
      </c>
      <c r="G15" s="1077">
        <f t="shared" si="1"/>
        <v>0</v>
      </c>
      <c r="I15" s="452"/>
      <c r="J15" s="452"/>
      <c r="K15" s="452"/>
    </row>
    <row r="16" spans="1:11">
      <c r="C16" s="581" t="str">
        <f>'Haver Pivoted'!A15</f>
        <v>gtfp</v>
      </c>
      <c r="D16" s="452">
        <v>6003.5</v>
      </c>
      <c r="E16" s="452">
        <f>'Haver Pivoted'!GX15</f>
        <v>6010</v>
      </c>
      <c r="F16" s="452">
        <f t="shared" si="0"/>
        <v>6.5</v>
      </c>
      <c r="G16" s="1077">
        <f t="shared" si="1"/>
        <v>1.0827017573082369E-3</v>
      </c>
    </row>
    <row r="17" spans="1:11">
      <c r="C17" s="581" t="str">
        <f>'Haver Pivoted'!A16</f>
        <v>ypog</v>
      </c>
      <c r="D17" s="452">
        <v>114.3</v>
      </c>
      <c r="E17" s="452">
        <f>'Haver Pivoted'!GX16</f>
        <v>114.4</v>
      </c>
      <c r="F17" s="452">
        <f t="shared" si="0"/>
        <v>0.10000000000000853</v>
      </c>
      <c r="G17" s="1077">
        <f t="shared" si="1"/>
        <v>8.7489063867024085E-4</v>
      </c>
    </row>
    <row r="18" spans="1:11">
      <c r="C18" s="581" t="str">
        <f>'Haver Pivoted'!A17</f>
        <v>yptx</v>
      </c>
      <c r="D18" s="452">
        <v>2312.6999999999998</v>
      </c>
      <c r="E18" s="452">
        <f>'Haver Pivoted'!GX17</f>
        <v>2314.1</v>
      </c>
      <c r="F18" s="452">
        <f t="shared" si="0"/>
        <v>1.4000000000000909</v>
      </c>
      <c r="G18" s="1077">
        <f t="shared" si="1"/>
        <v>6.0535305054701914E-4</v>
      </c>
    </row>
    <row r="19" spans="1:11">
      <c r="C19" s="581" t="str">
        <f>'Haver Pivoted'!A18</f>
        <v>ytpi</v>
      </c>
      <c r="D19" s="452">
        <v>1546</v>
      </c>
      <c r="E19" s="452">
        <f>'Haver Pivoted'!GX18</f>
        <v>1532.1</v>
      </c>
      <c r="F19" s="452">
        <f t="shared" si="0"/>
        <v>-13.900000000000091</v>
      </c>
      <c r="G19" s="1077">
        <f t="shared" si="1"/>
        <v>-8.9909443725744442E-3</v>
      </c>
    </row>
    <row r="20" spans="1:11">
      <c r="C20" s="581" t="str">
        <f>'Haver Pivoted'!A19</f>
        <v>yctlg</v>
      </c>
      <c r="D20" s="452">
        <v>347.5</v>
      </c>
      <c r="E20" s="452">
        <f>'Haver Pivoted'!GX19</f>
        <v>355.4</v>
      </c>
      <c r="F20" s="452">
        <f t="shared" si="0"/>
        <v>7.8999999999999773</v>
      </c>
      <c r="G20" s="1077">
        <f t="shared" si="1"/>
        <v>2.2733812949640223E-2</v>
      </c>
      <c r="I20" s="618"/>
      <c r="J20" s="618"/>
    </row>
    <row r="21" spans="1:11">
      <c r="C21" s="581" t="str">
        <f>'Haver Pivoted'!A20</f>
        <v>g</v>
      </c>
      <c r="D21" s="452">
        <v>3946.5</v>
      </c>
      <c r="E21" s="452">
        <f>'Haver Pivoted'!GX20</f>
        <v>3946.7</v>
      </c>
      <c r="F21" s="452">
        <f t="shared" si="0"/>
        <v>0.1999999999998181</v>
      </c>
      <c r="G21" s="1077">
        <f t="shared" si="1"/>
        <v>5.0677815786093527E-5</v>
      </c>
      <c r="I21" s="618"/>
      <c r="J21" s="618"/>
    </row>
    <row r="22" spans="1:11">
      <c r="C22" s="581" t="str">
        <f>'Haver Pivoted'!A21</f>
        <v>grcsi</v>
      </c>
      <c r="D22" s="452">
        <v>1528.1</v>
      </c>
      <c r="E22" s="452">
        <f>'Haver Pivoted'!GX21</f>
        <v>1528.4</v>
      </c>
      <c r="F22" s="452">
        <f t="shared" si="0"/>
        <v>0.3000000000001819</v>
      </c>
      <c r="G22" s="1077">
        <f t="shared" si="1"/>
        <v>1.9632223022065436E-4</v>
      </c>
    </row>
    <row r="23" spans="1:11">
      <c r="C23" s="581" t="str">
        <f>'Haver Pivoted'!A22</f>
        <v>dc</v>
      </c>
      <c r="D23" s="452">
        <v>112.86</v>
      </c>
      <c r="E23" s="452">
        <f>'Haver Pivoted'!GX22</f>
        <v>112.857</v>
      </c>
      <c r="F23" s="452">
        <f t="shared" si="0"/>
        <v>-3.0000000000001137E-3</v>
      </c>
      <c r="G23" s="1077">
        <f t="shared" si="1"/>
        <v>-2.6581605528974959E-5</v>
      </c>
      <c r="K23" s="618"/>
    </row>
    <row r="24" spans="1:11" s="618" customFormat="1">
      <c r="A24" s="452" t="s">
        <v>403</v>
      </c>
      <c r="B24" s="452" t="s">
        <v>294</v>
      </c>
      <c r="C24" s="581" t="str">
        <f>'Haver Pivoted'!A23</f>
        <v>gf</v>
      </c>
      <c r="D24" s="452">
        <v>1557.2</v>
      </c>
      <c r="E24" s="452">
        <f>'Haver Pivoted'!GX23</f>
        <v>1557.1</v>
      </c>
      <c r="F24" s="452">
        <f t="shared" si="0"/>
        <v>-0.10000000000013642</v>
      </c>
      <c r="G24" s="1077">
        <f t="shared" si="1"/>
        <v>-6.4217826868826364E-5</v>
      </c>
      <c r="I24" s="452"/>
      <c r="J24" s="452"/>
    </row>
    <row r="25" spans="1:11" s="618" customFormat="1">
      <c r="A25" s="452" t="s">
        <v>403</v>
      </c>
      <c r="B25" s="452" t="s">
        <v>293</v>
      </c>
      <c r="C25" s="581" t="str">
        <f>'Haver Pivoted'!A24</f>
        <v>gs</v>
      </c>
      <c r="D25" s="452">
        <v>2389.4</v>
      </c>
      <c r="E25" s="452">
        <f>'Haver Pivoted'!GX24</f>
        <v>2389.6</v>
      </c>
      <c r="F25" s="452">
        <f t="shared" si="0"/>
        <v>0.1999999999998181</v>
      </c>
      <c r="G25" s="1077">
        <f t="shared" si="1"/>
        <v>8.3703021679006485E-5</v>
      </c>
      <c r="I25" s="452"/>
      <c r="J25" s="452"/>
      <c r="K25" s="452"/>
    </row>
    <row r="26" spans="1:11">
      <c r="C26" s="581" t="str">
        <f>'Haver Pivoted'!A25</f>
        <v>gfh</v>
      </c>
      <c r="D26" s="452">
        <v>1376.2</v>
      </c>
      <c r="E26" s="452">
        <f>'Haver Pivoted'!GX25</f>
        <v>1375.9</v>
      </c>
      <c r="F26" s="452">
        <f t="shared" si="0"/>
        <v>-0.29999999999995453</v>
      </c>
      <c r="G26" s="1077">
        <f t="shared" si="1"/>
        <v>-2.1799157099255525E-4</v>
      </c>
    </row>
    <row r="27" spans="1:11">
      <c r="C27" s="581" t="str">
        <f>'Haver Pivoted'!A26</f>
        <v>gsh</v>
      </c>
      <c r="D27" s="452">
        <v>1993.3</v>
      </c>
      <c r="E27" s="452">
        <f>'Haver Pivoted'!GX26</f>
        <v>1993.3</v>
      </c>
      <c r="F27" s="452">
        <f t="shared" si="0"/>
        <v>0</v>
      </c>
      <c r="G27" s="1077">
        <f t="shared" si="1"/>
        <v>0</v>
      </c>
    </row>
    <row r="28" spans="1:11">
      <c r="A28" s="452" t="s">
        <v>626</v>
      </c>
      <c r="B28" s="452" t="s">
        <v>627</v>
      </c>
      <c r="C28" s="581" t="str">
        <f>'Haver Pivoted'!A27</f>
        <v>gfrpt</v>
      </c>
      <c r="D28" s="452">
        <v>1757.8</v>
      </c>
      <c r="E28" s="452">
        <f>'Haver Pivoted'!GX27</f>
        <v>1758.2</v>
      </c>
      <c r="F28" s="452">
        <f t="shared" si="0"/>
        <v>0.40000000000009095</v>
      </c>
      <c r="G28" s="1077">
        <f t="shared" si="1"/>
        <v>2.275571737399539E-4</v>
      </c>
      <c r="I28" s="618"/>
      <c r="J28" s="618"/>
    </row>
    <row r="29" spans="1:11">
      <c r="A29" s="452" t="s">
        <v>626</v>
      </c>
      <c r="B29" s="452" t="s">
        <v>628</v>
      </c>
      <c r="C29" s="581" t="str">
        <f>'Haver Pivoted'!A28</f>
        <v>gfrpri</v>
      </c>
      <c r="D29" s="452">
        <v>159.80000000000001</v>
      </c>
      <c r="E29" s="452">
        <f>'Haver Pivoted'!GX28</f>
        <v>159.9</v>
      </c>
      <c r="F29" s="452">
        <f t="shared" si="0"/>
        <v>9.9999999999994316E-2</v>
      </c>
      <c r="G29" s="1077">
        <f t="shared" si="1"/>
        <v>6.2578222778469526E-4</v>
      </c>
      <c r="I29" s="618"/>
      <c r="J29" s="618"/>
    </row>
    <row r="30" spans="1:11">
      <c r="A30" s="452" t="s">
        <v>626</v>
      </c>
      <c r="B30" s="452" t="s">
        <v>629</v>
      </c>
      <c r="C30" s="581" t="str">
        <f>'Haver Pivoted'!A29</f>
        <v>gfrcp</v>
      </c>
      <c r="D30" s="452">
        <v>250.9</v>
      </c>
      <c r="E30" s="452">
        <f>'Haver Pivoted'!GX29</f>
        <v>254.1</v>
      </c>
      <c r="F30" s="452">
        <f t="shared" si="0"/>
        <v>3.1999999999999886</v>
      </c>
      <c r="G30" s="1077">
        <f t="shared" si="1"/>
        <v>1.275408529294535E-2</v>
      </c>
    </row>
    <row r="31" spans="1:11">
      <c r="A31" s="452" t="s">
        <v>626</v>
      </c>
      <c r="B31" s="452" t="s">
        <v>630</v>
      </c>
      <c r="C31" s="581" t="str">
        <f>'Haver Pivoted'!A30</f>
        <v>gfrs</v>
      </c>
      <c r="D31" s="452">
        <v>1504.1</v>
      </c>
      <c r="E31" s="452">
        <f>'Haver Pivoted'!GX30</f>
        <v>1504.4</v>
      </c>
      <c r="F31" s="452">
        <f t="shared" si="0"/>
        <v>0.3000000000001819</v>
      </c>
      <c r="G31" s="1077">
        <f t="shared" si="1"/>
        <v>1.9945482348260215E-4</v>
      </c>
      <c r="K31" s="618"/>
    </row>
    <row r="32" spans="1:11" s="618" customFormat="1">
      <c r="A32" s="452" t="s">
        <v>631</v>
      </c>
      <c r="B32" s="452" t="s">
        <v>632</v>
      </c>
      <c r="C32" s="581" t="str">
        <f>'Haver Pivoted'!A31</f>
        <v>gftfp</v>
      </c>
      <c r="D32" s="452">
        <v>5163.2</v>
      </c>
      <c r="E32" s="452">
        <f>'Haver Pivoted'!GX31</f>
        <v>5164</v>
      </c>
      <c r="F32" s="452">
        <f t="shared" si="0"/>
        <v>0.8000000000001819</v>
      </c>
      <c r="G32" s="1077">
        <f t="shared" si="1"/>
        <v>1.5494267121168693E-4</v>
      </c>
      <c r="I32" s="452"/>
      <c r="J32" s="452"/>
    </row>
    <row r="33" spans="1:11" s="618" customFormat="1">
      <c r="A33" s="452" t="s">
        <v>103</v>
      </c>
      <c r="B33" s="622" t="s">
        <v>633</v>
      </c>
      <c r="C33" s="581" t="str">
        <f>'Haver Pivoted'!A32</f>
        <v>gfeg</v>
      </c>
      <c r="D33" s="452">
        <v>785.6</v>
      </c>
      <c r="E33" s="452">
        <f>'Haver Pivoted'!GX32</f>
        <v>786.5</v>
      </c>
      <c r="F33" s="452">
        <f t="shared" si="0"/>
        <v>0.89999999999997726</v>
      </c>
      <c r="G33" s="1077">
        <f t="shared" si="1"/>
        <v>1.1456211812627E-3</v>
      </c>
      <c r="I33" s="452"/>
      <c r="J33" s="452"/>
      <c r="K33" s="452"/>
    </row>
    <row r="34" spans="1:11">
      <c r="A34" s="452" t="s">
        <v>626</v>
      </c>
      <c r="B34" s="452" t="s">
        <v>634</v>
      </c>
      <c r="C34" s="581" t="str">
        <f>'Haver Pivoted'!A33</f>
        <v>gsrpt</v>
      </c>
      <c r="D34" s="452">
        <v>555</v>
      </c>
      <c r="E34" s="452">
        <f>'Haver Pivoted'!GX33</f>
        <v>555.9</v>
      </c>
      <c r="F34" s="452">
        <f t="shared" si="0"/>
        <v>0.89999999999997726</v>
      </c>
      <c r="G34" s="1077">
        <f t="shared" si="1"/>
        <v>1.6216216216215806E-3</v>
      </c>
      <c r="I34" s="618"/>
      <c r="J34" s="618"/>
    </row>
    <row r="35" spans="1:11">
      <c r="A35" s="452" t="s">
        <v>626</v>
      </c>
      <c r="B35" s="452" t="s">
        <v>635</v>
      </c>
      <c r="C35" s="581" t="str">
        <f>'Haver Pivoted'!A34</f>
        <v>gsrpri</v>
      </c>
      <c r="D35" s="452">
        <v>1386.2</v>
      </c>
      <c r="E35" s="452">
        <f>'Haver Pivoted'!GX34</f>
        <v>1372.1</v>
      </c>
      <c r="F35" s="452">
        <f t="shared" si="0"/>
        <v>-14.100000000000136</v>
      </c>
      <c r="G35" s="1077">
        <f t="shared" si="1"/>
        <v>-1.0171692396479682E-2</v>
      </c>
    </row>
    <row r="36" spans="1:11">
      <c r="A36" s="452" t="s">
        <v>626</v>
      </c>
      <c r="B36" s="452" t="s">
        <v>636</v>
      </c>
      <c r="C36" s="581" t="str">
        <f>'Haver Pivoted'!A35</f>
        <v>gsrcp</v>
      </c>
      <c r="D36" s="452">
        <v>96.6</v>
      </c>
      <c r="E36" s="452">
        <f>'Haver Pivoted'!GX35</f>
        <v>101.2</v>
      </c>
      <c r="F36" s="452">
        <f t="shared" si="0"/>
        <v>4.6000000000000085</v>
      </c>
      <c r="G36" s="1077">
        <f t="shared" si="1"/>
        <v>4.7619047619047714E-2</v>
      </c>
    </row>
    <row r="37" spans="1:11">
      <c r="A37" s="452" t="s">
        <v>626</v>
      </c>
      <c r="B37" s="452" t="s">
        <v>637</v>
      </c>
      <c r="C37" s="581" t="str">
        <f>'Haver Pivoted'!A36</f>
        <v>gsrs</v>
      </c>
      <c r="D37" s="452">
        <v>23.9</v>
      </c>
      <c r="E37" s="452">
        <f>'Haver Pivoted'!GX36</f>
        <v>23.9</v>
      </c>
      <c r="F37" s="452">
        <f t="shared" si="0"/>
        <v>0</v>
      </c>
      <c r="G37" s="1077">
        <f t="shared" si="1"/>
        <v>0</v>
      </c>
      <c r="I37" s="618"/>
      <c r="J37" s="618"/>
      <c r="K37" s="618"/>
    </row>
    <row r="38" spans="1:11" s="618" customFormat="1">
      <c r="A38" s="452" t="s">
        <v>638</v>
      </c>
      <c r="B38" s="452" t="s">
        <v>7</v>
      </c>
      <c r="C38" s="581" t="str">
        <f>'Haver Pivoted'!A37</f>
        <v>gstfp</v>
      </c>
      <c r="D38" s="452">
        <v>840.3</v>
      </c>
      <c r="E38" s="452">
        <f>'Haver Pivoted'!GX37</f>
        <v>846</v>
      </c>
      <c r="F38" s="452">
        <f t="shared" si="0"/>
        <v>5.7000000000000455</v>
      </c>
      <c r="G38" s="1077">
        <f t="shared" si="1"/>
        <v>6.7832916815423611E-3</v>
      </c>
      <c r="K38" s="452"/>
    </row>
    <row r="39" spans="1:11">
      <c r="C39" s="581" t="str">
        <f>'Haver Pivoted'!A38</f>
        <v>gset</v>
      </c>
      <c r="D39" s="452">
        <v>3219.3</v>
      </c>
      <c r="E39" s="452">
        <f>'Haver Pivoted'!GX38</f>
        <v>3225.2</v>
      </c>
      <c r="F39" s="452">
        <f t="shared" si="0"/>
        <v>5.8999999999996362</v>
      </c>
      <c r="G39" s="1077">
        <f t="shared" si="1"/>
        <v>1.8326965489390973E-3</v>
      </c>
      <c r="I39" s="978"/>
    </row>
    <row r="40" spans="1:11">
      <c r="C40" s="581" t="str">
        <f>'Haver Pivoted'!A39</f>
        <v>gfeghhx</v>
      </c>
      <c r="D40" s="452">
        <v>561.51099999999997</v>
      </c>
      <c r="E40" s="452">
        <f>'Haver Pivoted'!GX39</f>
        <v>562.10400000000004</v>
      </c>
      <c r="F40" s="452">
        <f t="shared" si="0"/>
        <v>0.59300000000007458</v>
      </c>
      <c r="G40" s="1077">
        <f t="shared" si="1"/>
        <v>1.0560790438657027E-3</v>
      </c>
      <c r="K40" s="618"/>
    </row>
    <row r="41" spans="1:11" s="618" customFormat="1">
      <c r="A41" s="452" t="s">
        <v>639</v>
      </c>
      <c r="B41" s="623" t="s">
        <v>188</v>
      </c>
      <c r="C41" s="581" t="str">
        <f>'Haver Pivoted'!A40</f>
        <v>gfeghdx</v>
      </c>
      <c r="D41" s="452">
        <v>523.16300000000001</v>
      </c>
      <c r="E41" s="452">
        <f>'Haver Pivoted'!GX40</f>
        <v>523.16300000000001</v>
      </c>
      <c r="F41" s="452">
        <f t="shared" si="0"/>
        <v>0</v>
      </c>
      <c r="G41" s="1077">
        <f t="shared" si="1"/>
        <v>0</v>
      </c>
      <c r="I41" s="452"/>
      <c r="J41" s="452"/>
    </row>
    <row r="42" spans="1:11" s="618" customFormat="1">
      <c r="A42" s="452" t="s">
        <v>103</v>
      </c>
      <c r="B42" s="452" t="s">
        <v>6</v>
      </c>
      <c r="C42" s="581" t="str">
        <f>'Haver Pivoted'!A41</f>
        <v>gfeigx</v>
      </c>
      <c r="D42" s="452">
        <v>72.012</v>
      </c>
      <c r="E42" s="452">
        <f>'Haver Pivoted'!GX41</f>
        <v>72.012</v>
      </c>
      <c r="F42" s="452">
        <f t="shared" si="0"/>
        <v>0</v>
      </c>
      <c r="G42" s="1077">
        <f t="shared" si="1"/>
        <v>0</v>
      </c>
      <c r="K42" s="452"/>
    </row>
    <row r="43" spans="1:11">
      <c r="C43" s="581" t="str">
        <f>'Haver Pivoted'!A42</f>
        <v>gfsub</v>
      </c>
      <c r="D43" s="452">
        <v>402.7</v>
      </c>
      <c r="E43" s="452">
        <f>'Haver Pivoted'!GX42</f>
        <v>402.7</v>
      </c>
      <c r="F43" s="452">
        <f t="shared" si="0"/>
        <v>0</v>
      </c>
      <c r="G43" s="1077">
        <f t="shared" si="1"/>
        <v>0</v>
      </c>
      <c r="H43" s="455"/>
      <c r="I43" s="983"/>
      <c r="J43" s="603"/>
    </row>
    <row r="44" spans="1:11">
      <c r="C44" s="581" t="str">
        <f>'Haver Pivoted'!A43</f>
        <v>gssub</v>
      </c>
      <c r="D44" s="452">
        <v>2.5</v>
      </c>
      <c r="E44" s="452">
        <f>'Haver Pivoted'!GX43</f>
        <v>2.5</v>
      </c>
      <c r="F44" s="452">
        <f t="shared" si="0"/>
        <v>0</v>
      </c>
      <c r="G44" s="1077">
        <f t="shared" si="1"/>
        <v>0</v>
      </c>
      <c r="I44" s="624"/>
      <c r="J44" s="603"/>
    </row>
    <row r="45" spans="1:11">
      <c r="C45" s="581" t="str">
        <f>'Haver Pivoted'!A44</f>
        <v>gsub</v>
      </c>
      <c r="D45" s="452">
        <v>405.3</v>
      </c>
      <c r="E45" s="452">
        <f>'Haver Pivoted'!GX44</f>
        <v>405.3</v>
      </c>
      <c r="F45" s="452">
        <f t="shared" si="0"/>
        <v>0</v>
      </c>
      <c r="G45" s="1077">
        <f t="shared" si="1"/>
        <v>0</v>
      </c>
      <c r="H45" s="618"/>
      <c r="I45" s="625"/>
      <c r="J45" s="605"/>
      <c r="K45" s="618"/>
    </row>
    <row r="46" spans="1:11" s="618" customFormat="1">
      <c r="A46" s="452" t="s">
        <v>133</v>
      </c>
      <c r="B46" s="452" t="s">
        <v>133</v>
      </c>
      <c r="C46" s="581" t="str">
        <f>'Haver Pivoted'!A45</f>
        <v>gftfpe</v>
      </c>
      <c r="D46" s="452">
        <v>1933.7</v>
      </c>
      <c r="E46" s="452">
        <f>'Haver Pivoted'!GX45</f>
        <v>1933.7</v>
      </c>
      <c r="F46" s="452">
        <f t="shared" si="0"/>
        <v>0</v>
      </c>
      <c r="G46" s="1077">
        <f t="shared" si="1"/>
        <v>0</v>
      </c>
      <c r="H46" s="452"/>
      <c r="I46" s="625"/>
      <c r="J46" s="626"/>
      <c r="K46" s="452"/>
    </row>
    <row r="47" spans="1:11">
      <c r="C47" s="581" t="str">
        <f>'Haver Pivoted'!A46</f>
        <v>gftfpr</v>
      </c>
      <c r="D47" s="452">
        <v>15.5</v>
      </c>
      <c r="E47" s="452">
        <f>'Haver Pivoted'!GX46</f>
        <v>15.5</v>
      </c>
      <c r="F47" s="452">
        <f t="shared" si="0"/>
        <v>0</v>
      </c>
      <c r="G47" s="1077">
        <f t="shared" si="1"/>
        <v>0</v>
      </c>
      <c r="I47" s="625"/>
      <c r="J47" s="626"/>
    </row>
    <row r="48" spans="1:11">
      <c r="A48" s="452" t="s">
        <v>508</v>
      </c>
      <c r="B48" s="961" t="s">
        <v>647</v>
      </c>
      <c r="C48" s="581" t="str">
        <f>'Haver Pivoted'!A47</f>
        <v>gftfpp</v>
      </c>
      <c r="D48" s="452">
        <v>10.8</v>
      </c>
      <c r="E48" s="452">
        <f>'Haver Pivoted'!GX47</f>
        <v>10.8</v>
      </c>
      <c r="F48" s="452">
        <f t="shared" si="0"/>
        <v>0</v>
      </c>
      <c r="G48" s="1077">
        <f t="shared" si="1"/>
        <v>0</v>
      </c>
      <c r="I48" s="618"/>
      <c r="J48" s="626"/>
    </row>
    <row r="49" spans="1:11">
      <c r="A49" s="623" t="s">
        <v>411</v>
      </c>
      <c r="B49" s="701" t="s">
        <v>764</v>
      </c>
      <c r="C49" s="581" t="str">
        <f>'Haver Pivoted'!A48</f>
        <v>gftfpv</v>
      </c>
      <c r="D49" s="452">
        <v>43</v>
      </c>
      <c r="E49" s="452">
        <f>'Haver Pivoted'!GX48</f>
        <v>43</v>
      </c>
      <c r="F49" s="452">
        <f t="shared" si="0"/>
        <v>0</v>
      </c>
      <c r="G49" s="1077">
        <f t="shared" si="1"/>
        <v>0</v>
      </c>
      <c r="H49" s="967"/>
      <c r="I49" s="967"/>
      <c r="J49" s="618"/>
      <c r="K49" s="618"/>
    </row>
    <row r="50" spans="1:11" s="618" customFormat="1">
      <c r="A50" s="623" t="s">
        <v>767</v>
      </c>
      <c r="B50" s="936" t="s">
        <v>436</v>
      </c>
      <c r="C50" s="581" t="str">
        <f>'Haver Pivoted'!A49</f>
        <v>gfsubp</v>
      </c>
      <c r="D50" s="452">
        <v>184.6</v>
      </c>
      <c r="E50" s="452">
        <f>'Haver Pivoted'!GX49</f>
        <v>184.6</v>
      </c>
      <c r="F50" s="452">
        <f t="shared" si="0"/>
        <v>0</v>
      </c>
      <c r="G50" s="1077">
        <f t="shared" si="1"/>
        <v>0</v>
      </c>
      <c r="H50" s="975"/>
      <c r="I50" s="975"/>
    </row>
    <row r="51" spans="1:11" s="618" customFormat="1">
      <c r="A51" s="623" t="s">
        <v>134</v>
      </c>
      <c r="B51" s="627" t="s">
        <v>435</v>
      </c>
      <c r="C51" s="581" t="str">
        <f>'Haver Pivoted'!A50</f>
        <v>gfsubg</v>
      </c>
      <c r="D51" s="452">
        <v>38</v>
      </c>
      <c r="E51" s="452">
        <f>'Haver Pivoted'!GX50</f>
        <v>38</v>
      </c>
      <c r="F51" s="452">
        <f t="shared" si="0"/>
        <v>0</v>
      </c>
      <c r="G51" s="1077">
        <f t="shared" si="1"/>
        <v>0</v>
      </c>
      <c r="H51" s="975"/>
      <c r="I51" s="975"/>
    </row>
    <row r="52" spans="1:11" s="618" customFormat="1">
      <c r="A52" s="623" t="s">
        <v>134</v>
      </c>
      <c r="B52" s="627" t="s">
        <v>434</v>
      </c>
      <c r="C52" s="581" t="str">
        <f>'Haver Pivoted'!A51</f>
        <v>gfsube</v>
      </c>
      <c r="D52" s="452">
        <v>73.3</v>
      </c>
      <c r="E52" s="452">
        <f>'Haver Pivoted'!GX51</f>
        <v>73.3</v>
      </c>
      <c r="F52" s="452">
        <f t="shared" si="0"/>
        <v>0</v>
      </c>
      <c r="G52" s="1077">
        <f t="shared" si="1"/>
        <v>0</v>
      </c>
    </row>
    <row r="53" spans="1:11" s="618" customFormat="1">
      <c r="A53" s="623" t="s">
        <v>134</v>
      </c>
      <c r="B53" s="627" t="s">
        <v>438</v>
      </c>
      <c r="C53" s="581" t="str">
        <f>'Haver Pivoted'!A52</f>
        <v>gfsubs</v>
      </c>
      <c r="D53" s="452">
        <v>9.8000000000000007</v>
      </c>
      <c r="E53" s="452">
        <f>'Haver Pivoted'!GX52</f>
        <v>9.8000000000000007</v>
      </c>
      <c r="F53" s="452">
        <f t="shared" si="0"/>
        <v>0</v>
      </c>
      <c r="G53" s="1077">
        <f t="shared" si="1"/>
        <v>0</v>
      </c>
    </row>
    <row r="54" spans="1:11" s="618" customFormat="1">
      <c r="A54" s="623" t="s">
        <v>134</v>
      </c>
      <c r="B54" s="627" t="s">
        <v>433</v>
      </c>
      <c r="C54" s="581" t="str">
        <f>'Haver Pivoted'!A53</f>
        <v>gfsubf</v>
      </c>
      <c r="D54" s="452">
        <v>0.9</v>
      </c>
      <c r="E54" s="452">
        <f>'Haver Pivoted'!GX53</f>
        <v>0.9</v>
      </c>
      <c r="F54" s="452">
        <f t="shared" si="0"/>
        <v>0</v>
      </c>
      <c r="G54" s="1077">
        <f t="shared" si="1"/>
        <v>0</v>
      </c>
    </row>
    <row r="55" spans="1:11" s="618" customFormat="1">
      <c r="A55" s="623" t="s">
        <v>769</v>
      </c>
      <c r="B55" s="627" t="s">
        <v>760</v>
      </c>
      <c r="C55" s="581" t="str">
        <f>'Haver Pivoted'!A54</f>
        <v>gfsubv</v>
      </c>
      <c r="D55" s="452">
        <v>25.7</v>
      </c>
      <c r="E55" s="452">
        <f>'Haver Pivoted'!GX54</f>
        <v>25.7</v>
      </c>
      <c r="F55" s="452">
        <f t="shared" si="0"/>
        <v>0</v>
      </c>
      <c r="G55" s="1077">
        <f t="shared" si="1"/>
        <v>0</v>
      </c>
    </row>
    <row r="56" spans="1:11" s="618" customFormat="1">
      <c r="A56" s="623" t="s">
        <v>134</v>
      </c>
      <c r="B56" s="627" t="s">
        <v>439</v>
      </c>
      <c r="C56" s="581" t="str">
        <f>'Haver Pivoted'!A55</f>
        <v>gfsubk</v>
      </c>
      <c r="D56" s="452">
        <v>8</v>
      </c>
      <c r="E56" s="452">
        <f>'Haver Pivoted'!GX55</f>
        <v>8</v>
      </c>
      <c r="F56" s="452">
        <f t="shared" si="0"/>
        <v>0</v>
      </c>
      <c r="G56" s="1077">
        <f t="shared" si="1"/>
        <v>0</v>
      </c>
    </row>
    <row r="57" spans="1:11" s="618" customFormat="1">
      <c r="A57" s="452" t="s">
        <v>103</v>
      </c>
      <c r="B57" s="622" t="s">
        <v>308</v>
      </c>
      <c r="C57" s="581" t="str">
        <f>'Haver Pivoted'!A56</f>
        <v>gfegc</v>
      </c>
      <c r="D57" s="452">
        <v>0</v>
      </c>
      <c r="E57" s="452">
        <f>'Haver Pivoted'!GX56</f>
        <v>0</v>
      </c>
      <c r="F57" s="452">
        <f t="shared" si="0"/>
        <v>0</v>
      </c>
      <c r="G57" s="1077"/>
    </row>
    <row r="58" spans="1:11" s="618" customFormat="1">
      <c r="A58" s="452" t="s">
        <v>103</v>
      </c>
      <c r="B58" s="622" t="s">
        <v>309</v>
      </c>
      <c r="C58" s="581" t="str">
        <f>'Haver Pivoted'!A57</f>
        <v>gfege</v>
      </c>
      <c r="D58" s="452">
        <v>28.9</v>
      </c>
      <c r="E58" s="452">
        <f>'Haver Pivoted'!GX57</f>
        <v>28.9</v>
      </c>
      <c r="F58" s="452">
        <f t="shared" si="0"/>
        <v>0</v>
      </c>
      <c r="G58" s="1077">
        <f t="shared" si="1"/>
        <v>0</v>
      </c>
      <c r="I58" s="452"/>
    </row>
    <row r="59" spans="1:11" s="618" customFormat="1">
      <c r="A59" s="452" t="s">
        <v>770</v>
      </c>
      <c r="B59" s="622" t="s">
        <v>310</v>
      </c>
      <c r="C59" s="581" t="str">
        <f>'Haver Pivoted'!A58</f>
        <v>gfegv</v>
      </c>
      <c r="D59" s="452">
        <v>17.100000000000001</v>
      </c>
      <c r="E59" s="452">
        <f>'Haver Pivoted'!GX58</f>
        <v>17.100000000000001</v>
      </c>
      <c r="F59" s="452">
        <f t="shared" si="0"/>
        <v>0</v>
      </c>
      <c r="G59" s="1077">
        <f t="shared" si="1"/>
        <v>0</v>
      </c>
      <c r="I59" s="452"/>
      <c r="J59" s="452"/>
    </row>
    <row r="60" spans="1:11" s="618" customFormat="1">
      <c r="A60" s="452" t="s">
        <v>640</v>
      </c>
      <c r="B60" s="623" t="s">
        <v>641</v>
      </c>
      <c r="C60" s="581" t="str">
        <f>'Haver Pivoted'!A59</f>
        <v>yptue</v>
      </c>
      <c r="D60" s="452">
        <v>74.099999999999994</v>
      </c>
      <c r="E60" s="452">
        <f>'Haver Pivoted'!GX59</f>
        <v>74.099999999999994</v>
      </c>
      <c r="F60" s="452">
        <f t="shared" si="0"/>
        <v>0</v>
      </c>
      <c r="G60" s="1077">
        <f t="shared" si="1"/>
        <v>0</v>
      </c>
      <c r="I60" s="452"/>
      <c r="J60" s="452"/>
    </row>
    <row r="61" spans="1:11" s="618" customFormat="1">
      <c r="A61" s="452" t="s">
        <v>640</v>
      </c>
      <c r="B61" s="623" t="s">
        <v>642</v>
      </c>
      <c r="C61" s="581" t="str">
        <f>'Haver Pivoted'!A60</f>
        <v>yptup</v>
      </c>
      <c r="D61" s="452">
        <v>97.2</v>
      </c>
      <c r="E61" s="452">
        <f>'Haver Pivoted'!GX60</f>
        <v>97.2</v>
      </c>
      <c r="F61" s="452">
        <f t="shared" si="0"/>
        <v>0</v>
      </c>
      <c r="G61" s="1077">
        <f t="shared" si="1"/>
        <v>0</v>
      </c>
      <c r="H61" s="1025"/>
      <c r="I61" s="988"/>
      <c r="J61" s="988"/>
      <c r="K61" s="1025"/>
    </row>
    <row r="62" spans="1:11" s="618" customFormat="1">
      <c r="A62" s="452" t="s">
        <v>640</v>
      </c>
      <c r="B62" s="623" t="s">
        <v>144</v>
      </c>
      <c r="C62" s="581" t="str">
        <f>'Haver Pivoted'!A61</f>
        <v>yptuc</v>
      </c>
      <c r="D62" s="452">
        <v>283.60000000000002</v>
      </c>
      <c r="E62" s="452">
        <f>'Haver Pivoted'!GX61</f>
        <v>283.60000000000002</v>
      </c>
      <c r="F62" s="452">
        <f t="shared" si="0"/>
        <v>0</v>
      </c>
      <c r="G62" s="1077">
        <f t="shared" si="1"/>
        <v>0</v>
      </c>
      <c r="H62" s="958"/>
      <c r="I62" s="958"/>
      <c r="J62" s="988"/>
      <c r="K62" s="988"/>
    </row>
    <row r="63" spans="1:11">
      <c r="C63" s="581" t="str">
        <f>'Haver Pivoted'!A62</f>
        <v>gftfpu</v>
      </c>
      <c r="D63" s="452">
        <v>473.5</v>
      </c>
      <c r="E63" s="452">
        <f>'Haver Pivoted'!GX62</f>
        <v>473.5</v>
      </c>
      <c r="F63" s="452">
        <f t="shared" si="0"/>
        <v>0</v>
      </c>
      <c r="G63" s="1077">
        <f t="shared" si="1"/>
        <v>0</v>
      </c>
      <c r="H63" s="838"/>
      <c r="I63" s="838"/>
      <c r="J63" s="988"/>
      <c r="K63" s="988"/>
    </row>
    <row r="64" spans="1:11">
      <c r="A64" s="452" t="s">
        <v>640</v>
      </c>
      <c r="B64" s="837" t="s">
        <v>768</v>
      </c>
      <c r="C64" s="581" t="str">
        <f>'Haver Pivoted'!A63</f>
        <v>yptub</v>
      </c>
      <c r="D64" s="452">
        <v>18.600000000000001</v>
      </c>
      <c r="E64" s="452">
        <f>'Haver Pivoted'!GX63</f>
        <v>18.600000000000001</v>
      </c>
      <c r="F64" s="452">
        <f t="shared" si="0"/>
        <v>0</v>
      </c>
      <c r="G64" s="1077">
        <f t="shared" si="1"/>
        <v>0</v>
      </c>
      <c r="H64" s="838"/>
      <c r="I64" s="838"/>
      <c r="J64" s="988"/>
      <c r="K64" s="988"/>
    </row>
    <row r="65" spans="1:11">
      <c r="A65" s="452" t="s">
        <v>640</v>
      </c>
      <c r="B65" s="452" t="s">
        <v>288</v>
      </c>
      <c r="C65" s="581" t="str">
        <f>'Haver Pivoted'!A64</f>
        <v>yptol</v>
      </c>
      <c r="D65" s="452">
        <v>1.6</v>
      </c>
      <c r="E65" s="452">
        <f>'Haver Pivoted'!GX64</f>
        <v>1.6</v>
      </c>
      <c r="F65" s="452">
        <f t="shared" si="0"/>
        <v>0</v>
      </c>
      <c r="G65" s="1077">
        <f t="shared" si="1"/>
        <v>0</v>
      </c>
      <c r="H65" s="838"/>
      <c r="I65" s="838"/>
      <c r="J65" s="988"/>
      <c r="K65" s="988"/>
    </row>
    <row r="66" spans="1:11">
      <c r="C66" s="581" t="str">
        <f>'Haver Pivoted'!A65</f>
        <v>gfctp</v>
      </c>
      <c r="D66" s="452">
        <v>295.10000000000002</v>
      </c>
      <c r="E66" s="452">
        <f>'Haver Pivoted'!GX65</f>
        <v>290.7</v>
      </c>
      <c r="F66" s="452">
        <f t="shared" si="0"/>
        <v>-4.4000000000000341</v>
      </c>
      <c r="G66" s="1077">
        <f t="shared" si="1"/>
        <v>-1.4910199932226479E-2</v>
      </c>
      <c r="H66" s="959"/>
      <c r="I66" s="959"/>
      <c r="J66" s="988"/>
      <c r="K66" s="988"/>
    </row>
    <row r="67" spans="1:11">
      <c r="A67" s="1004" t="s">
        <v>638</v>
      </c>
      <c r="B67" s="979" t="s">
        <v>643</v>
      </c>
      <c r="C67" s="581" t="str">
        <f>'Haver Pivoted'!A66</f>
        <v>gftffx</v>
      </c>
      <c r="D67" s="452">
        <v>148.85499999999999</v>
      </c>
      <c r="E67" s="836">
        <f>'Haver Pivoted'!GX66</f>
        <v>148.81299999999999</v>
      </c>
      <c r="F67" s="452">
        <f t="shared" si="0"/>
        <v>-4.2000000000001592E-2</v>
      </c>
      <c r="G67" s="1077">
        <f t="shared" si="1"/>
        <v>-2.8215377380673537E-4</v>
      </c>
      <c r="H67" s="959"/>
      <c r="I67" s="959"/>
      <c r="J67" s="988"/>
      <c r="K67" s="988"/>
    </row>
    <row r="68" spans="1:11">
      <c r="C68" s="581" t="str">
        <f>'Haver Pivoted'!A67</f>
        <v>cpiu</v>
      </c>
      <c r="D68" s="452">
        <v>263.39499999999998</v>
      </c>
      <c r="E68" s="836">
        <f>'Haver Pivoted'!GX67</f>
        <v>263.39499999999998</v>
      </c>
      <c r="F68" s="452">
        <f t="shared" ref="F68:F81" si="2">E68-D68</f>
        <v>0</v>
      </c>
      <c r="G68" s="1077">
        <f t="shared" ref="G68:G81" si="3">F68/D68</f>
        <v>0</v>
      </c>
      <c r="H68" s="959"/>
      <c r="I68" s="959"/>
      <c r="J68" s="988"/>
      <c r="K68" s="988"/>
    </row>
    <row r="69" spans="1:11">
      <c r="C69" s="581" t="str">
        <f>'Haver Pivoted'!A68</f>
        <v>pcw</v>
      </c>
      <c r="D69" s="452">
        <v>257.350666666667</v>
      </c>
      <c r="E69" s="836">
        <f>'Haver Pivoted'!GX68</f>
        <v>257.350666666667</v>
      </c>
      <c r="F69" s="452">
        <f t="shared" si="2"/>
        <v>0</v>
      </c>
      <c r="G69" s="1077">
        <f t="shared" si="3"/>
        <v>0</v>
      </c>
      <c r="H69" s="958"/>
      <c r="I69" s="985"/>
      <c r="J69" s="1025"/>
      <c r="K69" s="988"/>
    </row>
    <row r="70" spans="1:11">
      <c r="C70" s="581" t="str">
        <f>'Haver Pivoted'!A69</f>
        <v>gdppothq</v>
      </c>
      <c r="D70" s="452">
        <v>19502.8</v>
      </c>
      <c r="E70" s="836">
        <f>'Haver Pivoted'!GX69</f>
        <v>19502.8</v>
      </c>
      <c r="F70" s="452">
        <f t="shared" si="2"/>
        <v>0</v>
      </c>
      <c r="G70" s="1077">
        <f t="shared" si="3"/>
        <v>0</v>
      </c>
      <c r="H70" s="988"/>
      <c r="I70" s="988"/>
      <c r="J70" s="988"/>
      <c r="K70" s="988"/>
    </row>
    <row r="71" spans="1:11">
      <c r="C71" s="581" t="str">
        <f>'Haver Pivoted'!A70</f>
        <v>gdppotq</v>
      </c>
      <c r="D71" s="452">
        <v>22361.5</v>
      </c>
      <c r="E71" s="836">
        <f>'Haver Pivoted'!GX70</f>
        <v>22361.5</v>
      </c>
      <c r="F71" s="452">
        <f t="shared" si="2"/>
        <v>0</v>
      </c>
      <c r="G71" s="1077">
        <f t="shared" si="3"/>
        <v>0</v>
      </c>
      <c r="H71" s="988"/>
      <c r="I71" s="988"/>
      <c r="J71" s="988"/>
      <c r="K71" s="988"/>
    </row>
    <row r="72" spans="1:11">
      <c r="C72" s="581" t="str">
        <f>'Haver Pivoted'!A71</f>
        <v>recessq</v>
      </c>
      <c r="D72" s="452">
        <v>1</v>
      </c>
      <c r="E72" s="836">
        <f>'Haver Pivoted'!GX71</f>
        <v>1</v>
      </c>
      <c r="F72" s="452">
        <f t="shared" si="2"/>
        <v>0</v>
      </c>
      <c r="G72" s="1077">
        <f t="shared" si="3"/>
        <v>0</v>
      </c>
      <c r="H72" s="1025"/>
      <c r="I72" s="988"/>
      <c r="J72" s="988"/>
      <c r="K72" s="1025"/>
    </row>
    <row r="73" spans="1:11" s="618" customFormat="1">
      <c r="C73" s="581" t="str">
        <f>'Haver Pivoted'!A72</f>
        <v>lasgova</v>
      </c>
      <c r="D73" s="452">
        <v>4976.6666666666697</v>
      </c>
      <c r="E73" s="836">
        <f>'Haver Pivoted'!GX72</f>
        <v>4976.6666666666697</v>
      </c>
      <c r="F73" s="587">
        <f t="shared" si="2"/>
        <v>0</v>
      </c>
      <c r="G73" s="1077">
        <f t="shared" si="3"/>
        <v>0</v>
      </c>
      <c r="H73" s="452"/>
      <c r="I73" s="452"/>
      <c r="J73" s="452"/>
      <c r="K73" s="452"/>
    </row>
    <row r="74" spans="1:11">
      <c r="C74" s="581" t="str">
        <f>'Haver Pivoted'!A73</f>
        <v>lalgova</v>
      </c>
      <c r="D74" s="452">
        <v>13671.333333333299</v>
      </c>
      <c r="E74" s="836">
        <f>'Haver Pivoted'!GX73</f>
        <v>13671.333333333299</v>
      </c>
      <c r="F74" s="587">
        <f t="shared" si="2"/>
        <v>0</v>
      </c>
      <c r="G74" s="1077">
        <f t="shared" si="3"/>
        <v>0</v>
      </c>
    </row>
    <row r="75" spans="1:11">
      <c r="C75" s="581" t="str">
        <f>'Haver Pivoted'!A74</f>
        <v>cpgs</v>
      </c>
      <c r="D75" s="452">
        <v>323711.66666666698</v>
      </c>
      <c r="E75" s="836">
        <f>'Haver Pivoted'!GX74</f>
        <v>323711.66666666698</v>
      </c>
      <c r="F75" s="587">
        <f t="shared" si="2"/>
        <v>0</v>
      </c>
      <c r="G75" s="1077">
        <f t="shared" si="3"/>
        <v>0</v>
      </c>
    </row>
    <row r="76" spans="1:11">
      <c r="C76" s="581" t="str">
        <f>'Haver Pivoted'!A75</f>
        <v>jgdp_growth</v>
      </c>
      <c r="D76" s="452">
        <v>1.04706550714504E-2</v>
      </c>
      <c r="E76" s="856">
        <f>'Haver Pivoted'!GX75</f>
        <v>1.0619236988157E-2</v>
      </c>
      <c r="F76" s="587">
        <f t="shared" si="2"/>
        <v>1.4858191670659958E-4</v>
      </c>
      <c r="G76" s="1077">
        <f t="shared" si="3"/>
        <v>1.4190317195313544E-2</v>
      </c>
    </row>
    <row r="77" spans="1:11">
      <c r="C77" s="581" t="str">
        <f>'Haver Pivoted'!A76</f>
        <v>jc_growth</v>
      </c>
      <c r="D77" s="452">
        <v>9.2010551258552304E-3</v>
      </c>
      <c r="E77" s="856">
        <f>'Haver Pivoted'!GX76</f>
        <v>9.1742298922521393E-3</v>
      </c>
      <c r="F77" s="587">
        <f t="shared" si="2"/>
        <v>-2.682523360309115E-5</v>
      </c>
      <c r="G77" s="1077">
        <f t="shared" si="3"/>
        <v>-2.9154518950453268E-3</v>
      </c>
    </row>
    <row r="78" spans="1:11">
      <c r="C78" s="581" t="str">
        <f>'Haver Pivoted'!A77</f>
        <v>jgf_growth</v>
      </c>
      <c r="D78" s="452">
        <v>9.3486289272271001E-3</v>
      </c>
      <c r="E78" s="856">
        <f>'Haver Pivoted'!GX77</f>
        <v>9.4824356389717809E-3</v>
      </c>
      <c r="F78" s="587">
        <f t="shared" si="2"/>
        <v>1.3380671174468076E-4</v>
      </c>
      <c r="G78" s="1077">
        <f t="shared" si="3"/>
        <v>1.4312977099238573E-2</v>
      </c>
    </row>
    <row r="79" spans="1:11">
      <c r="C79" s="581" t="str">
        <f>'Haver Pivoted'!A78</f>
        <v>jgs_growth</v>
      </c>
      <c r="D79" s="452">
        <v>1.8245602113363901E-2</v>
      </c>
      <c r="E79" s="856">
        <f>'Haver Pivoted'!GX78</f>
        <v>1.8330544395083598E-2</v>
      </c>
      <c r="F79" s="587">
        <f t="shared" si="2"/>
        <v>8.4942281719697227E-5</v>
      </c>
      <c r="G79" s="1077">
        <f t="shared" si="3"/>
        <v>4.6554934823160301E-3</v>
      </c>
    </row>
    <row r="80" spans="1:11">
      <c r="C80" s="581" t="str">
        <f>'Haver Pivoted'!A79</f>
        <v>jgse_growth</v>
      </c>
      <c r="D80" s="452">
        <v>1.9201509600754701E-2</v>
      </c>
      <c r="E80" s="856">
        <f>'Haver Pivoted'!GX79</f>
        <v>1.9244009622004801E-2</v>
      </c>
      <c r="F80" s="587">
        <f t="shared" si="2"/>
        <v>4.2500021250099773E-5</v>
      </c>
      <c r="G80" s="1077">
        <f t="shared" si="3"/>
        <v>2.2133687472379432E-3</v>
      </c>
    </row>
    <row r="81" spans="3:7">
      <c r="C81" s="581" t="str">
        <f>'Haver Pivoted'!A80</f>
        <v>jgsi_growth</v>
      </c>
      <c r="D81" s="452">
        <v>1.42260760586994E-2</v>
      </c>
      <c r="E81" s="856">
        <f>'Haver Pivoted'!GX80</f>
        <v>1.4530920545671599E-2</v>
      </c>
      <c r="F81" s="587">
        <f t="shared" si="2"/>
        <v>3.0484448697219897E-4</v>
      </c>
      <c r="G81" s="1077">
        <f t="shared" si="3"/>
        <v>2.1428571428576276E-2</v>
      </c>
    </row>
    <row r="82" spans="3:7">
      <c r="C82" s="581"/>
    </row>
    <row r="83" spans="3:7">
      <c r="C83" s="581"/>
    </row>
    <row r="84" spans="3:7">
      <c r="C84" s="581"/>
    </row>
    <row r="85" spans="3:7">
      <c r="C85" s="581"/>
    </row>
    <row r="86" spans="3:7">
      <c r="C86" s="581"/>
    </row>
    <row r="87" spans="3:7">
      <c r="C87" s="581"/>
    </row>
    <row r="88" spans="3:7">
      <c r="C88" s="581"/>
    </row>
    <row r="89" spans="3:7">
      <c r="C89" s="581"/>
    </row>
    <row r="90" spans="3:7">
      <c r="C90" s="581"/>
    </row>
    <row r="91" spans="3:7">
      <c r="C91" s="581"/>
    </row>
    <row r="92" spans="3:7">
      <c r="C92" s="581"/>
    </row>
    <row r="93" spans="3:7">
      <c r="C93" s="581"/>
    </row>
    <row r="94" spans="3:7">
      <c r="C94" s="581"/>
    </row>
    <row r="95" spans="3:7">
      <c r="C95" s="581"/>
    </row>
    <row r="96" spans="3:7">
      <c r="C96" s="581"/>
    </row>
    <row r="97" spans="3:3">
      <c r="C97" s="581"/>
    </row>
    <row r="98" spans="3:3">
      <c r="C98" s="581"/>
    </row>
    <row r="99" spans="3:3">
      <c r="C99" s="581"/>
    </row>
    <row r="100" spans="3:3">
      <c r="C100" s="581"/>
    </row>
    <row r="101" spans="3:3">
      <c r="C101" s="581"/>
    </row>
    <row r="102" spans="3:3">
      <c r="C102" s="581"/>
    </row>
    <row r="103" spans="3:3">
      <c r="C103" s="581"/>
    </row>
  </sheetData>
  <conditionalFormatting sqref="F3:F81">
    <cfRule type="cellIs" dxfId="1" priority="1" operator="lessThan">
      <formula>0</formula>
    </cfRule>
    <cfRule type="cellIs" dxfId="0" priority="2"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A2:Q191"/>
  <sheetViews>
    <sheetView topLeftCell="A25" zoomScale="126" workbookViewId="0">
      <selection activeCell="L47" sqref="L47"/>
    </sheetView>
  </sheetViews>
  <sheetFormatPr baseColWidth="10" defaultColWidth="8.83203125" defaultRowHeight="15"/>
  <cols>
    <col min="1" max="1" width="6.5" style="976" customWidth="1"/>
    <col min="2" max="2" width="65" style="976" customWidth="1"/>
    <col min="3" max="3" width="11" style="976" customWidth="1"/>
    <col min="4" max="6" width="10.1640625" style="976" customWidth="1"/>
    <col min="7" max="7" width="8.83203125" style="976"/>
    <col min="8" max="8" width="10.83203125" style="976" bestFit="1" customWidth="1"/>
    <col min="9" max="9" width="12.83203125" style="976" bestFit="1" customWidth="1"/>
    <col min="10" max="10" width="10.83203125" style="976" bestFit="1" customWidth="1"/>
    <col min="11" max="16384" width="8.83203125" style="976"/>
  </cols>
  <sheetData>
    <row r="2" spans="1:12">
      <c r="A2" s="1227" t="s">
        <v>1010</v>
      </c>
      <c r="B2" s="1227"/>
      <c r="C2" s="1227"/>
      <c r="D2" s="1227"/>
      <c r="E2" s="1227"/>
      <c r="F2" s="1227"/>
    </row>
    <row r="3" spans="1:12">
      <c r="A3" s="1227" t="s">
        <v>1011</v>
      </c>
      <c r="B3" s="1227"/>
      <c r="C3" s="1227"/>
      <c r="D3" s="1227"/>
      <c r="E3" s="1227"/>
      <c r="F3" s="1227"/>
    </row>
    <row r="4" spans="1:12" ht="16" thickBot="1">
      <c r="A4" s="1228"/>
      <c r="B4" s="1228"/>
      <c r="C4" s="1228"/>
      <c r="D4" s="1228"/>
      <c r="E4" s="1078"/>
      <c r="F4" s="1078"/>
    </row>
    <row r="5" spans="1:12">
      <c r="A5" s="1079"/>
      <c r="B5" s="1080"/>
      <c r="C5" s="1229"/>
      <c r="D5" s="1230"/>
      <c r="E5" s="1230"/>
      <c r="F5" s="1230"/>
    </row>
    <row r="6" spans="1:12">
      <c r="A6" s="581" t="s">
        <v>1012</v>
      </c>
      <c r="B6" s="1081"/>
      <c r="C6" s="1231">
        <v>2021</v>
      </c>
      <c r="D6" s="1232"/>
      <c r="E6" s="1232"/>
      <c r="F6" s="1232"/>
    </row>
    <row r="7" spans="1:12">
      <c r="A7" s="1082"/>
      <c r="B7" s="1083"/>
      <c r="C7" s="1084" t="s">
        <v>546</v>
      </c>
      <c r="D7" s="1085" t="s">
        <v>547</v>
      </c>
      <c r="E7" s="1085" t="s">
        <v>548</v>
      </c>
      <c r="F7" s="1086" t="s">
        <v>549</v>
      </c>
      <c r="G7" s="1170" t="s">
        <v>1094</v>
      </c>
      <c r="H7" s="1133" t="s">
        <v>1096</v>
      </c>
      <c r="I7" s="1133" t="s">
        <v>1097</v>
      </c>
      <c r="J7" s="1133" t="s">
        <v>1095</v>
      </c>
      <c r="L7" s="1133" t="s">
        <v>1123</v>
      </c>
    </row>
    <row r="8" spans="1:12">
      <c r="A8" s="1087">
        <v>1</v>
      </c>
      <c r="B8" s="1088" t="s">
        <v>1013</v>
      </c>
      <c r="C8" s="1089">
        <v>21683.1</v>
      </c>
      <c r="D8" s="1090">
        <v>20186.5</v>
      </c>
      <c r="E8" s="1089">
        <v>24400.5</v>
      </c>
      <c r="F8" s="1091">
        <v>21195.200000000001</v>
      </c>
      <c r="G8" s="1176">
        <v>20804.2</v>
      </c>
      <c r="H8" s="1149"/>
      <c r="I8" s="1134"/>
    </row>
    <row r="9" spans="1:12">
      <c r="A9" s="1020">
        <v>2</v>
      </c>
      <c r="B9" s="1092" t="s">
        <v>1014</v>
      </c>
      <c r="C9" s="1093">
        <v>12070.6</v>
      </c>
      <c r="D9" s="1094">
        <v>12086.4</v>
      </c>
      <c r="E9" s="1093">
        <v>12196.4</v>
      </c>
      <c r="F9" s="1095">
        <v>12311.9</v>
      </c>
      <c r="G9" s="1181">
        <v>12396.7</v>
      </c>
      <c r="H9" s="1149"/>
      <c r="I9" s="1134"/>
    </row>
    <row r="10" spans="1:12" s="1135" customFormat="1">
      <c r="A10" s="1135">
        <v>3</v>
      </c>
      <c r="B10" s="1140" t="s">
        <v>1015</v>
      </c>
      <c r="C10" s="1137">
        <v>9868.2000000000007</v>
      </c>
      <c r="D10" s="1138">
        <v>9879.2999999999993</v>
      </c>
      <c r="E10" s="1137">
        <v>9977.1</v>
      </c>
      <c r="F10" s="1139">
        <v>10079.200000000001</v>
      </c>
      <c r="G10" s="1187">
        <v>10152.799999999999</v>
      </c>
      <c r="H10" s="1150">
        <f t="shared" ref="H10:H45" si="0">3*J10-F10-G10</f>
        <v>-20232</v>
      </c>
      <c r="I10" s="1147">
        <f t="shared" ref="I10:I45" si="1">AVERAGE(F10:G10)</f>
        <v>10116</v>
      </c>
      <c r="J10" s="1148"/>
    </row>
    <row r="11" spans="1:12">
      <c r="A11" s="976">
        <v>4</v>
      </c>
      <c r="B11" s="1101" t="s">
        <v>1016</v>
      </c>
      <c r="C11" s="1102">
        <v>8423.1</v>
      </c>
      <c r="D11" s="1103">
        <v>8436</v>
      </c>
      <c r="E11" s="1102">
        <v>8527.7999999999993</v>
      </c>
      <c r="F11" s="1104">
        <v>8624.2000000000007</v>
      </c>
      <c r="G11" s="1192">
        <v>8692.2999999999993</v>
      </c>
      <c r="H11" s="1149"/>
      <c r="I11" s="1134"/>
    </row>
    <row r="12" spans="1:12">
      <c r="A12" s="1096">
        <v>5</v>
      </c>
      <c r="B12" s="1097" t="s">
        <v>1017</v>
      </c>
      <c r="C12" s="1098">
        <v>1445.1</v>
      </c>
      <c r="D12" s="1099">
        <v>1443.3</v>
      </c>
      <c r="E12" s="1098">
        <v>1449.3</v>
      </c>
      <c r="F12" s="1100">
        <v>1455</v>
      </c>
      <c r="G12" s="1187">
        <v>1460.5</v>
      </c>
      <c r="H12" s="1149"/>
      <c r="I12" s="1134"/>
    </row>
    <row r="13" spans="1:12">
      <c r="A13" s="976">
        <v>6</v>
      </c>
      <c r="B13" s="1101" t="s">
        <v>1018</v>
      </c>
      <c r="C13" s="1102">
        <v>2202.4</v>
      </c>
      <c r="D13" s="1103">
        <v>2207.1</v>
      </c>
      <c r="E13" s="1102">
        <v>2219.3000000000002</v>
      </c>
      <c r="F13" s="1104">
        <v>2232.6999999999998</v>
      </c>
      <c r="G13" s="1192">
        <v>2243.9</v>
      </c>
      <c r="H13" s="1149"/>
      <c r="I13" s="1134"/>
    </row>
    <row r="14" spans="1:12" s="1135" customFormat="1">
      <c r="A14" s="1142">
        <v>7</v>
      </c>
      <c r="B14" s="1143" t="s">
        <v>1019</v>
      </c>
      <c r="C14" s="1144">
        <v>1667.1</v>
      </c>
      <c r="D14" s="1145">
        <v>1716.7</v>
      </c>
      <c r="E14" s="1144">
        <v>1827.6</v>
      </c>
      <c r="F14" s="1146">
        <v>1885.4</v>
      </c>
      <c r="G14" s="1176">
        <v>1943.9</v>
      </c>
      <c r="H14" s="1150">
        <f t="shared" si="0"/>
        <v>-3829.3</v>
      </c>
      <c r="I14" s="1147">
        <f t="shared" si="1"/>
        <v>1914.65</v>
      </c>
      <c r="J14" s="1148"/>
    </row>
    <row r="15" spans="1:12">
      <c r="A15" s="976">
        <v>8</v>
      </c>
      <c r="B15" s="1101" t="s">
        <v>1020</v>
      </c>
      <c r="C15" s="1102">
        <v>58.7</v>
      </c>
      <c r="D15" s="1103">
        <v>63.6</v>
      </c>
      <c r="E15" s="1102">
        <v>69.900000000000006</v>
      </c>
      <c r="F15" s="1104">
        <v>76.8</v>
      </c>
      <c r="G15" s="1192">
        <v>87.9</v>
      </c>
      <c r="H15" s="1149"/>
      <c r="I15" s="1134"/>
    </row>
    <row r="16" spans="1:12">
      <c r="A16" s="1096"/>
      <c r="B16" s="1107" t="s">
        <v>1021</v>
      </c>
      <c r="C16" s="1098" t="s">
        <v>1022</v>
      </c>
      <c r="D16" s="1099" t="s">
        <v>1022</v>
      </c>
      <c r="E16" s="1098" t="s">
        <v>1022</v>
      </c>
      <c r="F16" s="1100" t="s">
        <v>1022</v>
      </c>
      <c r="G16" s="1187"/>
      <c r="H16" s="1149"/>
      <c r="I16" s="1134"/>
    </row>
    <row r="17" spans="1:12" ht="17">
      <c r="A17" s="1096">
        <v>9</v>
      </c>
      <c r="B17" s="1097" t="s">
        <v>1023</v>
      </c>
      <c r="C17" s="1098">
        <v>2.4</v>
      </c>
      <c r="D17" s="1099">
        <v>0.4</v>
      </c>
      <c r="E17" s="1098">
        <v>0</v>
      </c>
      <c r="F17" s="1100">
        <v>3</v>
      </c>
      <c r="G17" s="1187">
        <v>1.4</v>
      </c>
      <c r="H17" s="1149"/>
      <c r="I17" s="1134"/>
    </row>
    <row r="18" spans="1:12" ht="17">
      <c r="A18" s="1135">
        <v>10</v>
      </c>
      <c r="B18" s="1136" t="s">
        <v>1024</v>
      </c>
      <c r="C18" s="1137">
        <v>1.8</v>
      </c>
      <c r="D18" s="1138">
        <v>5</v>
      </c>
      <c r="E18" s="1137">
        <v>7.9</v>
      </c>
      <c r="F18" s="1139">
        <v>10.4</v>
      </c>
      <c r="G18" s="1192">
        <v>11.8</v>
      </c>
      <c r="H18" s="1150">
        <f t="shared" si="0"/>
        <v>-22.200000000000003</v>
      </c>
      <c r="I18" s="1147">
        <f t="shared" si="1"/>
        <v>11.100000000000001</v>
      </c>
    </row>
    <row r="19" spans="1:12">
      <c r="A19" s="1096">
        <v>11</v>
      </c>
      <c r="B19" s="1097" t="s">
        <v>1025</v>
      </c>
      <c r="C19" s="1098">
        <v>1608.4</v>
      </c>
      <c r="D19" s="1099">
        <v>1653.1</v>
      </c>
      <c r="E19" s="1098">
        <v>1757.7</v>
      </c>
      <c r="F19" s="1100">
        <v>1808.6</v>
      </c>
      <c r="G19" s="1187">
        <v>1856</v>
      </c>
      <c r="H19" s="1149"/>
      <c r="I19" s="1134"/>
    </row>
    <row r="20" spans="1:12">
      <c r="B20" s="1108" t="s">
        <v>1026</v>
      </c>
      <c r="C20" s="1102" t="s">
        <v>1022</v>
      </c>
      <c r="D20" s="1103" t="s">
        <v>1022</v>
      </c>
      <c r="E20" s="1102" t="s">
        <v>1022</v>
      </c>
      <c r="F20" s="1104" t="s">
        <v>1022</v>
      </c>
      <c r="G20" s="1192"/>
      <c r="H20" s="1149"/>
      <c r="I20" s="1134"/>
    </row>
    <row r="21" spans="1:12" ht="17">
      <c r="A21" s="1135">
        <v>12</v>
      </c>
      <c r="B21" s="1136" t="s">
        <v>1024</v>
      </c>
      <c r="C21" s="1137">
        <v>27.9</v>
      </c>
      <c r="D21" s="1138">
        <v>78.3</v>
      </c>
      <c r="E21" s="1137">
        <v>124</v>
      </c>
      <c r="F21" s="1139">
        <v>163.69999999999999</v>
      </c>
      <c r="G21" s="1192">
        <v>184.6</v>
      </c>
      <c r="H21" s="1150">
        <f t="shared" si="0"/>
        <v>-348.29999999999995</v>
      </c>
      <c r="I21" s="1147">
        <f t="shared" si="1"/>
        <v>174.14999999999998</v>
      </c>
    </row>
    <row r="22" spans="1:12">
      <c r="A22" s="1087">
        <v>13</v>
      </c>
      <c r="B22" s="1105" t="s">
        <v>1027</v>
      </c>
      <c r="C22" s="1106">
        <v>806.3</v>
      </c>
      <c r="D22" s="1090">
        <v>811.4</v>
      </c>
      <c r="E22" s="1106">
        <v>817.5</v>
      </c>
      <c r="F22" s="1091">
        <v>821.8</v>
      </c>
      <c r="G22" s="1176">
        <v>831</v>
      </c>
      <c r="H22" s="1149"/>
      <c r="I22" s="1134"/>
    </row>
    <row r="23" spans="1:12">
      <c r="A23" s="1020">
        <v>14</v>
      </c>
      <c r="B23" s="1092" t="s">
        <v>1028</v>
      </c>
      <c r="C23" s="1093">
        <v>2880.3</v>
      </c>
      <c r="D23" s="1094">
        <v>2898.6</v>
      </c>
      <c r="E23" s="1093">
        <v>2907.9</v>
      </c>
      <c r="F23" s="1095">
        <v>2923.5</v>
      </c>
      <c r="G23" s="1181">
        <v>2935</v>
      </c>
      <c r="H23" s="1149"/>
      <c r="I23" s="1134"/>
    </row>
    <row r="24" spans="1:12">
      <c r="A24" s="1096">
        <v>15</v>
      </c>
      <c r="B24" s="1097" t="s">
        <v>1029</v>
      </c>
      <c r="C24" s="1098">
        <v>1636.4</v>
      </c>
      <c r="D24" s="1099">
        <v>1646.2</v>
      </c>
      <c r="E24" s="1098">
        <v>1655.9</v>
      </c>
      <c r="F24" s="1100">
        <v>1659.3</v>
      </c>
      <c r="G24" s="1187">
        <v>1666.7</v>
      </c>
      <c r="H24" s="1149"/>
      <c r="I24" s="1134"/>
    </row>
    <row r="25" spans="1:12">
      <c r="A25" s="976">
        <v>16</v>
      </c>
      <c r="B25" s="1101" t="s">
        <v>1030</v>
      </c>
      <c r="C25" s="1102">
        <v>1243.8</v>
      </c>
      <c r="D25" s="1103">
        <v>1252.4000000000001</v>
      </c>
      <c r="E25" s="1102">
        <v>1252</v>
      </c>
      <c r="F25" s="1104">
        <v>1264.2</v>
      </c>
      <c r="G25" s="1192">
        <v>1268.3</v>
      </c>
      <c r="H25" s="1149"/>
      <c r="I25" s="1134"/>
    </row>
    <row r="26" spans="1:12">
      <c r="A26" s="1087">
        <v>17</v>
      </c>
      <c r="B26" s="1105" t="s">
        <v>1031</v>
      </c>
      <c r="C26" s="1106">
        <v>5776.1</v>
      </c>
      <c r="D26" s="1090">
        <v>4192.2</v>
      </c>
      <c r="E26" s="1106">
        <v>8182.8</v>
      </c>
      <c r="F26" s="1091">
        <v>4799</v>
      </c>
      <c r="G26" s="1176">
        <v>4253.8999999999996</v>
      </c>
      <c r="H26" s="1149"/>
      <c r="I26" s="1134"/>
    </row>
    <row r="27" spans="1:12">
      <c r="A27" s="976">
        <v>18</v>
      </c>
      <c r="B27" s="1152" t="s">
        <v>1032</v>
      </c>
      <c r="C27" s="1153">
        <v>5729.4</v>
      </c>
      <c r="D27" s="1154">
        <v>4145.3999999999996</v>
      </c>
      <c r="E27" s="1153">
        <v>8135.8</v>
      </c>
      <c r="F27" s="1155">
        <v>4751.8</v>
      </c>
      <c r="G27" s="1192">
        <v>4206.5</v>
      </c>
      <c r="H27" s="1149"/>
      <c r="I27" s="1156"/>
      <c r="J27" s="424"/>
    </row>
    <row r="28" spans="1:12">
      <c r="A28" s="1096">
        <v>19</v>
      </c>
      <c r="B28" s="1097" t="s">
        <v>1033</v>
      </c>
      <c r="C28" s="1098">
        <v>1105.2</v>
      </c>
      <c r="D28" s="1099">
        <v>1107.3</v>
      </c>
      <c r="E28" s="1098">
        <v>1110.4000000000001</v>
      </c>
      <c r="F28" s="1139">
        <v>1108.2</v>
      </c>
      <c r="G28" s="1187">
        <v>1110.5</v>
      </c>
      <c r="H28" s="1150"/>
      <c r="I28" s="1147"/>
      <c r="J28" s="1135"/>
    </row>
    <row r="29" spans="1:12">
      <c r="A29" s="976">
        <v>20</v>
      </c>
      <c r="B29" s="1140" t="s">
        <v>1034</v>
      </c>
      <c r="C29" s="1137">
        <v>873.9</v>
      </c>
      <c r="D29" s="1138">
        <v>880.2</v>
      </c>
      <c r="E29" s="1137">
        <v>886.2</v>
      </c>
      <c r="F29" s="1139">
        <v>890.9</v>
      </c>
      <c r="G29" s="1192">
        <v>895.7</v>
      </c>
      <c r="H29" s="1150">
        <f t="shared" si="0"/>
        <v>900.50472495939016</v>
      </c>
      <c r="I29" s="1147">
        <f t="shared" si="1"/>
        <v>893.3</v>
      </c>
      <c r="J29" s="1135">
        <f>Medicare!N10</f>
        <v>895.70157498646347</v>
      </c>
    </row>
    <row r="30" spans="1:12">
      <c r="A30" s="1096"/>
      <c r="B30" s="1107" t="s">
        <v>1035</v>
      </c>
      <c r="C30" s="1098" t="s">
        <v>1022</v>
      </c>
      <c r="D30" s="1099" t="s">
        <v>1022</v>
      </c>
      <c r="E30" s="1098" t="s">
        <v>1022</v>
      </c>
      <c r="F30" s="1139" t="s">
        <v>1022</v>
      </c>
      <c r="G30" s="1187"/>
      <c r="H30" s="1150"/>
      <c r="I30" s="1147"/>
      <c r="J30" s="1135"/>
    </row>
    <row r="31" spans="1:12" ht="17">
      <c r="A31" s="1096">
        <v>21</v>
      </c>
      <c r="B31" s="1097" t="s">
        <v>1036</v>
      </c>
      <c r="C31" s="1098">
        <v>15.3</v>
      </c>
      <c r="D31" s="1099">
        <v>15.5</v>
      </c>
      <c r="E31" s="1098">
        <v>15.6</v>
      </c>
      <c r="F31" s="1139">
        <v>15.7</v>
      </c>
      <c r="G31" s="1187">
        <v>15.7</v>
      </c>
      <c r="H31" s="1150"/>
      <c r="I31" s="1147"/>
      <c r="J31" s="1135"/>
      <c r="L31" s="976">
        <v>16</v>
      </c>
    </row>
    <row r="32" spans="1:12">
      <c r="A32" s="976">
        <v>22</v>
      </c>
      <c r="B32" s="1140" t="s">
        <v>1037</v>
      </c>
      <c r="C32" s="1137">
        <v>689.8</v>
      </c>
      <c r="D32" s="1138">
        <v>694.3</v>
      </c>
      <c r="E32" s="1137">
        <v>699.2</v>
      </c>
      <c r="F32" s="1139">
        <v>704.5</v>
      </c>
      <c r="G32" s="1192">
        <v>723.7</v>
      </c>
      <c r="H32" s="1150">
        <f t="shared" si="0"/>
        <v>743.8</v>
      </c>
      <c r="I32" s="1147">
        <f t="shared" si="1"/>
        <v>714.1</v>
      </c>
      <c r="J32" s="1135">
        <f>Medicaid!J28</f>
        <v>724</v>
      </c>
      <c r="L32" s="976">
        <v>724</v>
      </c>
    </row>
    <row r="33" spans="1:12">
      <c r="A33" s="1096">
        <v>23</v>
      </c>
      <c r="B33" s="1140" t="s">
        <v>1038</v>
      </c>
      <c r="C33" s="1137">
        <v>556.4</v>
      </c>
      <c r="D33" s="1138">
        <v>535.4</v>
      </c>
      <c r="E33" s="1137">
        <v>541.20000000000005</v>
      </c>
      <c r="F33" s="1139">
        <v>495.4</v>
      </c>
      <c r="G33" s="1187">
        <v>458.8</v>
      </c>
      <c r="H33" s="1150">
        <f t="shared" si="0"/>
        <v>422.2000000000001</v>
      </c>
      <c r="I33" s="1147">
        <f t="shared" si="1"/>
        <v>477.1</v>
      </c>
      <c r="J33" s="1151">
        <f>'Unemployment Insurance'!N11</f>
        <v>458.8</v>
      </c>
      <c r="L33" s="1134">
        <f>G33</f>
        <v>458.8</v>
      </c>
    </row>
    <row r="34" spans="1:12" ht="17">
      <c r="B34" s="1109" t="s">
        <v>1039</v>
      </c>
      <c r="C34" s="1102" t="s">
        <v>1022</v>
      </c>
      <c r="D34" s="1103" t="s">
        <v>1022</v>
      </c>
      <c r="E34" s="1102" t="s">
        <v>1022</v>
      </c>
      <c r="F34" s="1104" t="s">
        <v>1022</v>
      </c>
      <c r="G34" s="1192"/>
      <c r="H34" s="1149"/>
      <c r="I34" s="1134"/>
    </row>
    <row r="35" spans="1:12">
      <c r="A35" s="976">
        <v>24</v>
      </c>
      <c r="B35" s="1110" t="s">
        <v>1040</v>
      </c>
      <c r="C35" s="1102">
        <v>23.8</v>
      </c>
      <c r="D35" s="1103">
        <v>19.3</v>
      </c>
      <c r="E35" s="1102">
        <v>12.7</v>
      </c>
      <c r="F35" s="1104">
        <v>7.2</v>
      </c>
      <c r="G35" s="1192">
        <v>3.7</v>
      </c>
      <c r="H35" s="1149">
        <f>3*J35-F35-G35</f>
        <v>0.20000000000000107</v>
      </c>
      <c r="I35" s="1134">
        <f>AVERAGE(F35:G35)</f>
        <v>5.45</v>
      </c>
      <c r="J35" s="421">
        <f>'Unemployment Insurance'!N12</f>
        <v>3.7</v>
      </c>
      <c r="L35" s="1134">
        <f>G35</f>
        <v>3.7</v>
      </c>
    </row>
    <row r="36" spans="1:12">
      <c r="A36" s="1096">
        <v>25</v>
      </c>
      <c r="B36" s="1111" t="s">
        <v>1041</v>
      </c>
      <c r="C36" s="1098">
        <v>61.4</v>
      </c>
      <c r="D36" s="1099">
        <v>75.900000000000006</v>
      </c>
      <c r="E36" s="1098">
        <v>85</v>
      </c>
      <c r="F36" s="1100">
        <v>80.2</v>
      </c>
      <c r="G36" s="1187">
        <v>81.3</v>
      </c>
      <c r="H36" s="1149">
        <f t="shared" ref="H36:H38" si="2">3*J36-F36-G36</f>
        <v>82.399999999999991</v>
      </c>
      <c r="I36" s="1134">
        <f t="shared" ref="I36:I38" si="3">AVERAGE(F36:G36)</f>
        <v>80.75</v>
      </c>
      <c r="J36" s="421">
        <f>'Unemployment Insurance'!N15</f>
        <v>81.3</v>
      </c>
      <c r="L36" s="1134">
        <f t="shared" ref="L36:L38" si="4">G36</f>
        <v>81.3</v>
      </c>
    </row>
    <row r="37" spans="1:12">
      <c r="A37" s="976">
        <v>26</v>
      </c>
      <c r="B37" s="1112" t="s">
        <v>1042</v>
      </c>
      <c r="C37" s="1102">
        <v>97.3</v>
      </c>
      <c r="D37" s="1103">
        <v>98.9</v>
      </c>
      <c r="E37" s="1102">
        <v>95.2</v>
      </c>
      <c r="F37" s="1104">
        <v>92.6</v>
      </c>
      <c r="G37" s="1192">
        <v>83.8</v>
      </c>
      <c r="H37" s="1149">
        <f t="shared" si="2"/>
        <v>74.999999999999986</v>
      </c>
      <c r="I37" s="1134">
        <f t="shared" si="3"/>
        <v>88.199999999999989</v>
      </c>
      <c r="J37" s="421">
        <f>'Unemployment Insurance'!N16</f>
        <v>83.8</v>
      </c>
      <c r="L37" s="1134">
        <f t="shared" si="4"/>
        <v>83.8</v>
      </c>
    </row>
    <row r="38" spans="1:12">
      <c r="A38" s="1096">
        <v>27</v>
      </c>
      <c r="B38" s="1111" t="s">
        <v>1043</v>
      </c>
      <c r="C38" s="1098">
        <v>294.5</v>
      </c>
      <c r="D38" s="1099">
        <v>270.39999999999998</v>
      </c>
      <c r="E38" s="1098">
        <v>286</v>
      </c>
      <c r="F38" s="1100">
        <v>254.9</v>
      </c>
      <c r="G38" s="1187">
        <v>229.8</v>
      </c>
      <c r="H38" s="1149">
        <f t="shared" si="2"/>
        <v>204.7000000000001</v>
      </c>
      <c r="I38" s="1134">
        <f t="shared" si="3"/>
        <v>242.35000000000002</v>
      </c>
      <c r="J38" s="421">
        <f>'Unemployment Insurance'!N17</f>
        <v>229.8</v>
      </c>
      <c r="L38" s="1134">
        <f t="shared" si="4"/>
        <v>229.8</v>
      </c>
    </row>
    <row r="39" spans="1:12">
      <c r="A39" s="976">
        <v>28</v>
      </c>
      <c r="B39" s="1101" t="s">
        <v>1044</v>
      </c>
      <c r="C39" s="1102">
        <v>150.19999999999999</v>
      </c>
      <c r="D39" s="1103">
        <v>151</v>
      </c>
      <c r="E39" s="1102">
        <v>151.69999999999999</v>
      </c>
      <c r="F39" s="1104">
        <v>152.4</v>
      </c>
      <c r="G39" s="1192">
        <v>153.1</v>
      </c>
      <c r="H39" s="1149"/>
      <c r="I39" s="1134"/>
    </row>
    <row r="40" spans="1:12">
      <c r="A40" s="1096">
        <v>29</v>
      </c>
      <c r="B40" s="1097" t="s">
        <v>1045</v>
      </c>
      <c r="C40" s="1098">
        <v>2354</v>
      </c>
      <c r="D40" s="1099">
        <v>777.3</v>
      </c>
      <c r="E40" s="1098">
        <v>4747.1000000000004</v>
      </c>
      <c r="F40" s="1100">
        <v>1400.4</v>
      </c>
      <c r="G40" s="1187">
        <v>864.7</v>
      </c>
      <c r="H40" s="1149"/>
      <c r="I40" s="1134"/>
    </row>
    <row r="41" spans="1:12">
      <c r="B41" s="1109" t="s">
        <v>1046</v>
      </c>
      <c r="C41" s="1102" t="s">
        <v>1022</v>
      </c>
      <c r="D41" s="1103" t="s">
        <v>1022</v>
      </c>
      <c r="E41" s="1102" t="s">
        <v>1022</v>
      </c>
      <c r="F41" s="1104" t="s">
        <v>1022</v>
      </c>
      <c r="G41" s="1192"/>
      <c r="H41" s="1149"/>
      <c r="I41" s="1134"/>
    </row>
    <row r="42" spans="1:12" ht="17">
      <c r="A42" s="976">
        <v>30</v>
      </c>
      <c r="B42" s="1141" t="s">
        <v>1047</v>
      </c>
      <c r="C42" s="1137">
        <v>1660.9</v>
      </c>
      <c r="D42" s="1138">
        <v>95.9</v>
      </c>
      <c r="E42" s="1137">
        <v>4044.2</v>
      </c>
      <c r="F42" s="1139">
        <v>688</v>
      </c>
      <c r="G42" s="1192">
        <v>128.6</v>
      </c>
      <c r="H42" s="1150">
        <f t="shared" si="0"/>
        <v>-0.59999999999999432</v>
      </c>
      <c r="I42" s="1147">
        <f t="shared" si="1"/>
        <v>408.3</v>
      </c>
      <c r="J42" s="1135">
        <f>'Rebate Checks'!J10</f>
        <v>272</v>
      </c>
      <c r="L42" s="976">
        <v>272</v>
      </c>
    </row>
    <row r="43" spans="1:12" ht="17">
      <c r="A43" s="1096">
        <v>31</v>
      </c>
      <c r="B43" s="1141" t="s">
        <v>1048</v>
      </c>
      <c r="C43" s="1137">
        <v>2.1</v>
      </c>
      <c r="D43" s="1138">
        <v>0.7</v>
      </c>
      <c r="E43" s="1137">
        <v>2.1</v>
      </c>
      <c r="F43" s="1139">
        <v>0.8</v>
      </c>
      <c r="G43" s="1187">
        <v>0.6</v>
      </c>
      <c r="H43" s="1150">
        <f t="shared" si="0"/>
        <v>-1.4</v>
      </c>
      <c r="I43" s="1147">
        <f t="shared" si="1"/>
        <v>0.7</v>
      </c>
      <c r="J43" s="1151">
        <f>'Unemployment Insurance'!N18</f>
        <v>0</v>
      </c>
    </row>
    <row r="44" spans="1:12" ht="17">
      <c r="A44" s="976">
        <v>32</v>
      </c>
      <c r="B44" s="1136" t="s">
        <v>1049</v>
      </c>
      <c r="C44" s="1137">
        <v>4.2</v>
      </c>
      <c r="D44" s="1138">
        <v>11</v>
      </c>
      <c r="E44" s="1137">
        <v>17.3</v>
      </c>
      <c r="F44" s="1139">
        <v>22.8</v>
      </c>
      <c r="G44" s="1192">
        <v>25.7</v>
      </c>
      <c r="H44" s="1150">
        <f t="shared" si="0"/>
        <v>37.08538697740336</v>
      </c>
      <c r="I44" s="1147">
        <f t="shared" si="1"/>
        <v>24.25</v>
      </c>
      <c r="J44" s="1151">
        <f>PPP!H53</f>
        <v>28.528462325801119</v>
      </c>
    </row>
    <row r="45" spans="1:12" ht="17">
      <c r="A45" s="1096">
        <v>33</v>
      </c>
      <c r="B45" s="1140" t="s">
        <v>1050</v>
      </c>
      <c r="C45" s="1137">
        <v>56.9</v>
      </c>
      <c r="D45" s="1138">
        <v>28.7</v>
      </c>
      <c r="E45" s="1137">
        <v>43.4</v>
      </c>
      <c r="F45" s="1139">
        <v>27.6</v>
      </c>
      <c r="G45" s="1187">
        <v>28.4</v>
      </c>
      <c r="H45" s="1150">
        <f t="shared" si="0"/>
        <v>29.3986013986014</v>
      </c>
      <c r="I45" s="1147">
        <f t="shared" si="1"/>
        <v>28</v>
      </c>
      <c r="J45" s="1135">
        <f>'Provider Relief'!H11</f>
        <v>28.466200466200466</v>
      </c>
      <c r="L45" s="976">
        <v>28</v>
      </c>
    </row>
    <row r="46" spans="1:12">
      <c r="A46" s="976">
        <v>34</v>
      </c>
      <c r="B46" s="1101" t="s">
        <v>1051</v>
      </c>
      <c r="C46" s="1102">
        <v>46.7</v>
      </c>
      <c r="D46" s="1103">
        <v>46.9</v>
      </c>
      <c r="E46" s="1102">
        <v>47</v>
      </c>
      <c r="F46" s="1104">
        <v>47.2</v>
      </c>
      <c r="G46" s="1192">
        <v>47.4</v>
      </c>
      <c r="H46" s="1149"/>
      <c r="I46" s="1134"/>
    </row>
    <row r="47" spans="1:12">
      <c r="A47" s="1087">
        <v>35</v>
      </c>
      <c r="B47" s="1105" t="s">
        <v>1052</v>
      </c>
      <c r="C47" s="1106">
        <v>1517.1</v>
      </c>
      <c r="D47" s="1090">
        <v>1518.9</v>
      </c>
      <c r="E47" s="1106">
        <v>1531.7</v>
      </c>
      <c r="F47" s="1091">
        <v>1546.5</v>
      </c>
      <c r="G47" s="1176">
        <v>1556.3</v>
      </c>
      <c r="H47" s="1149">
        <f>3*J47-F47-G47</f>
        <v>1566.0999999999997</v>
      </c>
      <c r="I47" s="1134"/>
      <c r="J47" s="976">
        <f>Taxes!L12 + Taxes!L19</f>
        <v>1556.3</v>
      </c>
      <c r="L47" s="1134">
        <f>G47</f>
        <v>1556.3</v>
      </c>
    </row>
    <row r="48" spans="1:12">
      <c r="A48" s="1020">
        <v>36</v>
      </c>
      <c r="B48" s="1092" t="s">
        <v>1053</v>
      </c>
      <c r="C48" s="1093">
        <v>2291.1</v>
      </c>
      <c r="D48" s="1094">
        <v>2308.4</v>
      </c>
      <c r="E48" s="1093">
        <v>2338.6999999999998</v>
      </c>
      <c r="F48" s="1095">
        <v>2350.6</v>
      </c>
      <c r="G48" s="1181">
        <v>2385.1</v>
      </c>
      <c r="H48" s="1149">
        <f>3*J48-F48-G48</f>
        <v>2419.599999999999</v>
      </c>
      <c r="I48" s="1134"/>
      <c r="J48" s="976">
        <f>Taxes!L11 + Taxes!L18</f>
        <v>2385.1</v>
      </c>
      <c r="L48" s="1134">
        <f>G48</f>
        <v>2385.1</v>
      </c>
    </row>
    <row r="49" spans="1:9">
      <c r="A49" s="1087">
        <v>37</v>
      </c>
      <c r="B49" s="1105" t="s">
        <v>1054</v>
      </c>
      <c r="C49" s="1106">
        <v>19392</v>
      </c>
      <c r="D49" s="1090">
        <v>17878.2</v>
      </c>
      <c r="E49" s="1106">
        <v>22061.8</v>
      </c>
      <c r="F49" s="1091">
        <v>18844.5</v>
      </c>
      <c r="G49" s="1176">
        <v>18419.099999999999</v>
      </c>
      <c r="H49" s="1149"/>
      <c r="I49" s="1134"/>
    </row>
    <row r="50" spans="1:9">
      <c r="A50" s="1020">
        <v>38</v>
      </c>
      <c r="B50" s="1092" t="s">
        <v>1055</v>
      </c>
      <c r="C50" s="1093">
        <v>15402.9</v>
      </c>
      <c r="D50" s="1094">
        <v>15255.9</v>
      </c>
      <c r="E50" s="1093">
        <v>15947.5</v>
      </c>
      <c r="F50" s="1095">
        <v>16030.4</v>
      </c>
      <c r="G50" s="1181">
        <v>16127.7</v>
      </c>
      <c r="H50" s="1149"/>
      <c r="I50" s="1134"/>
    </row>
    <row r="51" spans="1:9">
      <c r="A51" s="1096">
        <v>39</v>
      </c>
      <c r="B51" s="1097" t="s">
        <v>1056</v>
      </c>
      <c r="C51" s="1098">
        <v>14938</v>
      </c>
      <c r="D51" s="1099">
        <v>14789.7</v>
      </c>
      <c r="E51" s="1098">
        <v>15480.1</v>
      </c>
      <c r="F51" s="1100">
        <v>15560.3</v>
      </c>
      <c r="G51" s="1187">
        <v>15659.3</v>
      </c>
      <c r="H51" s="1149"/>
      <c r="I51" s="1134"/>
    </row>
    <row r="52" spans="1:9">
      <c r="A52" s="976">
        <v>40</v>
      </c>
      <c r="B52" s="1101" t="s">
        <v>1057</v>
      </c>
      <c r="C52" s="1102">
        <v>258.5</v>
      </c>
      <c r="D52" s="1103">
        <v>259.5</v>
      </c>
      <c r="E52" s="1102">
        <v>260.60000000000002</v>
      </c>
      <c r="F52" s="1104">
        <v>262.89999999999998</v>
      </c>
      <c r="G52" s="1192">
        <v>260.60000000000002</v>
      </c>
      <c r="H52" s="1149"/>
      <c r="I52" s="1134"/>
    </row>
    <row r="53" spans="1:9">
      <c r="A53" s="1096"/>
      <c r="B53" s="1113" t="s">
        <v>1058</v>
      </c>
      <c r="C53" s="1098" t="s">
        <v>1022</v>
      </c>
      <c r="D53" s="1099" t="s">
        <v>1022</v>
      </c>
      <c r="E53" s="1098" t="s">
        <v>1022</v>
      </c>
      <c r="F53" s="1100" t="s">
        <v>1022</v>
      </c>
      <c r="G53" s="1187"/>
      <c r="H53" s="1149"/>
      <c r="I53" s="1134"/>
    </row>
    <row r="54" spans="1:9" ht="17">
      <c r="A54" s="1096">
        <v>41</v>
      </c>
      <c r="B54" s="1114" t="s">
        <v>1059</v>
      </c>
      <c r="C54" s="1098">
        <v>-36</v>
      </c>
      <c r="D54" s="1099">
        <v>-36</v>
      </c>
      <c r="E54" s="1098">
        <v>-36</v>
      </c>
      <c r="F54" s="1100">
        <v>-36</v>
      </c>
      <c r="G54" s="1187">
        <v>-36</v>
      </c>
      <c r="H54" s="1149"/>
      <c r="I54" s="1134"/>
    </row>
    <row r="55" spans="1:9">
      <c r="A55" s="976">
        <v>42</v>
      </c>
      <c r="B55" s="1101" t="s">
        <v>1060</v>
      </c>
      <c r="C55" s="1102">
        <v>206.5</v>
      </c>
      <c r="D55" s="1103">
        <v>206.7</v>
      </c>
      <c r="E55" s="1102">
        <v>206.9</v>
      </c>
      <c r="F55" s="1104">
        <v>207.1</v>
      </c>
      <c r="G55" s="1192">
        <v>207.8</v>
      </c>
      <c r="H55" s="1149"/>
      <c r="I55" s="1134"/>
    </row>
    <row r="56" spans="1:9">
      <c r="A56" s="1096">
        <v>43</v>
      </c>
      <c r="B56" s="1097" t="s">
        <v>1061</v>
      </c>
      <c r="C56" s="1098">
        <v>114</v>
      </c>
      <c r="D56" s="1099">
        <v>114.3</v>
      </c>
      <c r="E56" s="1098">
        <v>114.5</v>
      </c>
      <c r="F56" s="1100">
        <v>114.7</v>
      </c>
      <c r="G56" s="1187">
        <v>115.3</v>
      </c>
      <c r="H56" s="1149"/>
      <c r="I56" s="1134"/>
    </row>
    <row r="57" spans="1:9">
      <c r="A57" s="976">
        <v>44</v>
      </c>
      <c r="B57" s="1101" t="s">
        <v>1062</v>
      </c>
      <c r="C57" s="1102">
        <v>92.4</v>
      </c>
      <c r="D57" s="1103">
        <v>92.4</v>
      </c>
      <c r="E57" s="1102">
        <v>92.4</v>
      </c>
      <c r="F57" s="1115">
        <v>92.4</v>
      </c>
      <c r="G57" s="1192">
        <v>92.5</v>
      </c>
      <c r="H57" s="1149"/>
      <c r="I57" s="1134"/>
    </row>
    <row r="58" spans="1:9" ht="16" thickBot="1">
      <c r="A58" s="1116">
        <v>45</v>
      </c>
      <c r="B58" s="1117" t="s">
        <v>1063</v>
      </c>
      <c r="C58" s="1118">
        <v>3989.1</v>
      </c>
      <c r="D58" s="1119">
        <v>2622.3</v>
      </c>
      <c r="E58" s="1118">
        <v>6114.2</v>
      </c>
      <c r="F58" s="1120">
        <v>2814.2</v>
      </c>
      <c r="G58" s="1208">
        <v>2291.4</v>
      </c>
      <c r="H58" s="1149"/>
      <c r="I58" s="1134"/>
    </row>
    <row r="60" spans="1:9">
      <c r="A60" s="976" t="s">
        <v>1064</v>
      </c>
      <c r="B60" s="1121" t="s">
        <v>1065</v>
      </c>
    </row>
    <row r="61" spans="1:9">
      <c r="A61" s="976" t="s">
        <v>1066</v>
      </c>
      <c r="B61" s="1122" t="s">
        <v>1067</v>
      </c>
    </row>
    <row r="62" spans="1:9">
      <c r="A62" s="976" t="s">
        <v>1068</v>
      </c>
      <c r="B62" s="1122" t="s">
        <v>1069</v>
      </c>
    </row>
    <row r="63" spans="1:9">
      <c r="A63" s="976" t="s">
        <v>1070</v>
      </c>
      <c r="B63" s="1122" t="s">
        <v>1071</v>
      </c>
    </row>
    <row r="65" spans="1:1">
      <c r="A65" s="976" t="s">
        <v>1072</v>
      </c>
    </row>
    <row r="66" spans="1:1">
      <c r="A66" s="976" t="s">
        <v>1073</v>
      </c>
    </row>
    <row r="67" spans="1:1">
      <c r="A67" s="1123" t="s">
        <v>1074</v>
      </c>
    </row>
    <row r="68" spans="1:1">
      <c r="A68" s="1124" t="s">
        <v>1075</v>
      </c>
    </row>
    <row r="69" spans="1:1">
      <c r="A69" s="1125" t="s">
        <v>1076</v>
      </c>
    </row>
    <row r="70" spans="1:1">
      <c r="A70" s="1126" t="s">
        <v>1077</v>
      </c>
    </row>
    <row r="71" spans="1:1">
      <c r="A71" s="1126" t="s">
        <v>1078</v>
      </c>
    </row>
    <row r="72" spans="1:1">
      <c r="A72" s="1127" t="s">
        <v>1079</v>
      </c>
    </row>
    <row r="73" spans="1:1">
      <c r="A73" s="1125" t="s">
        <v>1080</v>
      </c>
    </row>
    <row r="74" spans="1:1">
      <c r="A74" s="1128" t="s">
        <v>1081</v>
      </c>
    </row>
    <row r="75" spans="1:1">
      <c r="A75" s="1129" t="s">
        <v>1082</v>
      </c>
    </row>
    <row r="76" spans="1:1">
      <c r="A76" s="1126" t="s">
        <v>1083</v>
      </c>
    </row>
    <row r="77" spans="1:1">
      <c r="A77" s="1126" t="s">
        <v>1084</v>
      </c>
    </row>
    <row r="78" spans="1:1">
      <c r="A78" s="1126" t="s">
        <v>1085</v>
      </c>
    </row>
    <row r="79" spans="1:1">
      <c r="A79" s="1126" t="s">
        <v>1086</v>
      </c>
    </row>
    <row r="80" spans="1:1">
      <c r="A80" s="1128" t="s">
        <v>1087</v>
      </c>
    </row>
    <row r="81" spans="1:1">
      <c r="A81" s="1130" t="s">
        <v>1088</v>
      </c>
    </row>
    <row r="83" spans="1:1">
      <c r="A83" s="976" t="s">
        <v>1089</v>
      </c>
    </row>
    <row r="84" spans="1:1">
      <c r="A84" s="976" t="s">
        <v>1090</v>
      </c>
    </row>
    <row r="85" spans="1:1">
      <c r="A85" s="1131" t="s">
        <v>1091</v>
      </c>
    </row>
    <row r="87" spans="1:1" ht="13.75" customHeight="1">
      <c r="A87" s="976" t="s">
        <v>1092</v>
      </c>
    </row>
    <row r="88" spans="1:1" ht="6" customHeight="1"/>
    <row r="89" spans="1:1">
      <c r="A89" s="976" t="s">
        <v>1093</v>
      </c>
    </row>
    <row r="91" spans="1:1">
      <c r="A91" s="1132"/>
    </row>
    <row r="92" spans="1:1">
      <c r="A92" s="1132"/>
    </row>
    <row r="93" spans="1:1">
      <c r="A93" s="1132"/>
    </row>
    <row r="99" spans="1:17">
      <c r="A99" s="1157"/>
      <c r="B99" s="1157"/>
      <c r="C99" s="1157"/>
      <c r="D99" s="1157"/>
      <c r="E99" s="1157"/>
      <c r="F99" s="1157"/>
      <c r="G99" s="1157"/>
      <c r="H99" s="1157"/>
      <c r="I99" s="1157"/>
      <c r="J99" s="1157"/>
      <c r="K99" s="1157"/>
      <c r="L99" s="1158"/>
      <c r="M99" s="1158"/>
      <c r="N99" s="1158"/>
      <c r="O99" s="1158"/>
      <c r="P99" s="1158"/>
      <c r="Q99" s="1158" t="s">
        <v>1098</v>
      </c>
    </row>
    <row r="100" spans="1:17">
      <c r="A100" s="1222" t="s">
        <v>1099</v>
      </c>
      <c r="B100" s="1222"/>
      <c r="C100" s="1222"/>
      <c r="D100" s="1222"/>
      <c r="E100" s="1222"/>
      <c r="F100" s="1222"/>
      <c r="G100" s="1222"/>
      <c r="H100" s="1222"/>
      <c r="I100" s="1222"/>
      <c r="J100" s="1222"/>
      <c r="K100" s="1222"/>
      <c r="L100" s="1222"/>
      <c r="M100" s="1222"/>
      <c r="N100" s="1222"/>
      <c r="O100" s="1222"/>
      <c r="P100" s="1222"/>
      <c r="Q100" s="1222"/>
    </row>
    <row r="101" spans="1:17">
      <c r="A101" s="1222" t="s">
        <v>1100</v>
      </c>
      <c r="B101" s="1222"/>
      <c r="C101" s="1222"/>
      <c r="D101" s="1222"/>
      <c r="E101" s="1222"/>
      <c r="F101" s="1222"/>
      <c r="G101" s="1222"/>
      <c r="H101" s="1222"/>
      <c r="I101" s="1222"/>
      <c r="J101" s="1222"/>
      <c r="K101" s="1222"/>
      <c r="L101" s="1222"/>
      <c r="M101" s="1222"/>
      <c r="N101" s="1222"/>
      <c r="O101" s="1222"/>
      <c r="P101" s="1222"/>
      <c r="Q101" s="1222"/>
    </row>
    <row r="102" spans="1:17" ht="16" thickBot="1">
      <c r="A102" s="1223"/>
      <c r="B102" s="1223"/>
      <c r="C102" s="1223"/>
      <c r="D102" s="1223"/>
      <c r="E102" s="1223"/>
      <c r="F102" s="1223"/>
      <c r="G102" s="1223"/>
      <c r="H102" s="1159"/>
      <c r="I102" s="1159"/>
      <c r="J102" s="1159"/>
      <c r="K102" s="1159"/>
      <c r="L102" s="1157"/>
      <c r="M102" s="1157"/>
      <c r="N102" s="1157"/>
      <c r="O102" s="1157"/>
      <c r="P102" s="1157"/>
      <c r="Q102" s="1157"/>
    </row>
    <row r="103" spans="1:17">
      <c r="A103" s="1160"/>
      <c r="B103" s="1161"/>
      <c r="C103" s="1224" t="s">
        <v>1101</v>
      </c>
      <c r="D103" s="1225"/>
      <c r="E103" s="1225"/>
      <c r="F103" s="1225"/>
      <c r="G103" s="1225"/>
      <c r="H103" s="1225"/>
      <c r="I103" s="1225"/>
      <c r="J103" s="1226"/>
    </row>
    <row r="104" spans="1:17">
      <c r="A104" s="1162" t="s">
        <v>1012</v>
      </c>
      <c r="B104" s="1161"/>
      <c r="C104" s="1217">
        <v>2020</v>
      </c>
      <c r="D104" s="1218"/>
      <c r="E104" s="1219"/>
      <c r="F104" s="1220">
        <v>2021</v>
      </c>
      <c r="G104" s="1218"/>
      <c r="H104" s="1218"/>
      <c r="I104" s="1218"/>
      <c r="J104" s="1221"/>
    </row>
    <row r="105" spans="1:17">
      <c r="A105" s="1163"/>
      <c r="B105" s="1164"/>
      <c r="C105" s="1165" t="s">
        <v>1102</v>
      </c>
      <c r="D105" s="1166" t="s">
        <v>1103</v>
      </c>
      <c r="E105" s="1167" t="s">
        <v>1104</v>
      </c>
      <c r="F105" s="1168" t="s">
        <v>546</v>
      </c>
      <c r="G105" s="1167" t="s">
        <v>547</v>
      </c>
      <c r="H105" s="1169" t="s">
        <v>548</v>
      </c>
      <c r="I105" s="1169" t="s">
        <v>549</v>
      </c>
      <c r="J105" s="1170" t="s">
        <v>1094</v>
      </c>
    </row>
    <row r="106" spans="1:17">
      <c r="A106" s="1171">
        <v>1</v>
      </c>
      <c r="B106" s="1172" t="s">
        <v>1013</v>
      </c>
      <c r="C106" s="1173">
        <v>19728.2</v>
      </c>
      <c r="D106" s="1174">
        <v>19544.400000000001</v>
      </c>
      <c r="E106" s="1175">
        <v>19677.099999999999</v>
      </c>
      <c r="F106" s="1174">
        <v>21688.799999999999</v>
      </c>
      <c r="G106" s="1175">
        <v>20195.599999999999</v>
      </c>
      <c r="H106" s="1174">
        <v>24420.5</v>
      </c>
      <c r="I106" s="1176">
        <v>21218.5</v>
      </c>
      <c r="J106" s="1176">
        <v>20804.2</v>
      </c>
    </row>
    <row r="107" spans="1:17">
      <c r="A107" s="1160">
        <v>2</v>
      </c>
      <c r="B107" s="1177" t="s">
        <v>1014</v>
      </c>
      <c r="C107" s="1178">
        <v>11759.7</v>
      </c>
      <c r="D107" s="1179">
        <v>11884.9</v>
      </c>
      <c r="E107" s="1180">
        <v>11973.5</v>
      </c>
      <c r="F107" s="1179">
        <v>12069.3</v>
      </c>
      <c r="G107" s="1180">
        <v>12085</v>
      </c>
      <c r="H107" s="1179">
        <v>12198</v>
      </c>
      <c r="I107" s="1181">
        <v>12307.1</v>
      </c>
      <c r="J107" s="1181">
        <v>12396.7</v>
      </c>
    </row>
    <row r="108" spans="1:17">
      <c r="A108" s="1182">
        <v>3</v>
      </c>
      <c r="B108" s="1183" t="s">
        <v>1015</v>
      </c>
      <c r="C108" s="1184">
        <v>9606.2999999999993</v>
      </c>
      <c r="D108" s="1185">
        <v>9715.7000000000007</v>
      </c>
      <c r="E108" s="1186">
        <v>9789.6</v>
      </c>
      <c r="F108" s="1185">
        <v>9866.7999999999993</v>
      </c>
      <c r="G108" s="1186">
        <v>9877.7999999999993</v>
      </c>
      <c r="H108" s="1185">
        <v>9978.4</v>
      </c>
      <c r="I108" s="1187">
        <v>10074.9</v>
      </c>
      <c r="J108" s="1187">
        <v>10152.799999999999</v>
      </c>
    </row>
    <row r="109" spans="1:17">
      <c r="A109" s="1157">
        <v>4</v>
      </c>
      <c r="B109" s="1188" t="s">
        <v>1016</v>
      </c>
      <c r="C109" s="1189">
        <v>8168.5</v>
      </c>
      <c r="D109" s="1190">
        <v>8279.7000000000007</v>
      </c>
      <c r="E109" s="1191">
        <v>8353</v>
      </c>
      <c r="F109" s="1190">
        <v>8421.5</v>
      </c>
      <c r="G109" s="1191">
        <v>8434.2999999999993</v>
      </c>
      <c r="H109" s="1190">
        <v>8528.9</v>
      </c>
      <c r="I109" s="1192">
        <v>8619.4</v>
      </c>
      <c r="J109" s="1192">
        <v>8692.2999999999993</v>
      </c>
    </row>
    <row r="110" spans="1:17">
      <c r="A110" s="1182">
        <v>5</v>
      </c>
      <c r="B110" s="1183" t="s">
        <v>1017</v>
      </c>
      <c r="C110" s="1184">
        <v>1437.7</v>
      </c>
      <c r="D110" s="1185">
        <v>1436</v>
      </c>
      <c r="E110" s="1186">
        <v>1436.5</v>
      </c>
      <c r="F110" s="1185">
        <v>1445.4</v>
      </c>
      <c r="G110" s="1186">
        <v>1443.5</v>
      </c>
      <c r="H110" s="1185">
        <v>1449.5</v>
      </c>
      <c r="I110" s="1187">
        <v>1455.5</v>
      </c>
      <c r="J110" s="1187">
        <v>1460.5</v>
      </c>
    </row>
    <row r="111" spans="1:17">
      <c r="A111" s="1157">
        <v>6</v>
      </c>
      <c r="B111" s="1188" t="s">
        <v>1018</v>
      </c>
      <c r="C111" s="1189">
        <v>2153.4</v>
      </c>
      <c r="D111" s="1190">
        <v>2169.1999999999998</v>
      </c>
      <c r="E111" s="1191">
        <v>2183.9</v>
      </c>
      <c r="F111" s="1190">
        <v>2202.4</v>
      </c>
      <c r="G111" s="1191">
        <v>2207.1999999999998</v>
      </c>
      <c r="H111" s="1190">
        <v>2219.6</v>
      </c>
      <c r="I111" s="1192">
        <v>2232.1999999999998</v>
      </c>
      <c r="J111" s="1192">
        <v>2243.9</v>
      </c>
    </row>
    <row r="112" spans="1:17">
      <c r="A112" s="1171">
        <v>7</v>
      </c>
      <c r="B112" s="1172" t="s">
        <v>1019</v>
      </c>
      <c r="C112" s="1173">
        <v>1918.4</v>
      </c>
      <c r="D112" s="1174">
        <v>1719.6</v>
      </c>
      <c r="E112" s="1175">
        <v>1641</v>
      </c>
      <c r="F112" s="1174">
        <v>1668.8</v>
      </c>
      <c r="G112" s="1175">
        <v>1719.9</v>
      </c>
      <c r="H112" s="1174">
        <v>1834.6</v>
      </c>
      <c r="I112" s="1176">
        <v>1892.4</v>
      </c>
      <c r="J112" s="1176">
        <v>1943.9</v>
      </c>
    </row>
    <row r="113" spans="1:10">
      <c r="A113" s="1157">
        <v>8</v>
      </c>
      <c r="B113" s="1188" t="s">
        <v>1020</v>
      </c>
      <c r="C113" s="1189">
        <v>150.69999999999999</v>
      </c>
      <c r="D113" s="1190">
        <v>79.599999999999994</v>
      </c>
      <c r="E113" s="1191">
        <v>71.3</v>
      </c>
      <c r="F113" s="1190">
        <v>59.4</v>
      </c>
      <c r="G113" s="1191">
        <v>65</v>
      </c>
      <c r="H113" s="1190">
        <v>71.900000000000006</v>
      </c>
      <c r="I113" s="1192">
        <v>82.9</v>
      </c>
      <c r="J113" s="1192">
        <v>87.9</v>
      </c>
    </row>
    <row r="114" spans="1:10">
      <c r="A114" s="1182"/>
      <c r="B114" s="1193" t="s">
        <v>1021</v>
      </c>
      <c r="C114" s="1184"/>
      <c r="D114" s="1185"/>
      <c r="E114" s="1186"/>
      <c r="F114" s="1185"/>
      <c r="G114" s="1186"/>
      <c r="H114" s="1185"/>
      <c r="I114" s="1187"/>
      <c r="J114" s="1187"/>
    </row>
    <row r="115" spans="1:10" ht="17">
      <c r="A115" s="1182">
        <v>9</v>
      </c>
      <c r="B115" s="1183" t="s">
        <v>1105</v>
      </c>
      <c r="C115" s="1184">
        <v>92.5</v>
      </c>
      <c r="D115" s="1185">
        <v>26.3</v>
      </c>
      <c r="E115" s="1186">
        <v>20</v>
      </c>
      <c r="F115" s="1185">
        <v>2.4</v>
      </c>
      <c r="G115" s="1186">
        <v>0.4</v>
      </c>
      <c r="H115" s="1185">
        <v>0</v>
      </c>
      <c r="I115" s="1187">
        <v>3</v>
      </c>
      <c r="J115" s="1187">
        <v>1.4</v>
      </c>
    </row>
    <row r="116" spans="1:10" ht="17">
      <c r="A116" s="1157">
        <v>10</v>
      </c>
      <c r="B116" s="1194" t="s">
        <v>1106</v>
      </c>
      <c r="C116" s="1189">
        <v>6.3</v>
      </c>
      <c r="D116" s="1190">
        <v>1.8</v>
      </c>
      <c r="E116" s="1191">
        <v>0.2</v>
      </c>
      <c r="F116" s="1190">
        <v>1.8</v>
      </c>
      <c r="G116" s="1191">
        <v>5</v>
      </c>
      <c r="H116" s="1190">
        <v>7.9</v>
      </c>
      <c r="I116" s="1192">
        <v>10.4</v>
      </c>
      <c r="J116" s="1192">
        <v>11.8</v>
      </c>
    </row>
    <row r="117" spans="1:10">
      <c r="A117" s="1182">
        <v>11</v>
      </c>
      <c r="B117" s="1183" t="s">
        <v>1025</v>
      </c>
      <c r="C117" s="1184">
        <v>1767.7</v>
      </c>
      <c r="D117" s="1185">
        <v>1640</v>
      </c>
      <c r="E117" s="1186">
        <v>1569.8</v>
      </c>
      <c r="F117" s="1185">
        <v>1609.4</v>
      </c>
      <c r="G117" s="1186">
        <v>1654.9</v>
      </c>
      <c r="H117" s="1185">
        <v>1762.7</v>
      </c>
      <c r="I117" s="1187">
        <v>1809.5</v>
      </c>
      <c r="J117" s="1187">
        <v>1856</v>
      </c>
    </row>
    <row r="118" spans="1:10">
      <c r="A118" s="1157"/>
      <c r="B118" s="1195" t="s">
        <v>1026</v>
      </c>
      <c r="C118" s="1189"/>
      <c r="D118" s="1190"/>
      <c r="E118" s="1191"/>
      <c r="F118" s="1190"/>
      <c r="G118" s="1191"/>
      <c r="H118" s="1190"/>
      <c r="I118" s="1192"/>
      <c r="J118" s="1192"/>
    </row>
    <row r="119" spans="1:10" ht="17">
      <c r="A119" s="1157">
        <v>12</v>
      </c>
      <c r="B119" s="1194" t="s">
        <v>1106</v>
      </c>
      <c r="C119" s="1189">
        <v>203.4</v>
      </c>
      <c r="D119" s="1190">
        <v>58.4</v>
      </c>
      <c r="E119" s="1191">
        <v>6.2</v>
      </c>
      <c r="F119" s="1190">
        <v>27.9</v>
      </c>
      <c r="G119" s="1191">
        <v>78.3</v>
      </c>
      <c r="H119" s="1190">
        <v>124</v>
      </c>
      <c r="I119" s="1192">
        <v>163.69999999999999</v>
      </c>
      <c r="J119" s="1192">
        <v>184.6</v>
      </c>
    </row>
    <row r="120" spans="1:10">
      <c r="A120" s="1171">
        <v>13</v>
      </c>
      <c r="B120" s="1172" t="s">
        <v>1027</v>
      </c>
      <c r="C120" s="1173">
        <v>807.4</v>
      </c>
      <c r="D120" s="1174">
        <v>804.3</v>
      </c>
      <c r="E120" s="1175">
        <v>801.3</v>
      </c>
      <c r="F120" s="1174">
        <v>806.4</v>
      </c>
      <c r="G120" s="1175">
        <v>811.7</v>
      </c>
      <c r="H120" s="1174">
        <v>817.9</v>
      </c>
      <c r="I120" s="1176">
        <v>824.6</v>
      </c>
      <c r="J120" s="1176">
        <v>831</v>
      </c>
    </row>
    <row r="121" spans="1:10">
      <c r="A121" s="1160">
        <v>14</v>
      </c>
      <c r="B121" s="1177" t="s">
        <v>1028</v>
      </c>
      <c r="C121" s="1178">
        <v>2858.3</v>
      </c>
      <c r="D121" s="1179">
        <v>2894.7</v>
      </c>
      <c r="E121" s="1180">
        <v>2959.9</v>
      </c>
      <c r="F121" s="1179">
        <v>2882.4</v>
      </c>
      <c r="G121" s="1180">
        <v>2899.6</v>
      </c>
      <c r="H121" s="1179">
        <v>2909.5</v>
      </c>
      <c r="I121" s="1181">
        <v>2923.8</v>
      </c>
      <c r="J121" s="1181">
        <v>2935</v>
      </c>
    </row>
    <row r="122" spans="1:10">
      <c r="A122" s="1182">
        <v>15</v>
      </c>
      <c r="B122" s="1183" t="s">
        <v>1029</v>
      </c>
      <c r="C122" s="1184">
        <v>1622</v>
      </c>
      <c r="D122" s="1185">
        <v>1624.2</v>
      </c>
      <c r="E122" s="1186">
        <v>1626.6</v>
      </c>
      <c r="F122" s="1185">
        <v>1637</v>
      </c>
      <c r="G122" s="1186">
        <v>1647.4</v>
      </c>
      <c r="H122" s="1185">
        <v>1657.7</v>
      </c>
      <c r="I122" s="1187">
        <v>1662.2</v>
      </c>
      <c r="J122" s="1187">
        <v>1666.7</v>
      </c>
    </row>
    <row r="123" spans="1:10">
      <c r="A123" s="1157">
        <v>16</v>
      </c>
      <c r="B123" s="1188" t="s">
        <v>1030</v>
      </c>
      <c r="C123" s="1189">
        <v>1236.4000000000001</v>
      </c>
      <c r="D123" s="1190">
        <v>1270.5</v>
      </c>
      <c r="E123" s="1191">
        <v>1333.2</v>
      </c>
      <c r="F123" s="1190">
        <v>1245.4000000000001</v>
      </c>
      <c r="G123" s="1191">
        <v>1252.2</v>
      </c>
      <c r="H123" s="1190">
        <v>1251.8</v>
      </c>
      <c r="I123" s="1192">
        <v>1261.5999999999999</v>
      </c>
      <c r="J123" s="1192">
        <v>1268.3</v>
      </c>
    </row>
    <row r="124" spans="1:10">
      <c r="A124" s="1171">
        <v>17</v>
      </c>
      <c r="B124" s="1172" t="s">
        <v>1031</v>
      </c>
      <c r="C124" s="1173">
        <v>3855.4</v>
      </c>
      <c r="D124" s="1174">
        <v>3725</v>
      </c>
      <c r="E124" s="1175">
        <v>3795.8</v>
      </c>
      <c r="F124" s="1174">
        <v>5779.2</v>
      </c>
      <c r="G124" s="1175">
        <v>4198.5</v>
      </c>
      <c r="H124" s="1174">
        <v>8192.7999999999993</v>
      </c>
      <c r="I124" s="1176">
        <v>4816</v>
      </c>
      <c r="J124" s="1176">
        <v>4253.8999999999996</v>
      </c>
    </row>
    <row r="125" spans="1:10">
      <c r="A125" s="1157">
        <v>18</v>
      </c>
      <c r="B125" s="1188" t="s">
        <v>1032</v>
      </c>
      <c r="C125" s="1189">
        <v>3809.3</v>
      </c>
      <c r="D125" s="1190">
        <v>3678.8</v>
      </c>
      <c r="E125" s="1191">
        <v>3749.4</v>
      </c>
      <c r="F125" s="1190">
        <v>5732.6</v>
      </c>
      <c r="G125" s="1191">
        <v>4151.6000000000004</v>
      </c>
      <c r="H125" s="1190">
        <v>8145.8</v>
      </c>
      <c r="I125" s="1192">
        <v>4768.8</v>
      </c>
      <c r="J125" s="1192">
        <v>4206.5</v>
      </c>
    </row>
    <row r="126" spans="1:10">
      <c r="A126" s="1182">
        <v>19</v>
      </c>
      <c r="B126" s="1183" t="s">
        <v>1033</v>
      </c>
      <c r="C126" s="1184">
        <v>1091.2</v>
      </c>
      <c r="D126" s="1185">
        <v>1087.5999999999999</v>
      </c>
      <c r="E126" s="1186">
        <v>1090</v>
      </c>
      <c r="F126" s="1185">
        <v>1105.0999999999999</v>
      </c>
      <c r="G126" s="1186">
        <v>1107.2</v>
      </c>
      <c r="H126" s="1185">
        <v>1110.3</v>
      </c>
      <c r="I126" s="1187">
        <v>1108.9000000000001</v>
      </c>
      <c r="J126" s="1187">
        <v>1110.5</v>
      </c>
    </row>
    <row r="127" spans="1:10">
      <c r="A127" s="1157">
        <v>20</v>
      </c>
      <c r="B127" s="1188" t="s">
        <v>1034</v>
      </c>
      <c r="C127" s="1189">
        <v>854</v>
      </c>
      <c r="D127" s="1190">
        <v>860.4</v>
      </c>
      <c r="E127" s="1191">
        <v>867.3</v>
      </c>
      <c r="F127" s="1190">
        <v>873.9</v>
      </c>
      <c r="G127" s="1191">
        <v>880.2</v>
      </c>
      <c r="H127" s="1190">
        <v>886.2</v>
      </c>
      <c r="I127" s="1192">
        <v>890.9</v>
      </c>
      <c r="J127" s="1192">
        <v>895.7</v>
      </c>
    </row>
    <row r="128" spans="1:10">
      <c r="A128" s="1182"/>
      <c r="B128" s="1193" t="s">
        <v>1035</v>
      </c>
      <c r="C128" s="1184"/>
      <c r="D128" s="1185"/>
      <c r="E128" s="1186"/>
      <c r="F128" s="1185"/>
      <c r="G128" s="1186"/>
      <c r="H128" s="1185"/>
      <c r="I128" s="1187"/>
      <c r="J128" s="1187"/>
    </row>
    <row r="129" spans="1:10" ht="17">
      <c r="A129" s="1182">
        <v>21</v>
      </c>
      <c r="B129" s="1183" t="s">
        <v>1107</v>
      </c>
      <c r="C129" s="1184">
        <v>15</v>
      </c>
      <c r="D129" s="1185">
        <v>15.1</v>
      </c>
      <c r="E129" s="1186">
        <v>15.2</v>
      </c>
      <c r="F129" s="1185">
        <v>15.3</v>
      </c>
      <c r="G129" s="1186">
        <v>15.5</v>
      </c>
      <c r="H129" s="1185">
        <v>15.6</v>
      </c>
      <c r="I129" s="1187">
        <v>15.7</v>
      </c>
      <c r="J129" s="1187">
        <v>15.7</v>
      </c>
    </row>
    <row r="130" spans="1:10">
      <c r="A130" s="1157">
        <v>22</v>
      </c>
      <c r="B130" s="1188" t="s">
        <v>1037</v>
      </c>
      <c r="C130" s="1189">
        <v>680.5</v>
      </c>
      <c r="D130" s="1190">
        <v>682</v>
      </c>
      <c r="E130" s="1191">
        <v>684.8</v>
      </c>
      <c r="F130" s="1190">
        <v>692.3</v>
      </c>
      <c r="G130" s="1191">
        <v>699.8</v>
      </c>
      <c r="H130" s="1190">
        <v>708.1</v>
      </c>
      <c r="I130" s="1192">
        <v>717.4</v>
      </c>
      <c r="J130" s="1192">
        <v>723.7</v>
      </c>
    </row>
    <row r="131" spans="1:10">
      <c r="A131" s="1182">
        <v>23</v>
      </c>
      <c r="B131" s="1183" t="s">
        <v>1038</v>
      </c>
      <c r="C131" s="1184">
        <v>304.3</v>
      </c>
      <c r="D131" s="1185">
        <v>280.8</v>
      </c>
      <c r="E131" s="1186">
        <v>304.3</v>
      </c>
      <c r="F131" s="1185">
        <v>556.4</v>
      </c>
      <c r="G131" s="1186">
        <v>535.4</v>
      </c>
      <c r="H131" s="1185">
        <v>541.20000000000005</v>
      </c>
      <c r="I131" s="1187">
        <v>495.1</v>
      </c>
      <c r="J131" s="1187">
        <v>458.8</v>
      </c>
    </row>
    <row r="132" spans="1:10" ht="17">
      <c r="A132" s="1157"/>
      <c r="B132" s="1196" t="s">
        <v>1108</v>
      </c>
      <c r="C132" s="1189"/>
      <c r="D132" s="1190"/>
      <c r="E132" s="1191"/>
      <c r="F132" s="1190"/>
      <c r="G132" s="1191"/>
      <c r="H132" s="1190"/>
      <c r="I132" s="1192"/>
      <c r="J132" s="1192"/>
    </row>
    <row r="133" spans="1:10">
      <c r="A133" s="1157">
        <v>24</v>
      </c>
      <c r="B133" s="1197" t="s">
        <v>1040</v>
      </c>
      <c r="C133" s="1189">
        <v>7.9</v>
      </c>
      <c r="D133" s="1190">
        <v>9.6999999999999993</v>
      </c>
      <c r="E133" s="1191">
        <v>15.4</v>
      </c>
      <c r="F133" s="1190">
        <v>23.8</v>
      </c>
      <c r="G133" s="1191">
        <v>19.3</v>
      </c>
      <c r="H133" s="1190">
        <v>12.7</v>
      </c>
      <c r="I133" s="1192">
        <v>7.2</v>
      </c>
      <c r="J133" s="1192">
        <v>3.7</v>
      </c>
    </row>
    <row r="134" spans="1:10">
      <c r="A134" s="1182">
        <v>25</v>
      </c>
      <c r="B134" s="1198" t="s">
        <v>1041</v>
      </c>
      <c r="C134" s="1184">
        <v>59</v>
      </c>
      <c r="D134" s="1185">
        <v>68.3</v>
      </c>
      <c r="E134" s="1186">
        <v>63.7</v>
      </c>
      <c r="F134" s="1185">
        <v>61.4</v>
      </c>
      <c r="G134" s="1186">
        <v>75.900000000000006</v>
      </c>
      <c r="H134" s="1185">
        <v>85</v>
      </c>
      <c r="I134" s="1187">
        <v>80.2</v>
      </c>
      <c r="J134" s="1187">
        <v>81.3</v>
      </c>
    </row>
    <row r="135" spans="1:10">
      <c r="A135" s="1157">
        <v>26</v>
      </c>
      <c r="B135" s="1199" t="s">
        <v>1042</v>
      </c>
      <c r="C135" s="1189">
        <v>120.1</v>
      </c>
      <c r="D135" s="1190">
        <v>112.2</v>
      </c>
      <c r="E135" s="1191">
        <v>98.6</v>
      </c>
      <c r="F135" s="1190">
        <v>97.3</v>
      </c>
      <c r="G135" s="1191">
        <v>98.9</v>
      </c>
      <c r="H135" s="1190">
        <v>95.2</v>
      </c>
      <c r="I135" s="1192">
        <v>92.6</v>
      </c>
      <c r="J135" s="1192">
        <v>83.8</v>
      </c>
    </row>
    <row r="136" spans="1:10">
      <c r="A136" s="1182">
        <v>27</v>
      </c>
      <c r="B136" s="1198" t="s">
        <v>1043</v>
      </c>
      <c r="C136" s="1184">
        <v>0</v>
      </c>
      <c r="D136" s="1185">
        <v>0</v>
      </c>
      <c r="E136" s="1186">
        <v>40.9</v>
      </c>
      <c r="F136" s="1185">
        <v>294.5</v>
      </c>
      <c r="G136" s="1186">
        <v>270.39999999999998</v>
      </c>
      <c r="H136" s="1185">
        <v>286</v>
      </c>
      <c r="I136" s="1187">
        <v>254.8</v>
      </c>
      <c r="J136" s="1187">
        <v>229.8</v>
      </c>
    </row>
    <row r="137" spans="1:10">
      <c r="A137" s="1157">
        <v>28</v>
      </c>
      <c r="B137" s="1188" t="s">
        <v>1044</v>
      </c>
      <c r="C137" s="1189">
        <v>147.30000000000001</v>
      </c>
      <c r="D137" s="1190">
        <v>148.30000000000001</v>
      </c>
      <c r="E137" s="1191">
        <v>149.19999999999999</v>
      </c>
      <c r="F137" s="1190">
        <v>150.19999999999999</v>
      </c>
      <c r="G137" s="1191">
        <v>150.9</v>
      </c>
      <c r="H137" s="1190">
        <v>151.69999999999999</v>
      </c>
      <c r="I137" s="1192">
        <v>152.4</v>
      </c>
      <c r="J137" s="1192">
        <v>153.1</v>
      </c>
    </row>
    <row r="138" spans="1:10">
      <c r="A138" s="1182">
        <v>29</v>
      </c>
      <c r="B138" s="1183" t="s">
        <v>1045</v>
      </c>
      <c r="C138" s="1184">
        <v>732</v>
      </c>
      <c r="D138" s="1185">
        <v>619.70000000000005</v>
      </c>
      <c r="E138" s="1186">
        <v>653.9</v>
      </c>
      <c r="F138" s="1185">
        <v>2354.6999999999998</v>
      </c>
      <c r="G138" s="1186">
        <v>778.1</v>
      </c>
      <c r="H138" s="1185">
        <v>4748.2</v>
      </c>
      <c r="I138" s="1187">
        <v>1404.1</v>
      </c>
      <c r="J138" s="1187">
        <v>864.7</v>
      </c>
    </row>
    <row r="139" spans="1:10">
      <c r="A139" s="1157"/>
      <c r="B139" s="1196" t="s">
        <v>1046</v>
      </c>
      <c r="C139" s="1189"/>
      <c r="D139" s="1190"/>
      <c r="E139" s="1191"/>
      <c r="F139" s="1190"/>
      <c r="G139" s="1191"/>
      <c r="H139" s="1190"/>
      <c r="I139" s="1192"/>
      <c r="J139" s="1192"/>
    </row>
    <row r="140" spans="1:10" ht="17">
      <c r="A140" s="1157">
        <v>30</v>
      </c>
      <c r="B140" s="1197" t="s">
        <v>1109</v>
      </c>
      <c r="C140" s="1189">
        <v>14.1</v>
      </c>
      <c r="D140" s="1190">
        <v>1.1000000000000001</v>
      </c>
      <c r="E140" s="1191">
        <v>0</v>
      </c>
      <c r="F140" s="1190">
        <v>1660.9</v>
      </c>
      <c r="G140" s="1191">
        <v>95.9</v>
      </c>
      <c r="H140" s="1190">
        <v>4044.2</v>
      </c>
      <c r="I140" s="1192">
        <v>688</v>
      </c>
      <c r="J140" s="1192">
        <v>128.6</v>
      </c>
    </row>
    <row r="141" spans="1:10" ht="17">
      <c r="A141" s="1182">
        <v>31</v>
      </c>
      <c r="B141" s="1200" t="s">
        <v>1110</v>
      </c>
      <c r="C141" s="1184">
        <v>86.2</v>
      </c>
      <c r="D141" s="1185">
        <v>12.5</v>
      </c>
      <c r="E141" s="1186">
        <v>8.8000000000000007</v>
      </c>
      <c r="F141" s="1185">
        <v>2.1</v>
      </c>
      <c r="G141" s="1186">
        <v>0.7</v>
      </c>
      <c r="H141" s="1185">
        <v>2.1</v>
      </c>
      <c r="I141" s="1187">
        <v>0.8</v>
      </c>
      <c r="J141" s="1187">
        <v>0.6</v>
      </c>
    </row>
    <row r="142" spans="1:10" ht="17">
      <c r="A142" s="1157">
        <v>32</v>
      </c>
      <c r="B142" s="1194" t="s">
        <v>1111</v>
      </c>
      <c r="C142" s="1189">
        <v>27</v>
      </c>
      <c r="D142" s="1190">
        <v>5.0999999999999996</v>
      </c>
      <c r="E142" s="1191">
        <v>0.3</v>
      </c>
      <c r="F142" s="1190">
        <v>4.2</v>
      </c>
      <c r="G142" s="1191">
        <v>11</v>
      </c>
      <c r="H142" s="1190">
        <v>17.3</v>
      </c>
      <c r="I142" s="1192">
        <v>22.8</v>
      </c>
      <c r="J142" s="1192">
        <v>25.7</v>
      </c>
    </row>
    <row r="143" spans="1:10" ht="17">
      <c r="A143" s="1182">
        <v>33</v>
      </c>
      <c r="B143" s="1183" t="s">
        <v>1112</v>
      </c>
      <c r="C143" s="1184">
        <v>23.9</v>
      </c>
      <c r="D143" s="1185">
        <v>17.600000000000001</v>
      </c>
      <c r="E143" s="1186">
        <v>62</v>
      </c>
      <c r="F143" s="1185">
        <v>56.9</v>
      </c>
      <c r="G143" s="1186">
        <v>28.7</v>
      </c>
      <c r="H143" s="1185">
        <v>43.4</v>
      </c>
      <c r="I143" s="1187">
        <v>27.6</v>
      </c>
      <c r="J143" s="1187">
        <v>28.4</v>
      </c>
    </row>
    <row r="144" spans="1:10">
      <c r="A144" s="1157">
        <v>34</v>
      </c>
      <c r="B144" s="1188" t="s">
        <v>1051</v>
      </c>
      <c r="C144" s="1189">
        <v>46.1</v>
      </c>
      <c r="D144" s="1190">
        <v>46.2</v>
      </c>
      <c r="E144" s="1191">
        <v>46.4</v>
      </c>
      <c r="F144" s="1190">
        <v>46.7</v>
      </c>
      <c r="G144" s="1191">
        <v>46.9</v>
      </c>
      <c r="H144" s="1190">
        <v>47</v>
      </c>
      <c r="I144" s="1192">
        <v>47.2</v>
      </c>
      <c r="J144" s="1192">
        <v>47.4</v>
      </c>
    </row>
    <row r="145" spans="1:17">
      <c r="A145" s="1171">
        <v>35</v>
      </c>
      <c r="B145" s="1172" t="s">
        <v>1052</v>
      </c>
      <c r="C145" s="1173">
        <v>1470.9</v>
      </c>
      <c r="D145" s="1174">
        <v>1484.1</v>
      </c>
      <c r="E145" s="1175">
        <v>1494.4</v>
      </c>
      <c r="F145" s="1174">
        <v>1517.3</v>
      </c>
      <c r="G145" s="1175">
        <v>1519</v>
      </c>
      <c r="H145" s="1174">
        <v>1532.3</v>
      </c>
      <c r="I145" s="1176">
        <v>1545.4</v>
      </c>
      <c r="J145" s="1176">
        <v>1556.3</v>
      </c>
    </row>
    <row r="146" spans="1:17">
      <c r="A146" s="1160">
        <v>36</v>
      </c>
      <c r="B146" s="1177" t="s">
        <v>1053</v>
      </c>
      <c r="C146" s="1178">
        <v>2251.6999999999998</v>
      </c>
      <c r="D146" s="1179">
        <v>2271.5</v>
      </c>
      <c r="E146" s="1180">
        <v>2287.3000000000002</v>
      </c>
      <c r="F146" s="1179">
        <v>2291.9</v>
      </c>
      <c r="G146" s="1180">
        <v>2309.6</v>
      </c>
      <c r="H146" s="1179">
        <v>2340.8000000000002</v>
      </c>
      <c r="I146" s="1181">
        <v>2363.1999999999998</v>
      </c>
      <c r="J146" s="1181">
        <v>2385.1</v>
      </c>
    </row>
    <row r="147" spans="1:17">
      <c r="A147" s="1171">
        <v>37</v>
      </c>
      <c r="B147" s="1172" t="s">
        <v>1054</v>
      </c>
      <c r="C147" s="1173">
        <v>17476.5</v>
      </c>
      <c r="D147" s="1174">
        <v>17273</v>
      </c>
      <c r="E147" s="1175">
        <v>17389.8</v>
      </c>
      <c r="F147" s="1174">
        <v>19396.900000000001</v>
      </c>
      <c r="G147" s="1175">
        <v>17886.099999999999</v>
      </c>
      <c r="H147" s="1174">
        <v>22079.599999999999</v>
      </c>
      <c r="I147" s="1176">
        <v>18855.400000000001</v>
      </c>
      <c r="J147" s="1176">
        <v>18419.099999999999</v>
      </c>
    </row>
    <row r="148" spans="1:17">
      <c r="A148" s="1160">
        <v>38</v>
      </c>
      <c r="B148" s="1177" t="s">
        <v>1055</v>
      </c>
      <c r="C148" s="1178">
        <v>15115.4</v>
      </c>
      <c r="D148" s="1179">
        <v>15008.2</v>
      </c>
      <c r="E148" s="1180">
        <v>14913.7</v>
      </c>
      <c r="F148" s="1179">
        <v>15384.5</v>
      </c>
      <c r="G148" s="1180">
        <v>15237.3</v>
      </c>
      <c r="H148" s="1179">
        <v>15978.4</v>
      </c>
      <c r="I148" s="1181">
        <v>16122.2</v>
      </c>
      <c r="J148" s="1181">
        <v>16127.7</v>
      </c>
    </row>
    <row r="149" spans="1:17">
      <c r="A149" s="1182">
        <v>39</v>
      </c>
      <c r="B149" s="1183" t="s">
        <v>1056</v>
      </c>
      <c r="C149" s="1184">
        <v>14627.1</v>
      </c>
      <c r="D149" s="1185">
        <v>14532.8</v>
      </c>
      <c r="E149" s="1186">
        <v>14451.1</v>
      </c>
      <c r="F149" s="1185">
        <v>14921.1</v>
      </c>
      <c r="G149" s="1186">
        <v>14774</v>
      </c>
      <c r="H149" s="1185">
        <v>15515.3</v>
      </c>
      <c r="I149" s="1187">
        <v>15656.4</v>
      </c>
      <c r="J149" s="1187">
        <v>15659.3</v>
      </c>
    </row>
    <row r="150" spans="1:17">
      <c r="A150" s="1157">
        <v>40</v>
      </c>
      <c r="B150" s="1188" t="s">
        <v>1057</v>
      </c>
      <c r="C150" s="1189">
        <v>283.5</v>
      </c>
      <c r="D150" s="1190">
        <v>270.5</v>
      </c>
      <c r="E150" s="1191">
        <v>257.39999999999998</v>
      </c>
      <c r="F150" s="1190">
        <v>256.89999999999998</v>
      </c>
      <c r="G150" s="1191">
        <v>256.39999999999998</v>
      </c>
      <c r="H150" s="1190">
        <v>255.9</v>
      </c>
      <c r="I150" s="1192">
        <v>258.3</v>
      </c>
      <c r="J150" s="1192">
        <v>260.60000000000002</v>
      </c>
    </row>
    <row r="151" spans="1:17">
      <c r="A151" s="1182"/>
      <c r="B151" s="1201" t="s">
        <v>1058</v>
      </c>
      <c r="C151" s="1184"/>
      <c r="D151" s="1185"/>
      <c r="E151" s="1186"/>
      <c r="F151" s="1185"/>
      <c r="G151" s="1186"/>
      <c r="H151" s="1185"/>
      <c r="I151" s="1187"/>
      <c r="J151" s="1187"/>
    </row>
    <row r="152" spans="1:17" ht="17">
      <c r="A152" s="1182">
        <v>41</v>
      </c>
      <c r="B152" s="1198" t="s">
        <v>1113</v>
      </c>
      <c r="C152" s="1184">
        <v>-36</v>
      </c>
      <c r="D152" s="1185">
        <v>-36</v>
      </c>
      <c r="E152" s="1186">
        <v>-36</v>
      </c>
      <c r="F152" s="1185">
        <v>-36</v>
      </c>
      <c r="G152" s="1186">
        <v>-36</v>
      </c>
      <c r="H152" s="1185">
        <v>-36</v>
      </c>
      <c r="I152" s="1187">
        <v>-36</v>
      </c>
      <c r="J152" s="1187">
        <v>-36</v>
      </c>
    </row>
    <row r="153" spans="1:17">
      <c r="A153" s="1157">
        <v>42</v>
      </c>
      <c r="B153" s="1188" t="s">
        <v>1060</v>
      </c>
      <c r="C153" s="1189">
        <v>204.7</v>
      </c>
      <c r="D153" s="1190">
        <v>205</v>
      </c>
      <c r="E153" s="1191">
        <v>205.2</v>
      </c>
      <c r="F153" s="1190">
        <v>206.6</v>
      </c>
      <c r="G153" s="1191">
        <v>206.9</v>
      </c>
      <c r="H153" s="1190">
        <v>207.2</v>
      </c>
      <c r="I153" s="1192">
        <v>207.5</v>
      </c>
      <c r="J153" s="1192">
        <v>207.8</v>
      </c>
    </row>
    <row r="154" spans="1:17">
      <c r="A154" s="1182">
        <v>43</v>
      </c>
      <c r="B154" s="1183" t="s">
        <v>1061</v>
      </c>
      <c r="C154" s="1184">
        <v>113.3</v>
      </c>
      <c r="D154" s="1185">
        <v>113.6</v>
      </c>
      <c r="E154" s="1186">
        <v>113.8</v>
      </c>
      <c r="F154" s="1185">
        <v>114</v>
      </c>
      <c r="G154" s="1186">
        <v>114.4</v>
      </c>
      <c r="H154" s="1185">
        <v>114.7</v>
      </c>
      <c r="I154" s="1187">
        <v>115</v>
      </c>
      <c r="J154" s="1187">
        <v>115.3</v>
      </c>
    </row>
    <row r="155" spans="1:17">
      <c r="A155" s="1157">
        <v>44</v>
      </c>
      <c r="B155" s="1188" t="s">
        <v>1062</v>
      </c>
      <c r="C155" s="1189">
        <v>91.4</v>
      </c>
      <c r="D155" s="1190">
        <v>91.4</v>
      </c>
      <c r="E155" s="1191">
        <v>91.4</v>
      </c>
      <c r="F155" s="1190">
        <v>92.5</v>
      </c>
      <c r="G155" s="1191">
        <v>92.5</v>
      </c>
      <c r="H155" s="1190">
        <v>92.5</v>
      </c>
      <c r="I155" s="1192">
        <v>92.5</v>
      </c>
      <c r="J155" s="1192">
        <v>92.5</v>
      </c>
    </row>
    <row r="156" spans="1:17" ht="16" thickBot="1">
      <c r="A156" s="1203">
        <v>45</v>
      </c>
      <c r="B156" s="1204" t="s">
        <v>1063</v>
      </c>
      <c r="C156" s="1205">
        <v>2361.1</v>
      </c>
      <c r="D156" s="1206">
        <v>2264.6999999999998</v>
      </c>
      <c r="E156" s="1207">
        <v>2476</v>
      </c>
      <c r="F156" s="1206">
        <v>4012.4</v>
      </c>
      <c r="G156" s="1207">
        <v>2648.8</v>
      </c>
      <c r="H156" s="1206">
        <v>6101.2</v>
      </c>
      <c r="I156" s="1208">
        <v>2733.2</v>
      </c>
      <c r="J156" s="1208">
        <v>2291.4</v>
      </c>
    </row>
    <row r="157" spans="1:17">
      <c r="A157" s="1157"/>
      <c r="B157" s="1157"/>
      <c r="C157" s="1157"/>
      <c r="D157" s="1157"/>
      <c r="E157" s="1157"/>
      <c r="F157" s="1157"/>
      <c r="G157" s="1157"/>
      <c r="H157" s="1157"/>
      <c r="I157" s="1157"/>
      <c r="J157" s="1157"/>
      <c r="K157" s="1157"/>
      <c r="L157" s="1157"/>
      <c r="M157" s="1157"/>
      <c r="N157" s="1157"/>
      <c r="O157" s="1157"/>
      <c r="P157" s="1157"/>
      <c r="Q157" s="1157"/>
    </row>
    <row r="158" spans="1:17">
      <c r="A158" s="1157" t="s">
        <v>1064</v>
      </c>
      <c r="B158" s="1202" t="s">
        <v>1065</v>
      </c>
      <c r="C158" s="1157"/>
      <c r="D158" s="1157"/>
      <c r="E158" s="1157"/>
      <c r="F158" s="1157"/>
      <c r="G158" s="1157"/>
      <c r="H158" s="1157"/>
      <c r="I158" s="1157"/>
      <c r="J158" s="1157"/>
      <c r="K158" s="1157"/>
      <c r="L158" s="1157"/>
      <c r="M158" s="1157"/>
      <c r="N158" s="1157"/>
      <c r="O158" s="1157"/>
      <c r="P158" s="1157"/>
      <c r="Q158" s="1157"/>
    </row>
    <row r="159" spans="1:17">
      <c r="A159" s="1157" t="s">
        <v>1066</v>
      </c>
      <c r="B159" s="1157" t="s">
        <v>1067</v>
      </c>
      <c r="C159" s="1157"/>
      <c r="D159" s="1157"/>
      <c r="E159" s="1157"/>
      <c r="F159" s="1157"/>
      <c r="G159" s="1157"/>
      <c r="H159" s="1157"/>
      <c r="I159" s="1157"/>
      <c r="J159" s="1157"/>
      <c r="K159" s="1157"/>
      <c r="L159" s="1157"/>
      <c r="M159" s="1157"/>
      <c r="N159" s="1157"/>
      <c r="O159" s="1157"/>
      <c r="P159" s="1157"/>
      <c r="Q159" s="1157"/>
    </row>
    <row r="160" spans="1:17">
      <c r="A160" s="1157" t="s">
        <v>1068</v>
      </c>
      <c r="B160" s="1157" t="s">
        <v>1069</v>
      </c>
      <c r="C160" s="1157"/>
      <c r="D160" s="1157"/>
      <c r="E160" s="1157"/>
      <c r="F160" s="1157"/>
      <c r="G160" s="1157"/>
      <c r="H160" s="1157"/>
      <c r="I160" s="1157"/>
      <c r="J160" s="1157"/>
      <c r="K160" s="1157"/>
      <c r="L160" s="1157"/>
      <c r="M160" s="1157"/>
      <c r="N160" s="1157"/>
      <c r="O160" s="1157"/>
      <c r="P160" s="1157"/>
      <c r="Q160" s="1157"/>
    </row>
    <row r="161" spans="1:17">
      <c r="A161" s="1157" t="s">
        <v>1070</v>
      </c>
      <c r="B161" s="1157" t="s">
        <v>1071</v>
      </c>
      <c r="C161" s="1157"/>
      <c r="D161" s="1157"/>
      <c r="E161" s="1157"/>
      <c r="F161" s="1157"/>
      <c r="G161" s="1157"/>
      <c r="H161" s="1157"/>
      <c r="I161" s="1157"/>
      <c r="J161" s="1157"/>
      <c r="K161" s="1157"/>
      <c r="L161" s="1157"/>
      <c r="M161" s="1157"/>
      <c r="N161" s="1157"/>
      <c r="O161" s="1157"/>
      <c r="P161" s="1157"/>
      <c r="Q161" s="1157"/>
    </row>
    <row r="162" spans="1:17">
      <c r="A162" s="1157"/>
      <c r="B162" s="1157"/>
      <c r="C162" s="1157"/>
      <c r="D162" s="1157"/>
      <c r="E162" s="1157"/>
      <c r="F162" s="1157"/>
      <c r="G162" s="1157"/>
      <c r="H162" s="1157"/>
      <c r="I162" s="1157"/>
      <c r="J162" s="1157"/>
      <c r="K162" s="1157"/>
      <c r="L162" s="1157"/>
      <c r="M162" s="1157"/>
      <c r="N162" s="1157"/>
      <c r="O162" s="1157"/>
      <c r="P162" s="1157"/>
      <c r="Q162" s="1157"/>
    </row>
    <row r="163" spans="1:17">
      <c r="A163" s="1157" t="s">
        <v>1072</v>
      </c>
      <c r="B163" s="1157"/>
      <c r="C163" s="1157"/>
      <c r="D163" s="1157"/>
      <c r="E163" s="1157"/>
      <c r="F163" s="1157"/>
      <c r="G163" s="1157"/>
      <c r="H163" s="1157"/>
      <c r="I163" s="1157"/>
      <c r="J163" s="1157"/>
      <c r="K163" s="1157"/>
      <c r="L163" s="1157"/>
      <c r="M163" s="1157"/>
      <c r="N163" s="1157"/>
      <c r="O163" s="1157"/>
      <c r="P163" s="1157"/>
      <c r="Q163" s="1157"/>
    </row>
    <row r="164" spans="1:17">
      <c r="A164" s="1157" t="s">
        <v>1073</v>
      </c>
      <c r="B164" s="1157"/>
      <c r="C164" s="1157"/>
      <c r="D164" s="1157"/>
      <c r="E164" s="1157"/>
      <c r="F164" s="1157"/>
      <c r="G164" s="1157"/>
      <c r="H164" s="1157"/>
      <c r="I164" s="1157"/>
      <c r="J164" s="1157"/>
      <c r="K164" s="1157"/>
      <c r="L164" s="1157"/>
      <c r="M164" s="1157"/>
      <c r="N164" s="1157"/>
      <c r="O164" s="1157"/>
      <c r="P164" s="1157"/>
      <c r="Q164" s="1157"/>
    </row>
    <row r="165" spans="1:17">
      <c r="A165" s="1209" t="s">
        <v>1074</v>
      </c>
      <c r="B165" s="1209"/>
      <c r="C165" s="1209"/>
      <c r="D165" s="1209"/>
      <c r="E165" s="1209"/>
      <c r="F165" s="1209"/>
      <c r="G165" s="1209"/>
      <c r="H165" s="1209"/>
      <c r="I165" s="1209"/>
      <c r="J165" s="1157"/>
      <c r="K165" s="1157"/>
      <c r="L165" s="1157"/>
      <c r="M165" s="1157"/>
      <c r="N165" s="1157"/>
      <c r="O165" s="1157"/>
      <c r="P165" s="1157"/>
      <c r="Q165" s="1157"/>
    </row>
    <row r="166" spans="1:17">
      <c r="A166" s="411" t="s">
        <v>1114</v>
      </c>
      <c r="B166" s="1202"/>
      <c r="C166" s="1202"/>
      <c r="D166" s="1202"/>
      <c r="E166" s="1202"/>
      <c r="F166" s="1202"/>
      <c r="G166" s="1202"/>
      <c r="H166" s="1202"/>
      <c r="I166" s="1157"/>
      <c r="J166" s="1157"/>
      <c r="K166" s="1157"/>
      <c r="L166" s="1157"/>
      <c r="M166" s="1157"/>
      <c r="N166" s="1157"/>
      <c r="O166" s="1157"/>
      <c r="P166" s="1157"/>
      <c r="Q166" s="1157"/>
    </row>
    <row r="167" spans="1:17">
      <c r="A167" s="1210" t="s">
        <v>1115</v>
      </c>
      <c r="B167" s="1209"/>
      <c r="C167" s="1157"/>
      <c r="D167" s="1157"/>
      <c r="E167" s="1157"/>
      <c r="F167" s="1157"/>
      <c r="G167" s="1157"/>
      <c r="H167" s="1157"/>
      <c r="I167" s="1157"/>
      <c r="J167" s="1157"/>
      <c r="K167" s="1157"/>
      <c r="L167" s="1157"/>
      <c r="M167" s="1157"/>
      <c r="N167" s="1157"/>
      <c r="O167" s="1157"/>
      <c r="P167" s="1157"/>
      <c r="Q167" s="1157"/>
    </row>
    <row r="168" spans="1:17">
      <c r="A168" s="1209" t="s">
        <v>1077</v>
      </c>
      <c r="B168" s="1209"/>
      <c r="C168" s="1209"/>
      <c r="D168" s="1209"/>
      <c r="E168" s="1209"/>
      <c r="F168" s="1209"/>
      <c r="G168" s="1209"/>
      <c r="H168" s="1209"/>
      <c r="I168" s="1209"/>
      <c r="J168" s="1157"/>
      <c r="K168" s="1157"/>
      <c r="L168" s="1157"/>
      <c r="M168" s="1157"/>
      <c r="N168" s="1157"/>
      <c r="O168" s="1157"/>
      <c r="P168" s="1157"/>
      <c r="Q168" s="1157"/>
    </row>
    <row r="169" spans="1:17">
      <c r="A169" s="1209" t="s">
        <v>1078</v>
      </c>
      <c r="B169" s="1209"/>
      <c r="C169" s="1157"/>
      <c r="D169" s="1157"/>
      <c r="E169" s="1157"/>
      <c r="F169" s="1157"/>
      <c r="G169" s="1157"/>
      <c r="H169" s="1157"/>
      <c r="I169" s="1157"/>
      <c r="J169" s="1157"/>
      <c r="K169" s="1157"/>
      <c r="L169" s="1157"/>
      <c r="M169" s="1157"/>
      <c r="N169" s="1157"/>
      <c r="O169" s="1157"/>
      <c r="P169" s="1157"/>
      <c r="Q169" s="1157"/>
    </row>
    <row r="170" spans="1:17">
      <c r="A170" s="1202" t="s">
        <v>1116</v>
      </c>
      <c r="B170" s="1202"/>
      <c r="C170" s="1202"/>
      <c r="D170" s="1202"/>
      <c r="E170" s="1202"/>
      <c r="F170" s="1202"/>
      <c r="G170" s="1202"/>
      <c r="H170" s="1202"/>
      <c r="I170" s="1157"/>
      <c r="J170" s="1157"/>
      <c r="K170" s="1157"/>
      <c r="L170" s="1157"/>
      <c r="M170" s="1157"/>
      <c r="N170" s="1157"/>
      <c r="O170" s="1157"/>
      <c r="P170" s="1157"/>
      <c r="Q170" s="1157"/>
    </row>
    <row r="171" spans="1:17">
      <c r="A171" s="1210" t="s">
        <v>1117</v>
      </c>
      <c r="B171" s="1211"/>
      <c r="C171" s="1157"/>
      <c r="D171" s="1157"/>
      <c r="E171" s="1157"/>
      <c r="F171" s="1157"/>
      <c r="G171" s="1157"/>
      <c r="H171" s="1157"/>
      <c r="I171" s="1157"/>
      <c r="J171" s="1157"/>
      <c r="K171" s="1157"/>
      <c r="L171" s="1157"/>
      <c r="M171" s="1157"/>
      <c r="N171" s="1157"/>
      <c r="O171" s="1157"/>
      <c r="P171" s="1157"/>
      <c r="Q171" s="1157"/>
    </row>
    <row r="172" spans="1:17">
      <c r="A172" s="1212" t="s">
        <v>1118</v>
      </c>
      <c r="B172" s="1212"/>
      <c r="C172" s="1212"/>
      <c r="D172" s="1212"/>
      <c r="E172" s="1212"/>
      <c r="F172" s="1212"/>
      <c r="G172" s="1212"/>
      <c r="H172" s="1212"/>
      <c r="I172" s="1212"/>
      <c r="J172" s="1212"/>
      <c r="K172" s="1157"/>
      <c r="L172" s="1157"/>
      <c r="M172" s="1157"/>
      <c r="N172" s="1157"/>
      <c r="O172" s="1157"/>
      <c r="P172" s="1157"/>
      <c r="Q172" s="1157"/>
    </row>
    <row r="173" spans="1:17">
      <c r="A173" s="411" t="s">
        <v>1119</v>
      </c>
      <c r="B173" s="1213"/>
      <c r="C173" s="1157"/>
      <c r="D173" s="1157"/>
      <c r="E173" s="1157"/>
      <c r="F173" s="1157"/>
      <c r="G173" s="1157"/>
      <c r="H173" s="1157"/>
      <c r="I173" s="1157"/>
      <c r="J173" s="1157"/>
      <c r="K173" s="1157"/>
      <c r="L173" s="1157"/>
      <c r="M173" s="1157"/>
      <c r="N173" s="1157"/>
      <c r="O173" s="1157"/>
      <c r="P173" s="1157"/>
      <c r="Q173" s="1157"/>
    </row>
    <row r="174" spans="1:17">
      <c r="A174" s="1209" t="s">
        <v>1083</v>
      </c>
      <c r="B174" s="1209"/>
      <c r="C174" s="1209"/>
      <c r="D174" s="1209"/>
      <c r="E174" s="1209"/>
      <c r="F174" s="1209"/>
      <c r="G174" s="1209"/>
      <c r="H174" s="1209"/>
      <c r="I174" s="1157"/>
      <c r="J174" s="1157"/>
      <c r="K174" s="1157"/>
      <c r="L174" s="1157"/>
      <c r="M174" s="1157"/>
      <c r="N174" s="1157"/>
      <c r="O174" s="1157"/>
      <c r="P174" s="1157"/>
      <c r="Q174" s="1157"/>
    </row>
    <row r="175" spans="1:17">
      <c r="A175" s="1209" t="s">
        <v>1084</v>
      </c>
      <c r="B175" s="1209"/>
      <c r="C175" s="1209"/>
      <c r="D175" s="1209"/>
      <c r="E175" s="1209"/>
      <c r="F175" s="1209"/>
      <c r="G175" s="1209"/>
      <c r="H175" s="1209"/>
      <c r="I175" s="1209"/>
      <c r="J175" s="1157"/>
      <c r="K175" s="1157"/>
      <c r="L175" s="1157"/>
      <c r="M175" s="1157"/>
      <c r="N175" s="1157"/>
      <c r="O175" s="1157"/>
      <c r="P175" s="1157"/>
      <c r="Q175" s="1157"/>
    </row>
    <row r="176" spans="1:17">
      <c r="A176" s="1209" t="s">
        <v>1085</v>
      </c>
      <c r="B176" s="1209"/>
      <c r="C176" s="1209"/>
      <c r="D176" s="1209"/>
      <c r="E176" s="1209"/>
      <c r="F176" s="1209"/>
      <c r="G176" s="1209"/>
      <c r="H176" s="1209"/>
      <c r="I176" s="1209"/>
      <c r="J176" s="1157"/>
      <c r="K176" s="1157"/>
      <c r="L176" s="1157"/>
      <c r="M176" s="1157"/>
      <c r="N176" s="1157"/>
      <c r="O176" s="1157"/>
      <c r="P176" s="1157"/>
      <c r="Q176" s="1157"/>
    </row>
    <row r="177" spans="1:17">
      <c r="A177" s="1209" t="s">
        <v>1086</v>
      </c>
      <c r="B177" s="1209"/>
      <c r="C177" s="1157"/>
      <c r="D177" s="1157"/>
      <c r="E177" s="1157"/>
      <c r="F177" s="1157"/>
      <c r="G177" s="1157"/>
      <c r="H177" s="1157"/>
      <c r="I177" s="1157"/>
      <c r="J177" s="1157"/>
      <c r="K177" s="1157"/>
      <c r="L177" s="1157"/>
      <c r="M177" s="1157"/>
      <c r="N177" s="1157"/>
      <c r="O177" s="1157"/>
      <c r="P177" s="1157"/>
      <c r="Q177" s="1157"/>
    </row>
    <row r="178" spans="1:17">
      <c r="A178" s="1212" t="s">
        <v>1120</v>
      </c>
      <c r="B178" s="1212"/>
      <c r="C178" s="1212"/>
      <c r="D178" s="1212"/>
      <c r="E178" s="1212"/>
      <c r="F178" s="1212"/>
      <c r="G178" s="1212"/>
      <c r="H178" s="1212"/>
      <c r="I178" s="1212"/>
      <c r="J178" s="1157"/>
      <c r="K178" s="1157"/>
      <c r="L178" s="1157"/>
      <c r="M178" s="1157"/>
      <c r="N178" s="1157"/>
      <c r="O178" s="1157"/>
      <c r="P178" s="1157"/>
      <c r="Q178" s="1157"/>
    </row>
    <row r="179" spans="1:17">
      <c r="A179" s="1210" t="s">
        <v>1121</v>
      </c>
      <c r="B179" s="1214"/>
      <c r="C179" s="1157"/>
      <c r="D179" s="1157"/>
      <c r="E179" s="1157"/>
      <c r="F179" s="1157"/>
      <c r="G179" s="1157"/>
      <c r="H179" s="1157"/>
      <c r="I179" s="1157"/>
      <c r="J179" s="1157"/>
      <c r="K179" s="1157"/>
      <c r="L179" s="1157"/>
      <c r="M179" s="1157"/>
      <c r="N179" s="1157"/>
      <c r="O179" s="1157"/>
      <c r="P179" s="1157"/>
      <c r="Q179" s="1157"/>
    </row>
    <row r="180" spans="1:17">
      <c r="A180" s="1157"/>
      <c r="B180" s="1157"/>
      <c r="C180" s="1157"/>
      <c r="D180" s="1157"/>
      <c r="E180" s="1157"/>
      <c r="F180" s="1157"/>
      <c r="G180" s="1157"/>
      <c r="H180" s="1157"/>
      <c r="I180" s="1157"/>
      <c r="J180" s="1157"/>
      <c r="K180" s="1157"/>
      <c r="L180" s="1157"/>
      <c r="M180" s="1157"/>
      <c r="N180" s="1157"/>
      <c r="O180" s="1157"/>
      <c r="P180" s="1157"/>
      <c r="Q180" s="1157"/>
    </row>
    <row r="181" spans="1:17">
      <c r="A181" s="1157" t="s">
        <v>1089</v>
      </c>
      <c r="B181" s="1157"/>
      <c r="C181" s="1157"/>
      <c r="D181" s="1157"/>
      <c r="E181" s="1157"/>
      <c r="F181" s="1157"/>
      <c r="G181" s="1157"/>
      <c r="H181" s="1157"/>
      <c r="I181" s="1157"/>
      <c r="J181" s="1157"/>
      <c r="K181" s="1157"/>
      <c r="L181" s="1157"/>
      <c r="M181" s="1157"/>
      <c r="N181" s="1157"/>
      <c r="O181" s="1157"/>
      <c r="P181" s="1157"/>
      <c r="Q181" s="1157"/>
    </row>
    <row r="182" spans="1:17">
      <c r="A182" s="1157" t="s">
        <v>1090</v>
      </c>
      <c r="B182" s="1157"/>
      <c r="C182" s="1157"/>
      <c r="D182" s="1157"/>
      <c r="E182" s="1157"/>
      <c r="F182" s="1157"/>
      <c r="G182" s="1157"/>
      <c r="H182" s="1157"/>
      <c r="I182" s="1157"/>
      <c r="J182" s="1157"/>
      <c r="K182" s="1157"/>
      <c r="L182" s="1157"/>
      <c r="M182" s="1157"/>
      <c r="N182" s="1157"/>
      <c r="O182" s="1157"/>
      <c r="P182" s="1157"/>
      <c r="Q182" s="1157"/>
    </row>
    <row r="183" spans="1:17">
      <c r="A183" s="411" t="s">
        <v>1122</v>
      </c>
      <c r="B183" s="1202"/>
      <c r="C183" s="1202"/>
      <c r="D183" s="1202"/>
      <c r="E183" s="1202"/>
      <c r="F183" s="1202"/>
      <c r="G183" s="1202"/>
      <c r="H183" s="1157"/>
      <c r="I183" s="1157"/>
      <c r="J183" s="1157"/>
      <c r="K183" s="1157"/>
      <c r="L183" s="1157"/>
      <c r="M183" s="1157"/>
      <c r="N183" s="1157"/>
      <c r="O183" s="1157"/>
      <c r="P183" s="1157"/>
      <c r="Q183" s="1157"/>
    </row>
    <row r="184" spans="1:17">
      <c r="A184" s="1157"/>
      <c r="B184" s="1157"/>
      <c r="C184" s="1157"/>
      <c r="D184" s="1157"/>
      <c r="E184" s="1157"/>
      <c r="F184" s="1157"/>
      <c r="G184" s="1157"/>
      <c r="H184" s="1157"/>
      <c r="I184" s="1157"/>
      <c r="J184" s="1157"/>
      <c r="K184" s="1157"/>
      <c r="L184" s="1157"/>
      <c r="M184" s="1157"/>
      <c r="N184" s="1157"/>
      <c r="O184" s="1157"/>
      <c r="P184" s="1157"/>
      <c r="Q184" s="1157"/>
    </row>
    <row r="185" spans="1:17">
      <c r="A185" s="1157" t="s">
        <v>1092</v>
      </c>
      <c r="B185" s="1157"/>
      <c r="C185" s="1157"/>
      <c r="D185" s="1157"/>
      <c r="E185" s="1157"/>
      <c r="F185" s="1157"/>
      <c r="G185" s="1157"/>
      <c r="H185" s="1157"/>
      <c r="I185" s="1157"/>
      <c r="J185" s="1157"/>
      <c r="K185" s="1157"/>
      <c r="L185" s="1157"/>
      <c r="M185" s="1157"/>
      <c r="N185" s="1157"/>
      <c r="O185" s="1157"/>
      <c r="P185" s="1157"/>
      <c r="Q185" s="1157"/>
    </row>
    <row r="186" spans="1:17">
      <c r="A186" s="1157"/>
      <c r="B186" s="1157"/>
      <c r="C186" s="1157"/>
      <c r="D186" s="1157"/>
      <c r="E186" s="1157"/>
      <c r="F186" s="1157"/>
      <c r="G186" s="1157"/>
      <c r="H186" s="1157"/>
      <c r="I186" s="1157"/>
      <c r="J186" s="1157"/>
      <c r="K186" s="1157"/>
      <c r="L186" s="1157"/>
      <c r="M186" s="1157"/>
      <c r="N186" s="1157"/>
      <c r="O186" s="1157"/>
      <c r="P186" s="1157"/>
      <c r="Q186" s="1157"/>
    </row>
    <row r="187" spans="1:17">
      <c r="A187" s="1157" t="s">
        <v>1093</v>
      </c>
      <c r="B187" s="1157"/>
      <c r="C187" s="1157"/>
      <c r="D187" s="1157"/>
      <c r="E187" s="1157"/>
      <c r="F187" s="1157"/>
      <c r="G187" s="1157"/>
      <c r="H187" s="1157"/>
      <c r="I187" s="1157"/>
      <c r="J187" s="1157"/>
      <c r="K187" s="1157"/>
      <c r="L187" s="1157"/>
      <c r="M187" s="1157"/>
      <c r="N187" s="1157"/>
      <c r="O187" s="1157"/>
      <c r="P187" s="1157"/>
      <c r="Q187" s="1157"/>
    </row>
    <row r="188" spans="1:17">
      <c r="A188" s="1157"/>
      <c r="B188" s="1157"/>
      <c r="C188" s="1157"/>
      <c r="D188" s="1157"/>
      <c r="E188" s="1157"/>
      <c r="F188" s="1157"/>
      <c r="G188" s="1157"/>
      <c r="H188" s="1157"/>
      <c r="I188" s="1157"/>
      <c r="J188" s="1157"/>
      <c r="K188" s="1157"/>
      <c r="L188" s="1157"/>
      <c r="M188" s="1157"/>
      <c r="N188" s="1157"/>
      <c r="O188" s="1157"/>
      <c r="P188" s="1157"/>
      <c r="Q188" s="1157"/>
    </row>
    <row r="189" spans="1:17">
      <c r="A189" s="1215"/>
      <c r="B189" s="1157"/>
      <c r="C189" s="1157"/>
      <c r="D189" s="1157"/>
      <c r="E189" s="1157"/>
      <c r="F189" s="1157"/>
      <c r="G189" s="1157"/>
      <c r="H189" s="1157"/>
      <c r="I189" s="1157"/>
      <c r="J189" s="1157"/>
      <c r="K189" s="1157"/>
      <c r="L189" s="1157"/>
      <c r="M189" s="1157"/>
      <c r="N189" s="1157"/>
      <c r="O189" s="1157"/>
      <c r="P189" s="1157"/>
      <c r="Q189" s="1157"/>
    </row>
    <row r="190" spans="1:17">
      <c r="A190" s="1215"/>
      <c r="B190" s="1157"/>
      <c r="C190" s="1157"/>
      <c r="D190" s="1157"/>
      <c r="E190" s="1157"/>
      <c r="F190" s="1157"/>
      <c r="G190" s="1157"/>
      <c r="H190" s="1157"/>
      <c r="I190" s="1157"/>
      <c r="J190" s="1157"/>
      <c r="K190" s="1157"/>
      <c r="L190" s="1157"/>
      <c r="M190" s="1157"/>
      <c r="N190" s="1157"/>
      <c r="O190" s="1157"/>
      <c r="P190" s="1157"/>
      <c r="Q190" s="1157"/>
    </row>
    <row r="191" spans="1:17">
      <c r="A191" s="1215"/>
      <c r="B191" s="1157"/>
      <c r="C191" s="1157"/>
      <c r="D191" s="1157"/>
      <c r="E191" s="1157"/>
      <c r="F191" s="1157"/>
      <c r="G191" s="1157"/>
      <c r="H191" s="1157"/>
      <c r="I191" s="1157"/>
      <c r="J191" s="1157"/>
      <c r="K191" s="1157"/>
      <c r="L191" s="1157"/>
      <c r="M191" s="1157"/>
      <c r="N191" s="1157"/>
      <c r="O191" s="1157"/>
      <c r="P191" s="1157"/>
      <c r="Q191" s="1157"/>
    </row>
  </sheetData>
  <mergeCells count="11">
    <mergeCell ref="A2:F2"/>
    <mergeCell ref="A3:F3"/>
    <mergeCell ref="A4:D4"/>
    <mergeCell ref="C5:F5"/>
    <mergeCell ref="C6:F6"/>
    <mergeCell ref="C104:E104"/>
    <mergeCell ref="F104:J104"/>
    <mergeCell ref="A100:Q100"/>
    <mergeCell ref="A101:Q101"/>
    <mergeCell ref="A102:G102"/>
    <mergeCell ref="C103:J103"/>
  </mergeCells>
  <phoneticPr fontId="52" type="noConversion"/>
  <hyperlinks>
    <hyperlink ref="A81" r:id="rId1" display="student loans. For more information, see &quot;How does the 2020 CARES Act affect BEA's estimate of personal interest payments?&quot;." xr:uid="{6F4BC101-1156-484C-9C36-55AD811A08A0}"/>
    <hyperlink ref="A75" r:id="rId2" display="     &quot;How are the economic impact payments for individuals authorized by the CARES Act of 2020 recorded in the NIPAs?&quot;." xr:uid="{90914462-9959-344D-8A51-C44C34E3F0C8}"/>
    <hyperlink ref="A73" r:id="rId3" display="exhausted all available regular and extended unemployment benefits.  For more information, see &quot;How will the expansion of unemployment benefits in response to " xr:uid="{39B1406B-890D-424B-9F37-A8A1BE3C74AA}"/>
    <hyperlink ref="A69" r:id="rId4" display="     and product accounts (NIPAs)?&quot;." xr:uid="{590E130B-7984-274F-8FD5-45724ADDEE84}"/>
    <hyperlink ref="A68" r:id="rId5" display="      funding to reimburse private lending institutions for the costs of administering these loans. For more information, see &quot;How does the Paycheck Protection Program of 2020 impact the national income" xr:uid="{752DFADD-E320-304C-8F6E-099236D49234}"/>
    <hyperlink ref="A85" r:id="rId6" display="product report, for example. To be consistent, the figures in this table also are annualized. For more information, see the FAQ &quot;Why does BEA publish estimates at annual" xr:uid="{02EBBA82-E9AF-9D44-98C9-7B208176C3EB}"/>
    <hyperlink ref="A166" r:id="rId7" display="https://www.bea.gov/help/faq/1408" xr:uid="{9265B4E2-3850-DE4A-9B62-73AAEE52A2DE}"/>
    <hyperlink ref="A167" r:id="rId8" display="https://www.bea.gov/help/faq/1408" xr:uid="{2BD9803E-3227-A34D-89DC-8FB54F870B16}"/>
    <hyperlink ref="A171" r:id="rId9" display="https://www.bea.gov/help/faq/1415" xr:uid="{B56E6B6B-366A-4C48-B1A9-86F1A7D3DC1A}"/>
    <hyperlink ref="A173" r:id="rId10" display="https://www.bea.gov/help/faq/1409" xr:uid="{B8196317-EA65-F94C-8AD0-61498C4168DB}"/>
    <hyperlink ref="A179" r:id="rId11" display="https://www.bea.gov/help/faq/1407" xr:uid="{66490A54-D405-2C4C-A58A-513E6B4B90ED}"/>
    <hyperlink ref="A183" r:id="rId12" display="https://www.bea.gov/help/faq/121" xr:uid="{CFD1EDA8-FDF6-6941-816D-95514D2C03B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22"/>
  <sheetViews>
    <sheetView zoomScaleNormal="100" workbookViewId="0">
      <selection activeCell="C12" sqref="C12"/>
    </sheetView>
  </sheetViews>
  <sheetFormatPr baseColWidth="10" defaultColWidth="8.83203125" defaultRowHeight="15"/>
  <cols>
    <col min="1" max="1" width="41.1640625" customWidth="1"/>
    <col min="2" max="2" width="23.5" style="375" customWidth="1"/>
    <col min="3" max="3" width="11.1640625" customWidth="1"/>
    <col min="4" max="14" width="10.33203125" bestFit="1" customWidth="1"/>
  </cols>
  <sheetData>
    <row r="1" spans="1:14" s="618" customFormat="1">
      <c r="A1" s="618" t="s">
        <v>675</v>
      </c>
      <c r="B1" s="618" t="s">
        <v>674</v>
      </c>
      <c r="C1" s="630" t="s">
        <v>154</v>
      </c>
      <c r="D1" s="630" t="s">
        <v>155</v>
      </c>
      <c r="E1" s="630" t="s">
        <v>156</v>
      </c>
      <c r="F1" s="630" t="s">
        <v>157</v>
      </c>
      <c r="G1" s="630" t="s">
        <v>158</v>
      </c>
      <c r="H1" s="630" t="s">
        <v>159</v>
      </c>
      <c r="I1" s="630" t="s">
        <v>160</v>
      </c>
      <c r="J1" s="630" t="s">
        <v>161</v>
      </c>
      <c r="K1" s="630" t="s">
        <v>162</v>
      </c>
      <c r="L1" s="630" t="s">
        <v>163</v>
      </c>
      <c r="M1" s="630" t="s">
        <v>165</v>
      </c>
      <c r="N1" s="630" t="s">
        <v>166</v>
      </c>
    </row>
    <row r="2" spans="1:14">
      <c r="A2" t="s">
        <v>0</v>
      </c>
      <c r="B2" s="375" t="s">
        <v>655</v>
      </c>
      <c r="C2" s="415">
        <f>Grants!J72</f>
        <v>345.54600638694637</v>
      </c>
      <c r="D2" s="415">
        <f>Grants!K72</f>
        <v>375.00992679906756</v>
      </c>
      <c r="E2" s="415">
        <f>Grants!L72</f>
        <v>409.77723899550585</v>
      </c>
      <c r="F2" s="415">
        <f>Grants!M72</f>
        <v>431.48107254189955</v>
      </c>
      <c r="G2" s="415">
        <f>Grants!N72</f>
        <v>439.34263453000909</v>
      </c>
      <c r="H2" s="415">
        <f>Grants!O72</f>
        <v>451.15785968855209</v>
      </c>
      <c r="I2" s="415">
        <f>Grants!P72</f>
        <v>461.76397188700332</v>
      </c>
      <c r="J2" s="415">
        <f>Grants!Q72</f>
        <v>473.78265428248346</v>
      </c>
      <c r="K2" s="415">
        <f>Grants!R72</f>
        <v>448.10427877378277</v>
      </c>
      <c r="L2" s="415">
        <f>Grants!S72</f>
        <v>451.89625264473409</v>
      </c>
      <c r="M2" s="415">
        <f>Grants!T72</f>
        <v>464.87886635052348</v>
      </c>
      <c r="N2" s="415">
        <f>Grants!U72</f>
        <v>436.32490388454437</v>
      </c>
    </row>
    <row r="3" spans="1:14">
      <c r="A3" t="s">
        <v>6</v>
      </c>
      <c r="B3" s="375" t="s">
        <v>654</v>
      </c>
      <c r="C3" s="415">
        <f>Grants!J91</f>
        <v>72.100250000000003</v>
      </c>
      <c r="D3" s="415">
        <f>Grants!K91</f>
        <v>72.100250000000003</v>
      </c>
      <c r="E3" s="415">
        <f>Grants!L91</f>
        <v>72.100250000000003</v>
      </c>
      <c r="F3" s="415">
        <f>Grants!M91</f>
        <v>72.100250000000003</v>
      </c>
      <c r="G3" s="415">
        <f>Grants!N91</f>
        <v>72.100250000000003</v>
      </c>
      <c r="H3" s="415">
        <f>Grants!O91</f>
        <v>72.100250000000003</v>
      </c>
      <c r="I3" s="415">
        <f>Grants!P91</f>
        <v>72.100250000000003</v>
      </c>
      <c r="J3" s="415">
        <f>Grants!Q91</f>
        <v>72.100250000000003</v>
      </c>
      <c r="K3" s="415">
        <f>Grants!R91</f>
        <v>72.100250000000003</v>
      </c>
      <c r="L3" s="415">
        <f>Grants!S91</f>
        <v>72.100250000000003</v>
      </c>
      <c r="M3" s="415">
        <f>Grants!T91</f>
        <v>72.100250000000003</v>
      </c>
      <c r="N3" s="415">
        <f>Grants!U91</f>
        <v>72.100250000000003</v>
      </c>
    </row>
    <row r="4" spans="1:14">
      <c r="A4" t="s">
        <v>486</v>
      </c>
      <c r="B4" s="375" t="s">
        <v>650</v>
      </c>
      <c r="C4" s="415">
        <f>'Federal and State Purchases'!J14</f>
        <v>1611.6160469251383</v>
      </c>
      <c r="D4" s="415">
        <f>'Federal and State Purchases'!K14</f>
        <v>1657.0107930243062</v>
      </c>
      <c r="E4" s="415">
        <f>'Federal and State Purchases'!L14</f>
        <v>1694.4539766631904</v>
      </c>
      <c r="F4" s="415">
        <f>'Federal and State Purchases'!M14</f>
        <v>1685.9335829048764</v>
      </c>
      <c r="G4" s="415">
        <f>'Federal and State Purchases'!N14</f>
        <v>1661.0254911111606</v>
      </c>
      <c r="H4" s="415">
        <f>'Federal and State Purchases'!O14</f>
        <v>1639.8144823641708</v>
      </c>
      <c r="I4" s="415">
        <f>'Federal and State Purchases'!P14</f>
        <v>1642.7324547990715</v>
      </c>
      <c r="J4" s="415">
        <f>'Federal and State Purchases'!Q14</f>
        <v>1648.7810193222792</v>
      </c>
      <c r="K4" s="415">
        <f>'Federal and State Purchases'!R14</f>
        <v>1653.4127613990277</v>
      </c>
      <c r="L4" s="415">
        <f>'Federal and State Purchases'!S14</f>
        <v>1659.5530714195791</v>
      </c>
      <c r="M4" s="415">
        <f>'Federal and State Purchases'!T14</f>
        <v>1652.3162314610902</v>
      </c>
      <c r="N4" s="415">
        <f>'Federal and State Purchases'!U14</f>
        <v>1661.2271284019312</v>
      </c>
    </row>
    <row r="5" spans="1:14">
      <c r="A5" t="s">
        <v>487</v>
      </c>
      <c r="B5" s="452" t="s">
        <v>651</v>
      </c>
      <c r="C5" s="415">
        <f>'Federal and State Purchases'!J28</f>
        <v>2441.6411409941461</v>
      </c>
      <c r="D5" s="415">
        <f>'Federal and State Purchases'!K28</f>
        <v>2506.1818402960748</v>
      </c>
      <c r="E5" s="415">
        <f>'Federal and State Purchases'!L28</f>
        <v>2578.2028517768804</v>
      </c>
      <c r="F5" s="415">
        <f>'Federal and State Purchases'!M28</f>
        <v>2634.3514197886107</v>
      </c>
      <c r="G5" s="415">
        <f>'Federal and State Purchases'!N28</f>
        <v>2685.5277712180109</v>
      </c>
      <c r="H5" s="415">
        <f>'Federal and State Purchases'!O28</f>
        <v>2731.3389138463922</v>
      </c>
      <c r="I5" s="415">
        <f>'Federal and State Purchases'!P28</f>
        <v>2768.1441821686262</v>
      </c>
      <c r="J5" s="415">
        <f>'Federal and State Purchases'!Q28</f>
        <v>2802.1154965055812</v>
      </c>
      <c r="K5" s="415">
        <f>'Federal and State Purchases'!R28</f>
        <v>2836.5037147759417</v>
      </c>
      <c r="L5" s="415">
        <f>'Federal and State Purchases'!S28</f>
        <v>2871.313953322513</v>
      </c>
      <c r="M5" s="415">
        <f>'Federal and State Purchases'!T28</f>
        <v>2906.5513912770589</v>
      </c>
      <c r="N5" s="415">
        <f>'Federal and State Purchases'!U28</f>
        <v>2942.2212713308613</v>
      </c>
    </row>
    <row r="6" spans="1:14">
      <c r="A6" t="s">
        <v>612</v>
      </c>
      <c r="B6" s="452" t="s">
        <v>658</v>
      </c>
      <c r="C6" s="415">
        <f>Subsidies!L34</f>
        <v>745.16390364156496</v>
      </c>
      <c r="D6" s="415">
        <f>Subsidies!M34</f>
        <v>572.8533161908033</v>
      </c>
      <c r="E6" s="415">
        <f>Subsidies!N34</f>
        <v>114.40766111234379</v>
      </c>
      <c r="F6" s="415">
        <f>Subsidies!O34</f>
        <v>81.144230769230774</v>
      </c>
      <c r="G6" s="415">
        <f>Subsidies!P34</f>
        <v>75.752622377622373</v>
      </c>
      <c r="H6" s="415">
        <f>Subsidies!Q34</f>
        <v>75.752622377622373</v>
      </c>
      <c r="I6" s="415">
        <f>Subsidies!R34</f>
        <v>74.224999999999994</v>
      </c>
      <c r="J6" s="415">
        <f>Subsidies!S34</f>
        <v>74.224999999999994</v>
      </c>
      <c r="K6" s="415">
        <f>Subsidies!T34</f>
        <v>74.224999999999994</v>
      </c>
      <c r="L6" s="415">
        <f>Subsidies!U34</f>
        <v>74.224999999999994</v>
      </c>
      <c r="M6" s="415">
        <f>Subsidies!V34</f>
        <v>72.86</v>
      </c>
      <c r="N6" s="415">
        <f>Subsidies!W34</f>
        <v>72.86</v>
      </c>
    </row>
    <row r="7" spans="1:14">
      <c r="A7" t="s">
        <v>657</v>
      </c>
      <c r="B7" s="452" t="s">
        <v>659</v>
      </c>
      <c r="C7" s="415">
        <f>Subsidies!L33</f>
        <v>163.68599999999998</v>
      </c>
      <c r="D7" s="415">
        <f>Subsidies!M33</f>
        <v>163.68599999999998</v>
      </c>
      <c r="E7" s="415">
        <f>Subsidies!N33</f>
        <v>110.24799999999999</v>
      </c>
      <c r="F7" s="415">
        <f>Subsidies!O33</f>
        <v>110.24799999999999</v>
      </c>
      <c r="G7" s="415">
        <f>Subsidies!P33</f>
        <v>110.24799999999999</v>
      </c>
      <c r="H7" s="415">
        <f>Subsidies!Q33</f>
        <v>110.24799999999999</v>
      </c>
      <c r="I7" s="415">
        <f>Subsidies!R33</f>
        <v>12.726000000000001</v>
      </c>
      <c r="J7" s="415">
        <f>Subsidies!S33</f>
        <v>12.726000000000001</v>
      </c>
      <c r="K7" s="415">
        <f>Subsidies!T33</f>
        <v>12.726000000000001</v>
      </c>
      <c r="L7" s="415">
        <f>Subsidies!U33</f>
        <v>12.726000000000001</v>
      </c>
      <c r="M7" s="415">
        <f>Subsidies!V33</f>
        <v>1.365</v>
      </c>
      <c r="N7" s="415">
        <f>Subsidies!W33</f>
        <v>1.365</v>
      </c>
    </row>
    <row r="8" spans="1:14">
      <c r="A8" t="s">
        <v>135</v>
      </c>
      <c r="B8" s="452" t="s">
        <v>652</v>
      </c>
      <c r="C8" s="415">
        <f>'Unemployment Insurance'!N19</f>
        <v>402.3</v>
      </c>
      <c r="D8" s="415">
        <f>'Unemployment Insurance'!O19</f>
        <v>342.39884393063591</v>
      </c>
      <c r="E8" s="415">
        <f>'Unemployment Insurance'!P19</f>
        <v>0</v>
      </c>
      <c r="F8" s="415">
        <f>'Unemployment Insurance'!Q19</f>
        <v>0</v>
      </c>
      <c r="G8" s="415">
        <f>'Unemployment Insurance'!R19</f>
        <v>0</v>
      </c>
      <c r="H8" s="415">
        <f>'Unemployment Insurance'!S19</f>
        <v>0</v>
      </c>
      <c r="I8" s="415">
        <f>'Unemployment Insurance'!T19</f>
        <v>0</v>
      </c>
      <c r="J8" s="415">
        <f>'Unemployment Insurance'!U19</f>
        <v>0</v>
      </c>
      <c r="K8" s="415">
        <f>'Unemployment Insurance'!V19</f>
        <v>0</v>
      </c>
      <c r="L8" s="415">
        <f>'Unemployment Insurance'!W19</f>
        <v>0</v>
      </c>
      <c r="M8" s="415">
        <f>'Unemployment Insurance'!X19</f>
        <v>0</v>
      </c>
      <c r="N8" s="415">
        <f>'Unemployment Insurance'!Y19</f>
        <v>0</v>
      </c>
    </row>
    <row r="9" spans="1:14">
      <c r="A9" t="s">
        <v>136</v>
      </c>
      <c r="B9" s="452" t="s">
        <v>653</v>
      </c>
      <c r="C9" s="415">
        <f>'Unemployment Insurance'!N20</f>
        <v>56.5</v>
      </c>
      <c r="D9" s="415">
        <f>'Unemployment Insurance'!O20</f>
        <v>48.988439306358387</v>
      </c>
      <c r="E9" s="415">
        <f>'Unemployment Insurance'!P20</f>
        <v>44.089595375722546</v>
      </c>
      <c r="F9" s="415">
        <f>'Unemployment Insurance'!Q20</f>
        <v>40.170520231213871</v>
      </c>
      <c r="G9" s="415">
        <f>'Unemployment Insurance'!R20</f>
        <v>39.190751445086704</v>
      </c>
      <c r="H9" s="415">
        <f>'Unemployment Insurance'!S20</f>
        <v>38.210982658959537</v>
      </c>
      <c r="I9" s="415">
        <f>'Unemployment Insurance'!T20</f>
        <v>38.210982658959537</v>
      </c>
      <c r="J9" s="415">
        <f>'Unemployment Insurance'!U20</f>
        <v>36.251445086705203</v>
      </c>
      <c r="K9" s="415">
        <f>'Unemployment Insurance'!V20</f>
        <v>35.271676300578036</v>
      </c>
      <c r="L9" s="415">
        <f>'Unemployment Insurance'!W20</f>
        <v>35.271676300578036</v>
      </c>
      <c r="M9" s="415">
        <f>'Unemployment Insurance'!X20</f>
        <v>34.29190751445087</v>
      </c>
      <c r="N9" s="415">
        <f>'Unemployment Insurance'!Y20</f>
        <v>36.251445086705203</v>
      </c>
    </row>
    <row r="10" spans="1:14">
      <c r="A10" t="s">
        <v>142</v>
      </c>
      <c r="B10" s="452" t="s">
        <v>656</v>
      </c>
      <c r="C10" s="415">
        <f>Medicaid!J29</f>
        <v>549.00585641550458</v>
      </c>
      <c r="D10" s="415">
        <f>Medicaid!K29</f>
        <v>553.41886894343111</v>
      </c>
      <c r="E10" s="415">
        <f>Medicaid!L29</f>
        <v>558.86003359502126</v>
      </c>
      <c r="F10" s="415">
        <f>Medicaid!M29</f>
        <v>563.56489344789986</v>
      </c>
      <c r="G10" s="415">
        <f>Medicaid!N29</f>
        <v>569.10606105754516</v>
      </c>
      <c r="H10" s="415">
        <f>Medicaid!O29</f>
        <v>517.03054677515308</v>
      </c>
      <c r="I10" s="415">
        <f>Medicaid!P29</f>
        <v>519.21331439322864</v>
      </c>
      <c r="J10" s="415">
        <f>Medicaid!Q29</f>
        <v>523.60160105055525</v>
      </c>
      <c r="K10" s="415">
        <f>Medicaid!R29</f>
        <v>528.48816504947729</v>
      </c>
      <c r="L10" s="415">
        <f>Medicaid!S29</f>
        <v>533.42042983892622</v>
      </c>
      <c r="M10" s="415">
        <f>Medicaid!T29</f>
        <v>536.54108782549383</v>
      </c>
      <c r="N10" s="415">
        <f>Medicaid!U29</f>
        <v>539.68004042785367</v>
      </c>
    </row>
    <row r="11" spans="1:14">
      <c r="A11" t="s">
        <v>141</v>
      </c>
      <c r="B11" s="452" t="s">
        <v>75</v>
      </c>
      <c r="C11" s="415">
        <f>Medicaid!J28</f>
        <v>724</v>
      </c>
      <c r="D11" s="992">
        <f>Medicaid!K28</f>
        <v>729.81964842976231</v>
      </c>
      <c r="E11" s="992">
        <f>Medicaid!L28</f>
        <v>736.99516971376443</v>
      </c>
      <c r="F11" s="992">
        <f>Medicaid!M28</f>
        <v>744.24873477625852</v>
      </c>
      <c r="G11" s="992">
        <f>Medicaid!N28</f>
        <v>751.56644925884609</v>
      </c>
      <c r="H11" s="992">
        <f>Medicaid!O28</f>
        <v>759.18650856835814</v>
      </c>
      <c r="I11" s="992">
        <f>Medicaid!P28</f>
        <v>766.27693956771463</v>
      </c>
      <c r="J11" s="992">
        <f>Medicaid!Q28</f>
        <v>772.75335836612669</v>
      </c>
      <c r="K11" s="992">
        <f>Medicaid!R28</f>
        <v>779.96515591117168</v>
      </c>
      <c r="L11" s="992">
        <f>Medicaid!S28</f>
        <v>787.24440061315568</v>
      </c>
      <c r="M11" s="992">
        <f>Medicaid!T28</f>
        <v>791.849999478006</v>
      </c>
      <c r="N11" s="992">
        <f>Medicaid!U28</f>
        <v>796.48259830955817</v>
      </c>
    </row>
    <row r="12" spans="1:14">
      <c r="A12" t="s">
        <v>406</v>
      </c>
      <c r="B12" s="375" t="s">
        <v>76</v>
      </c>
      <c r="C12" s="415">
        <f>Medicare!N10</f>
        <v>895.70157498646347</v>
      </c>
      <c r="D12" s="415">
        <f>Medicare!O10</f>
        <v>911.5797198423262</v>
      </c>
      <c r="E12" s="415">
        <f>Medicare!P10</f>
        <v>928.62428642880502</v>
      </c>
      <c r="F12" s="415">
        <f>Medicare!Q10</f>
        <v>929.9875494976618</v>
      </c>
      <c r="G12" s="415">
        <f>Medicare!R10</f>
        <v>947.6754679829279</v>
      </c>
      <c r="H12" s="415">
        <f>Medicare!S10</f>
        <v>965.69411223779593</v>
      </c>
      <c r="I12" s="415">
        <f>Medicare!T10</f>
        <v>984.02183727713145</v>
      </c>
      <c r="J12" s="415">
        <f>Medicare!U10</f>
        <v>1002.6917315328554</v>
      </c>
      <c r="K12" s="415">
        <f>Medicare!V10</f>
        <v>1021.7101831285561</v>
      </c>
      <c r="L12" s="415">
        <f>Medicare!W10</f>
        <v>1041.0836994508093</v>
      </c>
      <c r="M12" s="415">
        <f>Medicare!X10</f>
        <v>1060.5365906011345</v>
      </c>
      <c r="N12" s="415">
        <f>Medicare!Y10</f>
        <v>1080.3474618946623</v>
      </c>
    </row>
    <row r="13" spans="1:14" s="375" customFormat="1">
      <c r="A13" s="375" t="s">
        <v>490</v>
      </c>
      <c r="B13" s="452" t="s">
        <v>664</v>
      </c>
      <c r="C13" s="415">
        <f>'Rebate Checks'!J11</f>
        <v>0</v>
      </c>
      <c r="D13" s="415">
        <f>'Rebate Checks'!K11</f>
        <v>0</v>
      </c>
      <c r="E13" s="415">
        <f>'Rebate Checks'!L11</f>
        <v>0</v>
      </c>
      <c r="F13" s="415">
        <f>'Rebate Checks'!M11</f>
        <v>0</v>
      </c>
      <c r="G13" s="415">
        <f>'Rebate Checks'!N11</f>
        <v>0</v>
      </c>
      <c r="H13" s="415">
        <f>'Rebate Checks'!O11</f>
        <v>0</v>
      </c>
      <c r="I13" s="415">
        <f>'Rebate Checks'!P11</f>
        <v>0</v>
      </c>
      <c r="J13" s="415">
        <f>'Rebate Checks'!Q11</f>
        <v>0</v>
      </c>
      <c r="K13" s="415">
        <f>'Rebate Checks'!R11</f>
        <v>0</v>
      </c>
      <c r="L13" s="415">
        <f>'Rebate Checks'!S11</f>
        <v>0</v>
      </c>
      <c r="M13" s="415">
        <f>'Rebate Checks'!T11</f>
        <v>0</v>
      </c>
      <c r="N13" s="415">
        <f>'Rebate Checks'!U11</f>
        <v>0</v>
      </c>
    </row>
    <row r="14" spans="1:14">
      <c r="A14" t="s">
        <v>491</v>
      </c>
      <c r="B14" s="452" t="s">
        <v>665</v>
      </c>
      <c r="C14" s="415">
        <f>'Rebate Checks'!J10</f>
        <v>272</v>
      </c>
      <c r="D14" s="415">
        <f>'Rebate Checks'!K10</f>
        <v>0</v>
      </c>
      <c r="E14" s="415">
        <f>'Rebate Checks'!L10</f>
        <v>0</v>
      </c>
      <c r="F14" s="415">
        <f>'Rebate Checks'!M10</f>
        <v>34.93</v>
      </c>
      <c r="G14" s="415">
        <f>'Rebate Checks'!N10</f>
        <v>34.93</v>
      </c>
      <c r="H14" s="415">
        <f>'Rebate Checks'!O10</f>
        <v>0</v>
      </c>
      <c r="I14" s="415">
        <f>'Rebate Checks'!P10</f>
        <v>0</v>
      </c>
      <c r="J14" s="415">
        <f>'Rebate Checks'!Q10</f>
        <v>0</v>
      </c>
      <c r="K14" s="415">
        <f>'Rebate Checks'!R10</f>
        <v>0</v>
      </c>
      <c r="L14" s="415">
        <f>'Rebate Checks'!S10</f>
        <v>0</v>
      </c>
      <c r="M14" s="415">
        <f>'Rebate Checks'!T10</f>
        <v>0</v>
      </c>
      <c r="N14" s="415">
        <f>'Rebate Checks'!U10</f>
        <v>0</v>
      </c>
    </row>
    <row r="15" spans="1:14">
      <c r="A15" t="s">
        <v>488</v>
      </c>
      <c r="B15" s="452" t="s">
        <v>663</v>
      </c>
      <c r="C15" s="415">
        <f>'Social Benefits'!N24</f>
        <v>95.444000000000031</v>
      </c>
      <c r="D15" s="415">
        <f>'Social Benefits'!O24</f>
        <v>95.444000000000031</v>
      </c>
      <c r="E15" s="415">
        <f>'Social Benefits'!P24</f>
        <v>52.756999999999998</v>
      </c>
      <c r="F15" s="415">
        <f>'Social Benefits'!Q24</f>
        <v>52.756999999999998</v>
      </c>
      <c r="G15" s="415">
        <f>'Social Benefits'!R24</f>
        <v>52.756999999999998</v>
      </c>
      <c r="H15" s="415">
        <f>'Social Benefits'!S24</f>
        <v>52.756999999999998</v>
      </c>
      <c r="I15" s="415">
        <f>'Social Benefits'!T24</f>
        <v>12</v>
      </c>
      <c r="J15" s="415">
        <f>'Social Benefits'!U24</f>
        <v>12</v>
      </c>
      <c r="K15" s="415">
        <f>'Social Benefits'!V24</f>
        <v>12</v>
      </c>
      <c r="L15" s="415">
        <f>'Social Benefits'!W24</f>
        <v>12</v>
      </c>
      <c r="M15" s="415">
        <f>'Social Benefits'!X24</f>
        <v>4.2219999999999995</v>
      </c>
      <c r="N15" s="415">
        <f>'Social Benefits'!Y24</f>
        <v>4.2219999999999995</v>
      </c>
    </row>
    <row r="16" spans="1:14">
      <c r="A16" t="s">
        <v>489</v>
      </c>
      <c r="B16" s="452" t="s">
        <v>662</v>
      </c>
      <c r="C16" s="415">
        <f>'Social Benefits'!N25</f>
        <v>53.272000000000048</v>
      </c>
      <c r="D16" s="415">
        <f>'Social Benefits'!O25</f>
        <v>53.272000000000048</v>
      </c>
      <c r="E16" s="415">
        <f>'Social Benefits'!P25</f>
        <v>98.978999999999999</v>
      </c>
      <c r="F16" s="415">
        <f>'Social Benefits'!Q25</f>
        <v>98.978999999999999</v>
      </c>
      <c r="G16" s="415">
        <f>'Social Benefits'!R25</f>
        <v>98.978999999999999</v>
      </c>
      <c r="H16" s="415">
        <f>'Social Benefits'!S25</f>
        <v>98.978999999999999</v>
      </c>
      <c r="I16" s="415">
        <f>'Social Benefits'!T25</f>
        <v>2.1159999999999997</v>
      </c>
      <c r="J16" s="415">
        <f>'Social Benefits'!U25</f>
        <v>2.1159999999999997</v>
      </c>
      <c r="K16" s="415">
        <f>'Social Benefits'!V25</f>
        <v>2.1159999999999997</v>
      </c>
      <c r="L16" s="415">
        <f>'Social Benefits'!W25</f>
        <v>2.1159999999999997</v>
      </c>
      <c r="M16" s="415">
        <f>'Social Benefits'!X25</f>
        <v>2.1789999999999998</v>
      </c>
      <c r="N16" s="415">
        <f>'Social Benefits'!Y25</f>
        <v>2.1789999999999998</v>
      </c>
    </row>
    <row r="17" spans="1:14">
      <c r="A17" t="s">
        <v>589</v>
      </c>
      <c r="B17" s="452" t="s">
        <v>660</v>
      </c>
      <c r="C17" s="415">
        <f>'Social Benefits'!N22+'Social Benefits'!N16</f>
        <v>1725.2333333333322</v>
      </c>
      <c r="D17" s="992">
        <f>'Social Benefits'!O22+'Social Benefits'!O16</f>
        <v>1701.3999999999987</v>
      </c>
      <c r="E17" s="992">
        <f>'Social Benefits'!P22+'Social Benefits'!P16</f>
        <v>1677.5666666666652</v>
      </c>
      <c r="F17" s="992">
        <f>'Social Benefits'!Q22+'Social Benefits'!Q16</f>
        <v>1732.4522694361517</v>
      </c>
      <c r="G17" s="992">
        <f>'Social Benefits'!R22+'Social Benefits'!R16</f>
        <v>1723.6189361028182</v>
      </c>
      <c r="H17" s="992">
        <f>'Social Benefits'!S22+'Social Benefits'!S16</f>
        <v>1719.7856027694847</v>
      </c>
      <c r="I17" s="992">
        <f>'Social Benefits'!T22+'Social Benefits'!T16</f>
        <v>1715.9522694361513</v>
      </c>
      <c r="J17" s="992">
        <f>'Social Benefits'!U22+'Social Benefits'!U16</f>
        <v>1787.8252807263359</v>
      </c>
      <c r="K17" s="992">
        <f>'Social Benefits'!V22+'Social Benefits'!V16</f>
        <v>1788.9919473930024</v>
      </c>
      <c r="L17" s="992">
        <f>'Social Benefits'!W22+'Social Benefits'!W16</f>
        <v>1790.1586140596689</v>
      </c>
      <c r="M17" s="992">
        <f>'Social Benefits'!X22+'Social Benefits'!X16</f>
        <v>1796.3252807263354</v>
      </c>
      <c r="N17" s="992">
        <f>'Social Benefits'!Y22+'Social Benefits'!Y16</f>
        <v>1873.4262697087288</v>
      </c>
    </row>
    <row r="18" spans="1:14" s="452" customFormat="1">
      <c r="A18" s="452" t="s">
        <v>590</v>
      </c>
      <c r="B18" s="452" t="s">
        <v>661</v>
      </c>
      <c r="C18" s="415">
        <f>'Social Benefits'!N30</f>
        <v>91.221854795474272</v>
      </c>
      <c r="D18" s="415">
        <f>'Social Benefits'!O30</f>
        <v>80.16111257328771</v>
      </c>
      <c r="E18" s="415">
        <f>'Social Benefits'!P30</f>
        <v>70.441496540433249</v>
      </c>
      <c r="F18" s="415">
        <f>'Social Benefits'!Q30</f>
        <v>61.900393789062385</v>
      </c>
      <c r="G18" s="415">
        <f>'Social Benefits'!R30</f>
        <v>54.394908390988398</v>
      </c>
      <c r="H18" s="415">
        <f>'Social Benefits'!S30</f>
        <v>47.799470693946255</v>
      </c>
      <c r="I18" s="415">
        <f>'Social Benefits'!T30</f>
        <v>42.003736493100661</v>
      </c>
      <c r="J18" s="415">
        <f>'Social Benefits'!U30</f>
        <v>36.91074093013512</v>
      </c>
      <c r="K18" s="415">
        <f>'Social Benefits'!V30</f>
        <v>32.435276233944904</v>
      </c>
      <c r="L18" s="415">
        <f>'Social Benefits'!W30</f>
        <v>28.502466161912935</v>
      </c>
      <c r="M18" s="415">
        <f>'Social Benefits'!X30</f>
        <v>25.046513291623839</v>
      </c>
      <c r="N18" s="415">
        <f>'Social Benefits'!Y30</f>
        <v>22.009598204725549</v>
      </c>
    </row>
    <row r="19" spans="1:14">
      <c r="A19" t="s">
        <v>668</v>
      </c>
      <c r="B19" s="452" t="s">
        <v>670</v>
      </c>
      <c r="C19" s="415">
        <f>Taxes!L10</f>
        <v>3506.7931262338225</v>
      </c>
      <c r="D19" s="415">
        <f>Taxes!M10</f>
        <v>3585.4365249681118</v>
      </c>
      <c r="E19" s="415">
        <f>Taxes!N10</f>
        <v>3621.6822821321389</v>
      </c>
      <c r="F19" s="415">
        <f>Taxes!O10</f>
        <v>3707.3333471800074</v>
      </c>
      <c r="G19" s="415">
        <f>Taxes!P10</f>
        <v>3741.1267760294527</v>
      </c>
      <c r="H19" s="415">
        <f>Taxes!Q10</f>
        <v>3779.117520103795</v>
      </c>
      <c r="I19" s="415">
        <f>Taxes!R10</f>
        <v>3816.0844485624484</v>
      </c>
      <c r="J19" s="415">
        <f>Taxes!S10</f>
        <v>3898.9574032715132</v>
      </c>
      <c r="K19" s="415">
        <f>Taxes!T10</f>
        <v>3938.4201691283315</v>
      </c>
      <c r="L19" s="415">
        <f>Taxes!U10</f>
        <v>3979.9729921167627</v>
      </c>
      <c r="M19" s="415">
        <f>Taxes!V10</f>
        <v>4023.1913962187373</v>
      </c>
      <c r="N19" s="415">
        <f>Taxes!W10</f>
        <v>4023.4915379328727</v>
      </c>
    </row>
    <row r="20" spans="1:14">
      <c r="A20" t="s">
        <v>669</v>
      </c>
      <c r="B20" s="452" t="s">
        <v>671</v>
      </c>
      <c r="C20" s="415">
        <f>Taxes!L17</f>
        <v>1982.2575063350162</v>
      </c>
      <c r="D20" s="415">
        <f>Taxes!M17</f>
        <v>2018.4385726167525</v>
      </c>
      <c r="E20" s="415">
        <f>Taxes!N17</f>
        <v>2042.071200394108</v>
      </c>
      <c r="F20" s="415">
        <f>Taxes!O17</f>
        <v>2068.0888553932191</v>
      </c>
      <c r="G20" s="415">
        <f>Taxes!P17</f>
        <v>2090.3566417716715</v>
      </c>
      <c r="H20" s="415">
        <f>Taxes!Q17</f>
        <v>2113.4133340890266</v>
      </c>
      <c r="I20" s="415">
        <f>Taxes!R17</f>
        <v>2136.2796926193246</v>
      </c>
      <c r="J20" s="415">
        <f>Taxes!S17</f>
        <v>2158.0501261231802</v>
      </c>
      <c r="K20" s="415">
        <f>Taxes!T17</f>
        <v>2181.1897387005884</v>
      </c>
      <c r="L20" s="415">
        <f>Taxes!U17</f>
        <v>2205.8491806813931</v>
      </c>
      <c r="M20" s="415">
        <f>Taxes!V17</f>
        <v>2231.7604044944273</v>
      </c>
      <c r="N20" s="415">
        <f>Taxes!W17</f>
        <v>2256.6943414541456</v>
      </c>
    </row>
    <row r="21" spans="1:14">
      <c r="A21" t="s">
        <v>666</v>
      </c>
      <c r="B21" s="452" t="s">
        <v>672</v>
      </c>
      <c r="C21" s="415">
        <f>Taxes!L14</f>
        <v>226.10456279809225</v>
      </c>
      <c r="D21" s="415">
        <f>Taxes!M14</f>
        <v>223.63021860095395</v>
      </c>
      <c r="E21" s="415">
        <f>Taxes!N14</f>
        <v>226.20555643879177</v>
      </c>
      <c r="F21" s="415">
        <f>Taxes!O14</f>
        <v>250.26687850661628</v>
      </c>
      <c r="G21" s="415">
        <f>Taxes!P14</f>
        <v>255.50212610826523</v>
      </c>
      <c r="H21" s="415">
        <f>Taxes!Q14</f>
        <v>260.30753232788413</v>
      </c>
      <c r="I21" s="415">
        <f>Taxes!R14</f>
        <v>265.34439159936528</v>
      </c>
      <c r="J21" s="415">
        <f>Taxes!S14</f>
        <v>288.93373183497721</v>
      </c>
      <c r="K21" s="415">
        <f>Taxes!T14</f>
        <v>293.21843999622678</v>
      </c>
      <c r="L21" s="415">
        <f>Taxes!U14</f>
        <v>298.3316828847897</v>
      </c>
      <c r="M21" s="415">
        <f>Taxes!V14</f>
        <v>303.9538828201309</v>
      </c>
      <c r="N21" s="415">
        <f>Taxes!W14</f>
        <v>310.98024028630624</v>
      </c>
    </row>
    <row r="22" spans="1:14">
      <c r="A22" t="s">
        <v>667</v>
      </c>
      <c r="B22" s="452" t="s">
        <v>673</v>
      </c>
      <c r="C22" s="415">
        <f>Taxes!L21</f>
        <v>90.050302066772659</v>
      </c>
      <c r="D22" s="415">
        <f>Taxes!M21</f>
        <v>89.064848966613667</v>
      </c>
      <c r="E22" s="415">
        <f>Taxes!N21</f>
        <v>90.090524642289338</v>
      </c>
      <c r="F22" s="415">
        <f>Taxes!O21</f>
        <v>91.333402225755151</v>
      </c>
      <c r="G22" s="415">
        <f>Taxes!P21</f>
        <v>93.243974562798073</v>
      </c>
      <c r="H22" s="415">
        <f>Taxes!Q21</f>
        <v>94.997678855325915</v>
      </c>
      <c r="I22" s="415">
        <f>Taxes!R21</f>
        <v>96.835850556438785</v>
      </c>
      <c r="J22" s="415">
        <f>Taxes!S21</f>
        <v>98.187329093799676</v>
      </c>
      <c r="K22" s="415">
        <f>Taxes!T21</f>
        <v>99.643386327503976</v>
      </c>
      <c r="L22" s="415">
        <f>Taxes!U21</f>
        <v>101.3810015898251</v>
      </c>
      <c r="M22" s="415">
        <f>Taxes!V21</f>
        <v>103.29157392686803</v>
      </c>
      <c r="N22" s="415">
        <f>Taxes!W21</f>
        <v>105.0372337042925</v>
      </c>
    </row>
  </sheetData>
  <phoneticPr fontId="5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C2" sqref="C2"/>
    </sheetView>
  </sheetViews>
  <sheetFormatPr baseColWidth="10" defaultColWidth="8.83203125" defaultRowHeight="15"/>
  <cols>
    <col min="1" max="1" width="18.33203125" customWidth="1"/>
    <col min="2" max="2" width="27.1640625" customWidth="1"/>
  </cols>
  <sheetData>
    <row r="1" spans="1:6" s="1020" customFormat="1">
      <c r="A1" s="960" t="s">
        <v>675</v>
      </c>
      <c r="B1" s="960" t="s">
        <v>674</v>
      </c>
      <c r="C1" s="995" t="s">
        <v>150</v>
      </c>
      <c r="D1" s="995" t="s">
        <v>151</v>
      </c>
      <c r="E1" s="995" t="s">
        <v>152</v>
      </c>
      <c r="F1" s="995" t="s">
        <v>153</v>
      </c>
    </row>
    <row r="2" spans="1:6" ht="32">
      <c r="A2" s="977" t="s">
        <v>747</v>
      </c>
      <c r="B2" s="976" t="s">
        <v>748</v>
      </c>
      <c r="C2" s="976">
        <f>Grants!F72</f>
        <v>321.36000000000018</v>
      </c>
      <c r="D2" s="976">
        <f>Grants!G72</f>
        <v>287.12800000000004</v>
      </c>
      <c r="E2" s="976">
        <f>Grants!H72</f>
        <v>285.90700000000004</v>
      </c>
      <c r="F2" s="976">
        <f>Grants!I72</f>
        <v>313.33699999999999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topLeftCell="A10" zoomScale="101" workbookViewId="0">
      <selection activeCell="A12" sqref="A12"/>
    </sheetView>
  </sheetViews>
  <sheetFormatPr baseColWidth="10" defaultColWidth="11.6640625" defaultRowHeight="16"/>
  <cols>
    <col min="1" max="1" width="58" style="438" customWidth="1"/>
    <col min="2" max="16384" width="11.6640625" style="438"/>
  </cols>
  <sheetData>
    <row r="1" spans="1:14">
      <c r="A1" s="1233" t="s">
        <v>570</v>
      </c>
      <c r="B1" s="1233"/>
      <c r="C1" s="1233"/>
      <c r="D1" s="1233"/>
      <c r="E1" s="1233"/>
      <c r="F1" s="1233"/>
      <c r="G1" s="1233"/>
      <c r="H1" s="1233"/>
      <c r="I1" s="1233"/>
      <c r="J1" s="1233"/>
      <c r="K1" s="1233"/>
      <c r="L1" s="1233"/>
      <c r="M1" s="1233"/>
      <c r="N1" s="1233"/>
    </row>
    <row r="2" spans="1:14" ht="34">
      <c r="A2" s="437"/>
      <c r="B2" s="464">
        <v>1</v>
      </c>
      <c r="C2" s="464">
        <f>B2+1</f>
        <v>2</v>
      </c>
      <c r="D2" s="464">
        <f t="shared" ref="D2:M2" si="0">C2+1</f>
        <v>3</v>
      </c>
      <c r="E2" s="464">
        <f t="shared" si="0"/>
        <v>4</v>
      </c>
      <c r="F2" s="464">
        <f t="shared" si="0"/>
        <v>5</v>
      </c>
      <c r="G2" s="464">
        <f t="shared" si="0"/>
        <v>6</v>
      </c>
      <c r="H2" s="464">
        <f t="shared" si="0"/>
        <v>7</v>
      </c>
      <c r="I2" s="464">
        <f t="shared" si="0"/>
        <v>8</v>
      </c>
      <c r="J2" s="464">
        <f t="shared" si="0"/>
        <v>9</v>
      </c>
      <c r="K2" s="464">
        <f t="shared" si="0"/>
        <v>10</v>
      </c>
      <c r="L2" s="464">
        <f t="shared" si="0"/>
        <v>11</v>
      </c>
      <c r="M2" s="464">
        <f t="shared" si="0"/>
        <v>12</v>
      </c>
      <c r="N2" s="459" t="s">
        <v>567</v>
      </c>
    </row>
    <row r="3" spans="1:14">
      <c r="A3" s="437" t="s">
        <v>565</v>
      </c>
      <c r="B3" s="461"/>
      <c r="C3" s="461"/>
      <c r="D3" s="461"/>
      <c r="E3" s="461"/>
      <c r="F3" s="461"/>
      <c r="G3" s="461"/>
      <c r="H3" s="461"/>
      <c r="I3" s="461"/>
      <c r="J3" s="461"/>
      <c r="K3" s="461"/>
      <c r="L3" s="461"/>
      <c r="M3" s="461"/>
    </row>
    <row r="4" spans="1:14">
      <c r="A4" s="439" t="s">
        <v>564</v>
      </c>
      <c r="B4" s="463">
        <f>0.9*0.25</f>
        <v>0.22500000000000001</v>
      </c>
      <c r="C4" s="463">
        <f>0.9*0.25</f>
        <v>0.22500000000000001</v>
      </c>
      <c r="D4" s="463">
        <f>0.9*0.25</f>
        <v>0.22500000000000001</v>
      </c>
      <c r="E4" s="463">
        <f>0.9*0.25</f>
        <v>0.22500000000000001</v>
      </c>
      <c r="F4" s="462"/>
      <c r="G4" s="462"/>
      <c r="H4" s="462"/>
      <c r="I4" s="462"/>
      <c r="J4" s="462"/>
      <c r="K4" s="462"/>
      <c r="L4" s="462"/>
      <c r="M4" s="462"/>
    </row>
    <row r="5" spans="1:14">
      <c r="A5" s="441" t="s">
        <v>538</v>
      </c>
      <c r="B5" s="463">
        <f t="shared" ref="B5:M5" si="1">-0.4*(1/12)</f>
        <v>-3.3333333333333333E-2</v>
      </c>
      <c r="C5" s="463">
        <f t="shared" si="1"/>
        <v>-3.3333333333333333E-2</v>
      </c>
      <c r="D5" s="463">
        <f t="shared" si="1"/>
        <v>-3.3333333333333333E-2</v>
      </c>
      <c r="E5" s="463">
        <f t="shared" si="1"/>
        <v>-3.3333333333333333E-2</v>
      </c>
      <c r="F5" s="463">
        <f t="shared" si="1"/>
        <v>-3.3333333333333333E-2</v>
      </c>
      <c r="G5" s="463">
        <f t="shared" si="1"/>
        <v>-3.3333333333333333E-2</v>
      </c>
      <c r="H5" s="463">
        <f t="shared" si="1"/>
        <v>-3.3333333333333333E-2</v>
      </c>
      <c r="I5" s="463">
        <f t="shared" si="1"/>
        <v>-3.3333333333333333E-2</v>
      </c>
      <c r="J5" s="463">
        <f t="shared" si="1"/>
        <v>-3.3333333333333333E-2</v>
      </c>
      <c r="K5" s="463">
        <f t="shared" si="1"/>
        <v>-3.3333333333333333E-2</v>
      </c>
      <c r="L5" s="463">
        <f t="shared" si="1"/>
        <v>-3.3333333333333333E-2</v>
      </c>
      <c r="M5" s="463">
        <f t="shared" si="1"/>
        <v>-3.3333333333333333E-2</v>
      </c>
      <c r="N5" s="460">
        <f>SUM(B5:M5)</f>
        <v>-0.39999999999999997</v>
      </c>
    </row>
    <row r="6" spans="1:14">
      <c r="A6" s="441" t="s">
        <v>539</v>
      </c>
      <c r="B6" s="463">
        <f>-0.6*0.2</f>
        <v>-0.12</v>
      </c>
      <c r="C6" s="463">
        <f>-0.6*0.2</f>
        <v>-0.12</v>
      </c>
      <c r="D6" s="463">
        <f t="shared" ref="D6:I6" si="2">-0.6*0.1</f>
        <v>-0.06</v>
      </c>
      <c r="E6" s="463">
        <f t="shared" si="2"/>
        <v>-0.06</v>
      </c>
      <c r="F6" s="463">
        <f t="shared" si="2"/>
        <v>-0.06</v>
      </c>
      <c r="G6" s="463">
        <f t="shared" si="2"/>
        <v>-0.06</v>
      </c>
      <c r="H6" s="463">
        <f t="shared" si="2"/>
        <v>-0.06</v>
      </c>
      <c r="I6" s="463">
        <f t="shared" si="2"/>
        <v>-0.06</v>
      </c>
      <c r="J6" s="463"/>
      <c r="K6" s="463"/>
      <c r="L6" s="463"/>
      <c r="M6" s="463"/>
      <c r="N6" s="460">
        <f t="shared" ref="N6:N18" si="3">SUM(B6:M6)</f>
        <v>-0.60000000000000009</v>
      </c>
    </row>
    <row r="7" spans="1:14">
      <c r="A7" s="506" t="s">
        <v>460</v>
      </c>
      <c r="B7" s="463">
        <f>B12</f>
        <v>0.22500000000000001</v>
      </c>
      <c r="C7" s="463">
        <f t="shared" ref="C7:H7" si="4">C12</f>
        <v>0.22500000000000001</v>
      </c>
      <c r="D7" s="463">
        <f t="shared" si="4"/>
        <v>0.22500000000000001</v>
      </c>
      <c r="E7" s="463">
        <f t="shared" si="4"/>
        <v>0.22500000000000001</v>
      </c>
      <c r="F7" s="463">
        <f t="shared" si="4"/>
        <v>0</v>
      </c>
      <c r="G7" s="463">
        <f t="shared" si="4"/>
        <v>0</v>
      </c>
      <c r="H7" s="463">
        <f t="shared" si="4"/>
        <v>0</v>
      </c>
      <c r="I7" s="463"/>
      <c r="J7" s="463"/>
      <c r="K7" s="463"/>
      <c r="L7" s="463"/>
      <c r="M7" s="463"/>
      <c r="N7" s="460"/>
    </row>
    <row r="8" spans="1:14">
      <c r="A8" s="506" t="s">
        <v>569</v>
      </c>
      <c r="B8" s="463">
        <f>B17</f>
        <v>0.14000000000000001</v>
      </c>
      <c r="C8" s="463">
        <f t="shared" ref="C8:I8" si="5">C17</f>
        <v>0.14000000000000001</v>
      </c>
      <c r="D8" s="463">
        <f t="shared" si="5"/>
        <v>0.2</v>
      </c>
      <c r="E8" s="463">
        <f t="shared" si="5"/>
        <v>0.2</v>
      </c>
      <c r="F8" s="463">
        <f t="shared" si="5"/>
        <v>0.09</v>
      </c>
      <c r="G8" s="463">
        <f t="shared" si="5"/>
        <v>0.05</v>
      </c>
      <c r="H8" s="463">
        <f t="shared" si="5"/>
        <v>0.05</v>
      </c>
      <c r="I8" s="463">
        <f t="shared" si="5"/>
        <v>0.03</v>
      </c>
      <c r="J8" s="463"/>
      <c r="K8" s="463"/>
      <c r="L8" s="463"/>
      <c r="M8" s="463"/>
      <c r="N8" s="460">
        <f t="shared" si="3"/>
        <v>0.90000000000000013</v>
      </c>
    </row>
    <row r="9" spans="1:14">
      <c r="A9" s="458" t="s">
        <v>566</v>
      </c>
      <c r="B9" s="462"/>
      <c r="C9" s="462"/>
      <c r="D9" s="462"/>
      <c r="E9" s="462"/>
      <c r="F9" s="462"/>
      <c r="G9" s="462"/>
      <c r="H9" s="462"/>
      <c r="I9" s="462"/>
      <c r="J9" s="462"/>
      <c r="K9" s="462"/>
      <c r="L9" s="462"/>
      <c r="M9" s="462"/>
      <c r="N9" s="460">
        <f t="shared" si="3"/>
        <v>0</v>
      </c>
    </row>
    <row r="10" spans="1:14">
      <c r="A10" s="439" t="s">
        <v>185</v>
      </c>
      <c r="B10" s="463">
        <f>0.7*0.35</f>
        <v>0.24499999999999997</v>
      </c>
      <c r="C10" s="463">
        <f>0.7*0.15</f>
        <v>0.105</v>
      </c>
      <c r="D10" s="463">
        <f t="shared" ref="D10:I10" si="6">0.7*0.08</f>
        <v>5.5999999999999994E-2</v>
      </c>
      <c r="E10" s="463">
        <f t="shared" si="6"/>
        <v>5.5999999999999994E-2</v>
      </c>
      <c r="F10" s="463">
        <f t="shared" si="6"/>
        <v>5.5999999999999994E-2</v>
      </c>
      <c r="G10" s="463">
        <f t="shared" si="6"/>
        <v>5.5999999999999994E-2</v>
      </c>
      <c r="H10" s="463">
        <f t="shared" si="6"/>
        <v>5.5999999999999994E-2</v>
      </c>
      <c r="I10" s="463">
        <f t="shared" si="6"/>
        <v>5.5999999999999994E-2</v>
      </c>
      <c r="J10" s="463">
        <f>0.01</f>
        <v>0.01</v>
      </c>
      <c r="K10" s="463"/>
      <c r="L10" s="463"/>
      <c r="M10" s="463"/>
      <c r="N10" s="460">
        <f t="shared" si="3"/>
        <v>0.69600000000000017</v>
      </c>
    </row>
    <row r="11" spans="1:14">
      <c r="A11" s="439" t="s">
        <v>189</v>
      </c>
      <c r="B11" s="463">
        <f>0.9*0.35</f>
        <v>0.315</v>
      </c>
      <c r="C11" s="463">
        <f>0.9*0.35</f>
        <v>0.315</v>
      </c>
      <c r="D11" s="463">
        <f>0.9*0.1</f>
        <v>9.0000000000000011E-2</v>
      </c>
      <c r="E11" s="463">
        <f>0.9*0.1</f>
        <v>9.0000000000000011E-2</v>
      </c>
      <c r="F11" s="463">
        <f>0.9*0.05</f>
        <v>4.5000000000000005E-2</v>
      </c>
      <c r="G11" s="463">
        <f>0.9*0.05</f>
        <v>4.5000000000000005E-2</v>
      </c>
      <c r="H11" s="463"/>
      <c r="I11" s="463"/>
      <c r="J11" s="463"/>
      <c r="K11" s="463"/>
      <c r="L11" s="463"/>
      <c r="M11" s="463"/>
      <c r="N11" s="460">
        <f t="shared" si="3"/>
        <v>0.9</v>
      </c>
    </row>
    <row r="12" spans="1:14">
      <c r="A12" s="439" t="s">
        <v>588</v>
      </c>
      <c r="B12" s="463">
        <f>0.9*0.25</f>
        <v>0.22500000000000001</v>
      </c>
      <c r="C12" s="463">
        <f>0.9*0.25</f>
        <v>0.22500000000000001</v>
      </c>
      <c r="D12" s="463">
        <f>0.9*0.25</f>
        <v>0.22500000000000001</v>
      </c>
      <c r="E12" s="463">
        <f>0.9*0.25</f>
        <v>0.22500000000000001</v>
      </c>
      <c r="F12" s="463"/>
      <c r="G12" s="463"/>
      <c r="H12" s="463"/>
      <c r="I12" s="463"/>
      <c r="J12" s="463"/>
      <c r="K12" s="463"/>
      <c r="L12" s="463"/>
      <c r="M12" s="463"/>
      <c r="N12" s="460">
        <f t="shared" si="3"/>
        <v>0.9</v>
      </c>
    </row>
    <row r="13" spans="1:14">
      <c r="A13" s="439" t="s">
        <v>604</v>
      </c>
      <c r="B13" s="463">
        <f>0.45*0.11</f>
        <v>4.9500000000000002E-2</v>
      </c>
      <c r="C13" s="463">
        <f>0.45*0.095</f>
        <v>4.2750000000000003E-2</v>
      </c>
      <c r="D13" s="463">
        <f>0.45*0.09</f>
        <v>4.0500000000000001E-2</v>
      </c>
      <c r="E13" s="463">
        <f>0.45*0.085</f>
        <v>3.8250000000000006E-2</v>
      </c>
      <c r="F13" s="463">
        <f>0.45*0.08</f>
        <v>3.6000000000000004E-2</v>
      </c>
      <c r="G13" s="463">
        <f>0.45*0.08</f>
        <v>3.6000000000000004E-2</v>
      </c>
      <c r="H13" s="463">
        <f>0.45*0.08</f>
        <v>3.6000000000000004E-2</v>
      </c>
      <c r="I13" s="463">
        <f>0.45*0.08</f>
        <v>3.6000000000000004E-2</v>
      </c>
      <c r="J13" s="463">
        <f>0.45*0.075</f>
        <v>3.3750000000000002E-2</v>
      </c>
      <c r="K13" s="463">
        <f>0.45*0.075</f>
        <v>3.3750000000000002E-2</v>
      </c>
      <c r="L13" s="463">
        <f>0.45*0.075</f>
        <v>3.3750000000000002E-2</v>
      </c>
      <c r="M13" s="463">
        <f>0.45*0.075</f>
        <v>3.3750000000000002E-2</v>
      </c>
      <c r="N13" s="460">
        <f t="shared" si="3"/>
        <v>0.45000000000000007</v>
      </c>
    </row>
    <row r="14" spans="1:14">
      <c r="A14" s="458" t="s">
        <v>545</v>
      </c>
      <c r="B14" s="462"/>
      <c r="C14" s="462"/>
      <c r="D14" s="462"/>
      <c r="E14" s="462"/>
      <c r="F14" s="462"/>
      <c r="G14" s="462"/>
      <c r="H14" s="462"/>
      <c r="I14" s="462"/>
      <c r="J14" s="462"/>
      <c r="K14" s="462"/>
      <c r="L14" s="462"/>
      <c r="M14" s="462"/>
      <c r="N14" s="460"/>
    </row>
    <row r="15" spans="1:14">
      <c r="A15" s="439" t="s">
        <v>536</v>
      </c>
      <c r="B15" s="463">
        <v>0.14000000000000001</v>
      </c>
      <c r="C15" s="463">
        <v>0.1</v>
      </c>
      <c r="D15" s="463">
        <v>0.1</v>
      </c>
      <c r="E15" s="463">
        <v>0.05</v>
      </c>
      <c r="F15" s="463">
        <v>0.05</v>
      </c>
      <c r="G15" s="463">
        <v>0.05</v>
      </c>
      <c r="H15" s="463">
        <v>0.05</v>
      </c>
      <c r="I15" s="463">
        <v>0.05</v>
      </c>
      <c r="J15" s="463">
        <v>0.05</v>
      </c>
      <c r="K15" s="463">
        <v>0.05</v>
      </c>
      <c r="L15" s="463"/>
      <c r="M15" s="463"/>
      <c r="N15" s="460">
        <f>SUM(B15:M15)</f>
        <v>0.69000000000000017</v>
      </c>
    </row>
    <row r="16" spans="1:14">
      <c r="A16" s="439" t="s">
        <v>537</v>
      </c>
      <c r="B16" s="463">
        <v>0.14000000000000001</v>
      </c>
      <c r="C16" s="463">
        <v>0.14000000000000001</v>
      </c>
      <c r="D16" s="463">
        <v>0.2</v>
      </c>
      <c r="E16" s="463">
        <v>0.2</v>
      </c>
      <c r="F16" s="463">
        <v>0.09</v>
      </c>
      <c r="G16" s="463">
        <v>0.05</v>
      </c>
      <c r="H16" s="463">
        <v>0.05</v>
      </c>
      <c r="I16" s="463">
        <v>0.04</v>
      </c>
      <c r="J16" s="463"/>
      <c r="K16" s="463"/>
      <c r="L16" s="463"/>
      <c r="M16" s="463"/>
      <c r="N16" s="460">
        <f>SUM(B16:M16)</f>
        <v>0.91000000000000014</v>
      </c>
    </row>
    <row r="17" spans="1:14" ht="51">
      <c r="A17" s="440" t="s">
        <v>584</v>
      </c>
      <c r="B17" s="463">
        <v>0.14000000000000001</v>
      </c>
      <c r="C17" s="463">
        <v>0.14000000000000001</v>
      </c>
      <c r="D17" s="463">
        <v>0.2</v>
      </c>
      <c r="E17" s="463">
        <v>0.2</v>
      </c>
      <c r="F17" s="463">
        <v>0.09</v>
      </c>
      <c r="G17" s="463">
        <v>0.05</v>
      </c>
      <c r="H17" s="463">
        <v>0.05</v>
      </c>
      <c r="I17" s="463">
        <v>0.03</v>
      </c>
      <c r="J17" s="463"/>
      <c r="K17" s="463"/>
      <c r="L17" s="463"/>
      <c r="M17" s="463"/>
      <c r="N17" s="460">
        <f t="shared" si="3"/>
        <v>0.90000000000000013</v>
      </c>
    </row>
    <row r="18" spans="1:14" ht="34">
      <c r="A18" s="440" t="s">
        <v>568</v>
      </c>
      <c r="B18" s="463">
        <v>0.14000000000000001</v>
      </c>
      <c r="C18" s="463">
        <v>0.1</v>
      </c>
      <c r="D18" s="463">
        <v>0.1</v>
      </c>
      <c r="E18" s="463">
        <v>0.05</v>
      </c>
      <c r="F18" s="463">
        <v>0.05</v>
      </c>
      <c r="G18" s="463">
        <v>0.05</v>
      </c>
      <c r="H18" s="463">
        <v>0.05</v>
      </c>
      <c r="I18" s="463">
        <v>0.05</v>
      </c>
      <c r="J18" s="463">
        <v>0.05</v>
      </c>
      <c r="K18" s="463">
        <v>0.05</v>
      </c>
      <c r="L18" s="463">
        <v>0.05</v>
      </c>
      <c r="M18" s="463"/>
      <c r="N18" s="460">
        <f t="shared" si="3"/>
        <v>0.74000000000000021</v>
      </c>
    </row>
    <row r="19" spans="1:14" ht="44.5" customHeight="1">
      <c r="A19" s="440" t="s">
        <v>605</v>
      </c>
      <c r="B19" s="463">
        <v>0.04</v>
      </c>
      <c r="C19" s="463">
        <v>0.04</v>
      </c>
      <c r="D19" s="463">
        <v>1.7000000000000001E-2</v>
      </c>
      <c r="E19" s="463">
        <v>1.7000000000000001E-2</v>
      </c>
      <c r="F19" s="463">
        <v>1.7000000000000001E-2</v>
      </c>
      <c r="G19" s="463">
        <v>1.7000000000000001E-2</v>
      </c>
      <c r="H19" s="463">
        <v>1.7000000000000001E-2</v>
      </c>
      <c r="I19" s="463">
        <v>1.7000000000000001E-2</v>
      </c>
      <c r="J19" s="463">
        <v>1.7000000000000001E-2</v>
      </c>
      <c r="K19" s="463">
        <v>1.7000000000000001E-2</v>
      </c>
      <c r="L19" s="463">
        <v>1.7000000000000001E-2</v>
      </c>
      <c r="M19" s="463">
        <v>1.7000000000000001E-2</v>
      </c>
      <c r="N19" s="460">
        <f>SUM(B19:M19)</f>
        <v>0.25000000000000011</v>
      </c>
    </row>
  </sheetData>
  <mergeCells count="1">
    <mergeCell ref="A1:N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B95"/>
  <sheetViews>
    <sheetView tabSelected="1" topLeftCell="A63" zoomScale="118" zoomScaleNormal="80" workbookViewId="0">
      <selection activeCell="D79" sqref="D79"/>
    </sheetView>
  </sheetViews>
  <sheetFormatPr baseColWidth="10" defaultColWidth="8.6640625" defaultRowHeight="14"/>
  <cols>
    <col min="1" max="1" width="8.6640625" style="175" customWidth="1"/>
    <col min="2" max="2" width="40.5" style="37" customWidth="1"/>
    <col min="3" max="3" width="7.1640625" style="37" customWidth="1"/>
    <col min="4" max="4" width="10.33203125" style="37" customWidth="1"/>
    <col min="5" max="5" width="11.33203125" style="37" customWidth="1"/>
    <col min="6" max="9" width="7.6640625" style="37" customWidth="1"/>
    <col min="10" max="21" width="8.1640625" style="37" customWidth="1"/>
    <col min="22" max="22" width="8.1640625" style="428" customWidth="1"/>
    <col min="23" max="23" width="15.33203125" style="428" customWidth="1"/>
    <col min="24" max="24" width="114.83203125" style="37" customWidth="1"/>
    <col min="25" max="16384" width="8.6640625" style="37"/>
  </cols>
  <sheetData>
    <row r="1" spans="1:80">
      <c r="B1" s="1262" t="s">
        <v>0</v>
      </c>
      <c r="C1" s="1262"/>
      <c r="D1" s="1262"/>
      <c r="E1" s="1262"/>
      <c r="F1" s="1262"/>
      <c r="G1" s="1262"/>
      <c r="H1" s="1262"/>
      <c r="I1" s="1262"/>
      <c r="J1" s="1262"/>
      <c r="K1" s="1262"/>
      <c r="L1" s="1262"/>
      <c r="M1" s="1262"/>
      <c r="N1" s="1262"/>
      <c r="O1" s="1262"/>
      <c r="P1" s="1262"/>
      <c r="Q1" s="1262"/>
      <c r="R1" s="1262"/>
      <c r="S1" s="1262"/>
      <c r="T1" s="1262"/>
      <c r="U1" s="1262"/>
      <c r="V1" s="432"/>
      <c r="W1" s="432"/>
    </row>
    <row r="2" spans="1:80" ht="14" customHeight="1">
      <c r="B2" s="1244" t="s">
        <v>603</v>
      </c>
      <c r="C2" s="1244"/>
      <c r="D2" s="1244"/>
      <c r="E2" s="1244"/>
      <c r="F2" s="1244"/>
      <c r="G2" s="1244"/>
      <c r="H2" s="1244"/>
      <c r="I2" s="1244"/>
      <c r="J2" s="1244"/>
      <c r="K2" s="1244"/>
      <c r="L2" s="1244"/>
      <c r="M2" s="1244"/>
      <c r="N2" s="1244"/>
      <c r="O2" s="1244"/>
      <c r="P2" s="1244"/>
      <c r="Q2" s="1244"/>
      <c r="R2" s="1244"/>
      <c r="S2" s="1244"/>
      <c r="T2" s="1244"/>
      <c r="U2" s="1244"/>
      <c r="V2" s="431"/>
      <c r="W2" s="431"/>
    </row>
    <row r="3" spans="1:80" ht="50.5" customHeight="1">
      <c r="B3" s="1244"/>
      <c r="C3" s="1244"/>
      <c r="D3" s="1244"/>
      <c r="E3" s="1244"/>
      <c r="F3" s="1244"/>
      <c r="G3" s="1244"/>
      <c r="H3" s="1244"/>
      <c r="I3" s="1244"/>
      <c r="J3" s="1244"/>
      <c r="K3" s="1244"/>
      <c r="L3" s="1244"/>
      <c r="M3" s="1244"/>
      <c r="N3" s="1244"/>
      <c r="O3" s="1244"/>
      <c r="P3" s="1244"/>
      <c r="Q3" s="1244"/>
      <c r="R3" s="1244"/>
      <c r="S3" s="1244"/>
      <c r="T3" s="1244"/>
      <c r="U3" s="1244"/>
      <c r="V3" s="431"/>
      <c r="W3" s="431"/>
    </row>
    <row r="4" spans="1:80" ht="5" customHeight="1">
      <c r="B4" s="1244"/>
      <c r="C4" s="1244"/>
      <c r="D4" s="1244"/>
      <c r="E4" s="1244"/>
      <c r="F4" s="1244"/>
      <c r="G4" s="1244"/>
      <c r="H4" s="1244"/>
      <c r="I4" s="1244"/>
      <c r="J4" s="1244"/>
      <c r="K4" s="1244"/>
      <c r="L4" s="1244"/>
      <c r="M4" s="1244"/>
      <c r="N4" s="1244"/>
      <c r="O4" s="1244"/>
      <c r="P4" s="1244"/>
      <c r="Q4" s="1244"/>
      <c r="R4" s="1244"/>
      <c r="S4" s="1244"/>
      <c r="T4" s="1244"/>
      <c r="U4" s="1244"/>
      <c r="V4" s="431"/>
      <c r="W4" s="431"/>
    </row>
    <row r="5" spans="1:80" ht="15">
      <c r="B5" s="245" t="s">
        <v>421</v>
      </c>
    </row>
    <row r="6" spans="1:80" ht="14.5" customHeight="1">
      <c r="B6" s="1245" t="s">
        <v>378</v>
      </c>
      <c r="C6" s="1246"/>
      <c r="D6" s="1251" t="s">
        <v>278</v>
      </c>
      <c r="E6" s="1252"/>
      <c r="F6" s="1252"/>
      <c r="G6" s="1252"/>
      <c r="H6" s="1252"/>
      <c r="I6" s="1252"/>
      <c r="J6" s="1263" t="s">
        <v>145</v>
      </c>
      <c r="K6" s="1264"/>
      <c r="L6" s="1264"/>
      <c r="M6" s="1264"/>
      <c r="N6" s="1264"/>
      <c r="O6" s="1264"/>
      <c r="P6" s="1264"/>
      <c r="Q6" s="1264"/>
      <c r="R6" s="1264"/>
      <c r="S6" s="1264"/>
      <c r="T6" s="1264"/>
      <c r="U6" s="1265"/>
      <c r="V6" s="1238" t="s">
        <v>593</v>
      </c>
      <c r="W6" s="1241" t="s">
        <v>594</v>
      </c>
    </row>
    <row r="7" spans="1:80" ht="24" customHeight="1">
      <c r="B7" s="1247"/>
      <c r="C7" s="1248"/>
      <c r="D7" s="105">
        <v>2019</v>
      </c>
      <c r="E7" s="1256">
        <v>2020</v>
      </c>
      <c r="F7" s="1257"/>
      <c r="G7" s="1257"/>
      <c r="H7" s="1258"/>
      <c r="I7" s="104">
        <v>2021</v>
      </c>
      <c r="J7" s="1259">
        <v>2021</v>
      </c>
      <c r="K7" s="1260"/>
      <c r="L7" s="1261"/>
      <c r="M7" s="1259">
        <v>2022</v>
      </c>
      <c r="N7" s="1260"/>
      <c r="O7" s="1260"/>
      <c r="P7" s="1260"/>
      <c r="Q7" s="1259">
        <v>2023</v>
      </c>
      <c r="R7" s="1260"/>
      <c r="S7" s="1260"/>
      <c r="T7" s="1260"/>
      <c r="U7" s="993">
        <v>2024</v>
      </c>
      <c r="V7" s="1239"/>
      <c r="W7" s="1242"/>
    </row>
    <row r="8" spans="1:80" ht="14" customHeight="1">
      <c r="B8" s="1249"/>
      <c r="C8" s="1250"/>
      <c r="D8" s="43" t="s">
        <v>140</v>
      </c>
      <c r="E8" s="41" t="s">
        <v>137</v>
      </c>
      <c r="F8" s="42" t="s">
        <v>138</v>
      </c>
      <c r="G8" s="42" t="s">
        <v>139</v>
      </c>
      <c r="H8" s="43" t="s">
        <v>140</v>
      </c>
      <c r="I8" s="41" t="s">
        <v>137</v>
      </c>
      <c r="J8" s="1005" t="s">
        <v>138</v>
      </c>
      <c r="K8" s="1006" t="s">
        <v>139</v>
      </c>
      <c r="L8" s="1007" t="s">
        <v>140</v>
      </c>
      <c r="M8" s="1005" t="s">
        <v>137</v>
      </c>
      <c r="N8" s="1006" t="s">
        <v>138</v>
      </c>
      <c r="O8" s="1006" t="s">
        <v>139</v>
      </c>
      <c r="P8" s="1006" t="s">
        <v>140</v>
      </c>
      <c r="Q8" s="1005" t="s">
        <v>137</v>
      </c>
      <c r="R8" s="1006" t="s">
        <v>138</v>
      </c>
      <c r="S8" s="1006" t="s">
        <v>139</v>
      </c>
      <c r="T8" s="1006" t="s">
        <v>140</v>
      </c>
      <c r="U8" s="1008" t="s">
        <v>137</v>
      </c>
      <c r="V8" s="1240"/>
      <c r="W8" s="1243"/>
    </row>
    <row r="9" spans="1:80" ht="23.5" customHeight="1">
      <c r="B9" s="523" t="s">
        <v>592</v>
      </c>
      <c r="C9" s="233" t="s">
        <v>244</v>
      </c>
      <c r="D9" s="542">
        <f>'Haver Pivoted'!GS32</f>
        <v>615.4</v>
      </c>
      <c r="E9" s="542">
        <f>'Haver Pivoted'!GT32</f>
        <v>627.79999999999995</v>
      </c>
      <c r="F9" s="542">
        <f>'Haver Pivoted'!GU32</f>
        <v>1396.9</v>
      </c>
      <c r="G9" s="542">
        <f>'Haver Pivoted'!GV32</f>
        <v>728.2</v>
      </c>
      <c r="H9" s="542">
        <f>'Haver Pivoted'!GW32</f>
        <v>738.1</v>
      </c>
      <c r="I9" s="542">
        <f>'Haver Pivoted'!GX32</f>
        <v>786.5</v>
      </c>
      <c r="J9" s="1023">
        <f>J10+J11</f>
        <v>1750.5732828024506</v>
      </c>
      <c r="K9" s="1018">
        <f t="shared" ref="K9:U9" si="0">K10+K11</f>
        <v>883.80163574249866</v>
      </c>
      <c r="L9" s="1018">
        <f t="shared" si="0"/>
        <v>907.97438659052716</v>
      </c>
      <c r="M9" s="1018">
        <f t="shared" si="0"/>
        <v>1495.9063539897993</v>
      </c>
      <c r="N9" s="1018">
        <f t="shared" si="0"/>
        <v>927.73637358755423</v>
      </c>
      <c r="O9" s="1018">
        <f t="shared" si="0"/>
        <v>885.18337446370515</v>
      </c>
      <c r="P9" s="1018">
        <f t="shared" si="0"/>
        <v>879.8241242802319</v>
      </c>
      <c r="Q9" s="1018">
        <f t="shared" si="0"/>
        <v>894.51196333303869</v>
      </c>
      <c r="R9" s="1018">
        <f t="shared" si="0"/>
        <v>910.11006182326014</v>
      </c>
      <c r="S9" s="1018">
        <f t="shared" si="0"/>
        <v>926.1823224836603</v>
      </c>
      <c r="T9" s="1018">
        <f t="shared" si="0"/>
        <v>922.96057617601741</v>
      </c>
      <c r="U9" s="974">
        <f t="shared" si="0"/>
        <v>896.14854831239813</v>
      </c>
      <c r="V9" s="952"/>
      <c r="W9" s="980"/>
    </row>
    <row r="10" spans="1:80" s="134" customFormat="1" ht="30">
      <c r="A10" s="192"/>
      <c r="B10" s="227" t="s">
        <v>188</v>
      </c>
      <c r="C10" s="114" t="s">
        <v>252</v>
      </c>
      <c r="D10" s="484">
        <f>'Haver Pivoted'!GS40</f>
        <v>411.40899999999999</v>
      </c>
      <c r="E10" s="484">
        <f>'Haver Pivoted'!GT40</f>
        <v>423.42899999999997</v>
      </c>
      <c r="F10" s="484">
        <f>'Haver Pivoted'!GU40</f>
        <v>512.64</v>
      </c>
      <c r="G10" s="484">
        <f>'Haver Pivoted'!GV40</f>
        <v>486.072</v>
      </c>
      <c r="H10" s="484">
        <f>'Haver Pivoted'!GW40</f>
        <v>512.19299999999998</v>
      </c>
      <c r="I10" s="484">
        <f>'Haver Pivoted'!GX40</f>
        <v>523.16300000000001</v>
      </c>
      <c r="J10" s="1012">
        <f>Medicaid!J29</f>
        <v>549.00585641550458</v>
      </c>
      <c r="K10" s="1013">
        <f>Medicaid!K29</f>
        <v>553.41886894343111</v>
      </c>
      <c r="L10" s="1013">
        <f>Medicaid!L29</f>
        <v>558.86003359502126</v>
      </c>
      <c r="M10" s="1013">
        <f>Medicaid!M29</f>
        <v>563.56489344789986</v>
      </c>
      <c r="N10" s="1013">
        <f>Medicaid!N29</f>
        <v>569.10606105754516</v>
      </c>
      <c r="O10" s="1013">
        <f>Medicaid!O29</f>
        <v>517.03054677515308</v>
      </c>
      <c r="P10" s="1013">
        <f>Medicaid!P29</f>
        <v>519.21331439322864</v>
      </c>
      <c r="Q10" s="1013">
        <f>Medicaid!Q29</f>
        <v>523.60160105055525</v>
      </c>
      <c r="R10" s="1013">
        <f>Medicaid!R29</f>
        <v>528.48816504947729</v>
      </c>
      <c r="S10" s="1013">
        <f>Medicaid!S29</f>
        <v>533.42042983892622</v>
      </c>
      <c r="T10" s="1013">
        <f>Medicaid!T29</f>
        <v>536.54108782549383</v>
      </c>
      <c r="U10" s="1014">
        <f>Medicaid!U29</f>
        <v>539.68004042785367</v>
      </c>
      <c r="V10" s="951"/>
      <c r="W10" s="949"/>
    </row>
    <row r="11" spans="1:80" s="134" customFormat="1" ht="17" customHeight="1">
      <c r="A11" s="192"/>
      <c r="B11" s="60" t="s">
        <v>371</v>
      </c>
      <c r="C11" s="114"/>
      <c r="D11" s="484">
        <f>D9-D10</f>
        <v>203.99099999999999</v>
      </c>
      <c r="E11" s="484">
        <f t="shared" ref="E11:I11" si="1">E9-E10</f>
        <v>204.37099999999998</v>
      </c>
      <c r="F11" s="484">
        <f t="shared" si="1"/>
        <v>884.2600000000001</v>
      </c>
      <c r="G11" s="484">
        <f t="shared" si="1"/>
        <v>242.12800000000004</v>
      </c>
      <c r="H11" s="484">
        <f t="shared" si="1"/>
        <v>225.90700000000004</v>
      </c>
      <c r="I11" s="484">
        <f t="shared" si="1"/>
        <v>263.33699999999999</v>
      </c>
      <c r="J11" s="1012">
        <f>SUM(J12:J19)</f>
        <v>1201.5674263869462</v>
      </c>
      <c r="K11" s="1013">
        <f t="shared" ref="K11:U11" si="2">SUM(K12:K19)</f>
        <v>330.38276679906755</v>
      </c>
      <c r="L11" s="1013">
        <f t="shared" si="2"/>
        <v>349.1143529955059</v>
      </c>
      <c r="M11" s="1013">
        <f t="shared" si="2"/>
        <v>932.34146054189955</v>
      </c>
      <c r="N11" s="1013">
        <f t="shared" si="2"/>
        <v>358.63031253000906</v>
      </c>
      <c r="O11" s="1013">
        <f t="shared" si="2"/>
        <v>368.15282768855212</v>
      </c>
      <c r="P11" s="1013">
        <f t="shared" si="2"/>
        <v>360.61080988700331</v>
      </c>
      <c r="Q11" s="1013">
        <f t="shared" si="2"/>
        <v>370.91036228248345</v>
      </c>
      <c r="R11" s="1013">
        <f t="shared" si="2"/>
        <v>381.62189677378279</v>
      </c>
      <c r="S11" s="1013">
        <f t="shared" si="2"/>
        <v>392.76189264473413</v>
      </c>
      <c r="T11" s="1013">
        <f t="shared" si="2"/>
        <v>386.41948835052352</v>
      </c>
      <c r="U11" s="1014">
        <f t="shared" si="2"/>
        <v>356.46850788454447</v>
      </c>
      <c r="V11" s="951"/>
      <c r="W11" s="949"/>
    </row>
    <row r="12" spans="1:80" s="134" customFormat="1" ht="16" customHeight="1">
      <c r="A12" s="192"/>
      <c r="B12" s="137" t="s">
        <v>308</v>
      </c>
      <c r="C12" s="135" t="s">
        <v>1</v>
      </c>
      <c r="D12" s="483"/>
      <c r="E12" s="483"/>
      <c r="F12" s="483">
        <f>'Haver Pivoted'!GU56</f>
        <v>597.9</v>
      </c>
      <c r="G12" s="483">
        <f>'Haver Pivoted'!GV56</f>
        <v>0</v>
      </c>
      <c r="H12" s="483">
        <f>'Haver Pivoted'!GW56</f>
        <v>0</v>
      </c>
      <c r="I12" s="483">
        <f>'Haver Pivoted'!GX56</f>
        <v>0</v>
      </c>
      <c r="J12" s="1012">
        <v>0</v>
      </c>
      <c r="K12" s="1013">
        <v>0</v>
      </c>
      <c r="L12" s="1013">
        <v>0</v>
      </c>
      <c r="M12" s="1013">
        <v>0</v>
      </c>
      <c r="N12" s="1013">
        <v>0</v>
      </c>
      <c r="O12" s="1013">
        <v>0</v>
      </c>
      <c r="P12" s="1013">
        <v>0</v>
      </c>
      <c r="Q12" s="1013">
        <v>0</v>
      </c>
      <c r="R12" s="1013">
        <v>0</v>
      </c>
      <c r="S12" s="1013">
        <v>0</v>
      </c>
      <c r="T12" s="1013">
        <v>0</v>
      </c>
      <c r="U12" s="1014">
        <v>0</v>
      </c>
      <c r="V12" s="951">
        <f>SUM(E12:U12)/4</f>
        <v>149.47499999999999</v>
      </c>
      <c r="W12" s="949">
        <f>V23</f>
        <v>150</v>
      </c>
    </row>
    <row r="13" spans="1:80" s="134" customFormat="1" ht="15">
      <c r="A13" s="192"/>
      <c r="B13" s="137" t="s">
        <v>309</v>
      </c>
      <c r="C13" s="135" t="s">
        <v>2</v>
      </c>
      <c r="D13" s="483"/>
      <c r="E13" s="483"/>
      <c r="F13" s="483">
        <f>'Haver Pivoted'!GU57</f>
        <v>28.4</v>
      </c>
      <c r="G13" s="483">
        <f>'Haver Pivoted'!GV57</f>
        <v>15.8</v>
      </c>
      <c r="H13" s="483">
        <f>'Haver Pivoted'!GW57</f>
        <v>15.2</v>
      </c>
      <c r="I13" s="543">
        <f>'Haver Pivoted'!GX57</f>
        <v>28.9</v>
      </c>
      <c r="J13" s="1012">
        <f>J24+J28+J34</f>
        <v>62.027333333333331</v>
      </c>
      <c r="K13" s="1013">
        <f t="shared" ref="K13:U13" si="3">K24+K28+K34</f>
        <v>56.027333333333303</v>
      </c>
      <c r="L13" s="1013">
        <f t="shared" si="3"/>
        <v>78.123333333333335</v>
      </c>
      <c r="M13" s="1013">
        <f t="shared" si="3"/>
        <v>74.123333333333335</v>
      </c>
      <c r="N13" s="1013">
        <f t="shared" si="3"/>
        <v>74.123333333333335</v>
      </c>
      <c r="O13" s="1013">
        <f t="shared" si="3"/>
        <v>74.123333333333335</v>
      </c>
      <c r="P13" s="1013">
        <f t="shared" si="3"/>
        <v>65.929333333333332</v>
      </c>
      <c r="Q13" s="1013">
        <f t="shared" si="3"/>
        <v>65.929333333333332</v>
      </c>
      <c r="R13" s="1013">
        <f t="shared" si="3"/>
        <v>65.929333333333332</v>
      </c>
      <c r="S13" s="1013">
        <f t="shared" si="3"/>
        <v>65.929333333333332</v>
      </c>
      <c r="T13" s="1013">
        <f t="shared" si="3"/>
        <v>59.24433333333333</v>
      </c>
      <c r="U13" s="1014">
        <f t="shared" si="3"/>
        <v>38.911000000000001</v>
      </c>
      <c r="V13" s="951">
        <f t="shared" ref="V13:V18" si="4">SUM(E13:U13)/4</f>
        <v>217.18016666666671</v>
      </c>
      <c r="W13" s="949">
        <f>V24+V28+V34</f>
        <v>217.76349999999996</v>
      </c>
    </row>
    <row r="14" spans="1:80" s="134" customFormat="1" ht="15">
      <c r="A14" s="192"/>
      <c r="B14" s="138" t="s">
        <v>310</v>
      </c>
      <c r="C14" s="136" t="s">
        <v>3</v>
      </c>
      <c r="D14" s="483"/>
      <c r="E14" s="483"/>
      <c r="F14" s="543">
        <f>'Haver Pivoted'!GU58</f>
        <v>64.400000000000006</v>
      </c>
      <c r="G14" s="543">
        <f>'Haver Pivoted'!GV58</f>
        <v>23.4</v>
      </c>
      <c r="H14" s="543">
        <f>'Haver Pivoted'!GW58</f>
        <v>13.8</v>
      </c>
      <c r="I14" s="543">
        <f>'Haver Pivoted'!GX58</f>
        <v>17.100000000000001</v>
      </c>
      <c r="J14" s="1012">
        <f>'Provider Relief'!H12</f>
        <v>11.320279720279721</v>
      </c>
      <c r="K14" s="1013">
        <f>'Provider Relief'!I12</f>
        <v>6.9157342657342671</v>
      </c>
      <c r="L14" s="1013">
        <f>'Provider Relief'!J12</f>
        <v>5.4608391608391615</v>
      </c>
      <c r="M14" s="1013">
        <f>'Provider Relief'!K12</f>
        <v>4.6038461538461544</v>
      </c>
      <c r="N14" s="1013">
        <f>'Provider Relief'!L12</f>
        <v>1.0164335664335664</v>
      </c>
      <c r="O14" s="1013">
        <f>'Provider Relief'!M12</f>
        <v>1.0164335664335664</v>
      </c>
      <c r="P14" s="1013">
        <f>'Provider Relief'!N12</f>
        <v>0</v>
      </c>
      <c r="Q14" s="1013">
        <f>'Provider Relief'!O12</f>
        <v>0</v>
      </c>
      <c r="R14" s="1013">
        <f>'Provider Relief'!P12</f>
        <v>0</v>
      </c>
      <c r="S14" s="1013">
        <f>'Provider Relief'!Q12</f>
        <v>0</v>
      </c>
      <c r="T14" s="1013">
        <f>'Provider Relief'!R12</f>
        <v>0</v>
      </c>
      <c r="U14" s="1014">
        <f>'Provider Relief'!S12</f>
        <v>0</v>
      </c>
      <c r="V14" s="951">
        <f t="shared" si="4"/>
        <v>37.258391608391612</v>
      </c>
      <c r="W14" s="949">
        <f>V25+V29+V35</f>
        <v>34.125000000000007</v>
      </c>
    </row>
    <row r="15" spans="1:80" s="134" customFormat="1" ht="15.5" customHeight="1">
      <c r="A15" s="192"/>
      <c r="B15" s="138" t="s">
        <v>307</v>
      </c>
      <c r="C15" s="136"/>
      <c r="D15" s="483"/>
      <c r="E15" s="483"/>
      <c r="F15" s="483"/>
      <c r="G15" s="483"/>
      <c r="H15" s="483"/>
      <c r="I15" s="483">
        <f>I27</f>
        <v>9.6666666666666661</v>
      </c>
      <c r="J15" s="1012">
        <f t="shared" ref="J15:U15" si="5">J27</f>
        <v>9.6666666666666661</v>
      </c>
      <c r="K15" s="1013">
        <f t="shared" si="5"/>
        <v>9.6666666666666661</v>
      </c>
      <c r="L15" s="1013">
        <f t="shared" si="5"/>
        <v>9.6666666666666661</v>
      </c>
      <c r="M15" s="1013">
        <f t="shared" si="5"/>
        <v>9.6666666666666661</v>
      </c>
      <c r="N15" s="1013">
        <f t="shared" si="5"/>
        <v>9.6666666666666661</v>
      </c>
      <c r="O15" s="1013">
        <f t="shared" si="5"/>
        <v>9.6666666666666661</v>
      </c>
      <c r="P15" s="1013">
        <f t="shared" si="5"/>
        <v>9.6666666666666661</v>
      </c>
      <c r="Q15" s="1013">
        <f t="shared" si="5"/>
        <v>9.6666666666666661</v>
      </c>
      <c r="R15" s="1013">
        <f t="shared" si="5"/>
        <v>9.6666666666666661</v>
      </c>
      <c r="S15" s="1013">
        <f t="shared" si="5"/>
        <v>9.6666666666666661</v>
      </c>
      <c r="T15" s="1013">
        <f t="shared" si="5"/>
        <v>9.6666666666666661</v>
      </c>
      <c r="U15" s="1014">
        <f t="shared" si="5"/>
        <v>0</v>
      </c>
      <c r="V15" s="951">
        <f t="shared" si="4"/>
        <v>29.000000000000004</v>
      </c>
      <c r="W15" s="948">
        <f>V27</f>
        <v>29.000000000000004</v>
      </c>
      <c r="X15" s="194" t="s">
        <v>419</v>
      </c>
      <c r="Y15" s="194"/>
      <c r="Z15" s="194"/>
      <c r="AA15" s="142"/>
      <c r="AB15" s="142"/>
      <c r="AC15" s="142"/>
      <c r="AD15" s="142"/>
      <c r="AE15" s="142"/>
      <c r="AF15" s="142"/>
      <c r="AG15" s="142"/>
      <c r="AH15" s="142"/>
      <c r="AI15" s="142"/>
      <c r="AJ15" s="142"/>
      <c r="AK15" s="142"/>
      <c r="AL15" s="142"/>
      <c r="AM15" s="142"/>
      <c r="AN15" s="142"/>
      <c r="AO15" s="142"/>
      <c r="AP15" s="142"/>
      <c r="AQ15" s="142"/>
      <c r="AR15" s="142"/>
      <c r="AS15" s="142"/>
      <c r="AT15" s="142"/>
      <c r="AU15" s="142"/>
      <c r="AV15" s="142"/>
      <c r="AW15" s="142"/>
      <c r="AX15" s="142"/>
      <c r="AY15" s="142"/>
      <c r="AZ15" s="142"/>
      <c r="BA15" s="142"/>
      <c r="BB15" s="142"/>
      <c r="BC15" s="142"/>
      <c r="BD15" s="142"/>
      <c r="BE15" s="142"/>
      <c r="BF15" s="142"/>
      <c r="BG15" s="142"/>
      <c r="BH15" s="142"/>
      <c r="BI15" s="142"/>
      <c r="BJ15" s="142"/>
      <c r="BK15" s="142"/>
      <c r="BL15" s="142"/>
      <c r="BM15" s="142"/>
      <c r="BN15" s="142"/>
      <c r="BO15" s="142"/>
      <c r="BP15" s="142"/>
      <c r="BQ15" s="142"/>
      <c r="BR15" s="142"/>
      <c r="BS15" s="142"/>
      <c r="BT15" s="142"/>
      <c r="BU15" s="142"/>
      <c r="BV15" s="142"/>
      <c r="BW15" s="142"/>
      <c r="BX15" s="142"/>
      <c r="BY15" s="142"/>
      <c r="BZ15" s="142"/>
      <c r="CA15" s="142"/>
      <c r="CB15" s="142"/>
    </row>
    <row r="16" spans="1:80" s="134" customFormat="1" ht="31" customHeight="1">
      <c r="A16" s="192"/>
      <c r="B16" s="138" t="s">
        <v>789</v>
      </c>
      <c r="C16" s="136"/>
      <c r="D16" s="483"/>
      <c r="E16" s="483"/>
      <c r="F16" s="483"/>
      <c r="G16" s="483"/>
      <c r="H16" s="483"/>
      <c r="I16" s="483">
        <f>I31+I30+I36+I37</f>
        <v>12</v>
      </c>
      <c r="J16" s="1012">
        <f>J31+J30</f>
        <v>12</v>
      </c>
      <c r="K16" s="1013">
        <f t="shared" ref="K16:U16" si="6">K31+K30</f>
        <v>12</v>
      </c>
      <c r="L16" s="1013">
        <f t="shared" si="6"/>
        <v>12</v>
      </c>
      <c r="M16" s="1013">
        <f t="shared" si="6"/>
        <v>12</v>
      </c>
      <c r="N16" s="1013">
        <f t="shared" si="6"/>
        <v>12</v>
      </c>
      <c r="O16" s="1013">
        <f t="shared" si="6"/>
        <v>12</v>
      </c>
      <c r="P16" s="1013">
        <f t="shared" si="6"/>
        <v>12</v>
      </c>
      <c r="Q16" s="1013">
        <f t="shared" si="6"/>
        <v>12</v>
      </c>
      <c r="R16" s="1013">
        <f t="shared" si="6"/>
        <v>12</v>
      </c>
      <c r="S16" s="1013">
        <f t="shared" si="6"/>
        <v>12</v>
      </c>
      <c r="T16" s="1013">
        <f t="shared" si="6"/>
        <v>12</v>
      </c>
      <c r="U16" s="1014">
        <f t="shared" si="6"/>
        <v>0</v>
      </c>
      <c r="V16" s="951">
        <f t="shared" si="4"/>
        <v>36</v>
      </c>
      <c r="W16" s="949">
        <f>SUM(V30:V31)+V36</f>
        <v>94.496499999999997</v>
      </c>
      <c r="X16" s="194" t="s">
        <v>418</v>
      </c>
      <c r="Y16" s="194"/>
      <c r="Z16" s="194"/>
      <c r="AA16" s="142"/>
      <c r="AB16" s="142"/>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c r="BF16" s="142"/>
      <c r="BG16" s="142"/>
      <c r="BH16" s="142"/>
      <c r="BI16" s="142"/>
      <c r="BJ16" s="142"/>
      <c r="BK16" s="142"/>
      <c r="BL16" s="142"/>
      <c r="BM16" s="142"/>
      <c r="BN16" s="142"/>
      <c r="BO16" s="142"/>
      <c r="BP16" s="142"/>
      <c r="BQ16" s="142"/>
      <c r="BR16" s="142"/>
      <c r="BS16" s="142"/>
      <c r="BT16" s="142"/>
      <c r="BU16" s="142"/>
      <c r="BV16" s="142"/>
      <c r="BW16" s="142"/>
      <c r="BX16" s="142"/>
      <c r="BY16" s="142"/>
      <c r="BZ16" s="142"/>
      <c r="CA16" s="142"/>
      <c r="CB16" s="142"/>
    </row>
    <row r="17" spans="1:80" s="1046" customFormat="1" ht="15">
      <c r="A17" s="192"/>
      <c r="B17" s="138" t="s">
        <v>791</v>
      </c>
      <c r="C17" s="136"/>
      <c r="D17" s="483"/>
      <c r="E17" s="483"/>
      <c r="F17" s="483"/>
      <c r="G17" s="483"/>
      <c r="H17" s="483"/>
      <c r="I17" s="483"/>
      <c r="J17" s="1012">
        <f>J36</f>
        <v>34.136000000000003</v>
      </c>
      <c r="K17" s="1013">
        <f t="shared" ref="K17:U17" si="7">K36</f>
        <v>34.136000000000003</v>
      </c>
      <c r="L17" s="1013">
        <f t="shared" si="7"/>
        <v>23.761000000000003</v>
      </c>
      <c r="M17" s="1013">
        <f t="shared" si="7"/>
        <v>23.761000000000003</v>
      </c>
      <c r="N17" s="1013">
        <f t="shared" si="7"/>
        <v>23.761000000000003</v>
      </c>
      <c r="O17" s="1013">
        <f t="shared" si="7"/>
        <v>23.761000000000003</v>
      </c>
      <c r="P17" s="1013">
        <f t="shared" si="7"/>
        <v>15.526</v>
      </c>
      <c r="Q17" s="1013">
        <f t="shared" si="7"/>
        <v>15.526</v>
      </c>
      <c r="R17" s="1013">
        <f t="shared" si="7"/>
        <v>15.526</v>
      </c>
      <c r="S17" s="1013">
        <f t="shared" si="7"/>
        <v>15.526</v>
      </c>
      <c r="T17" s="1013">
        <f t="shared" si="7"/>
        <v>4.2830000000000004</v>
      </c>
      <c r="U17" s="1014">
        <f t="shared" si="7"/>
        <v>4.2830000000000004</v>
      </c>
      <c r="V17" s="951">
        <f t="shared" si="4"/>
        <v>58.496500000000005</v>
      </c>
      <c r="W17" s="949"/>
      <c r="X17" s="194"/>
      <c r="Y17" s="194"/>
      <c r="Z17" s="194"/>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c r="BF17" s="142"/>
      <c r="BG17" s="142"/>
      <c r="BH17" s="142"/>
      <c r="BI17" s="142"/>
      <c r="BJ17" s="142"/>
      <c r="BK17" s="142"/>
      <c r="BL17" s="142"/>
      <c r="BM17" s="142"/>
      <c r="BN17" s="142"/>
      <c r="BO17" s="142"/>
      <c r="BP17" s="142"/>
      <c r="BQ17" s="142"/>
      <c r="BR17" s="142"/>
      <c r="BS17" s="142"/>
      <c r="BT17" s="142"/>
      <c r="BU17" s="142"/>
      <c r="BV17" s="142"/>
      <c r="BW17" s="142"/>
      <c r="BX17" s="142"/>
      <c r="BY17" s="142"/>
      <c r="BZ17" s="142"/>
      <c r="CA17" s="142"/>
      <c r="CB17" s="142"/>
    </row>
    <row r="18" spans="1:80" s="134" customFormat="1" ht="15.5" customHeight="1">
      <c r="A18" s="192"/>
      <c r="B18" s="138" t="s">
        <v>388</v>
      </c>
      <c r="C18" s="136"/>
      <c r="D18" s="483"/>
      <c r="E18" s="483"/>
      <c r="F18" s="483"/>
      <c r="G18" s="483"/>
      <c r="H18" s="483"/>
      <c r="I18" s="483">
        <f>I33</f>
        <v>0</v>
      </c>
      <c r="J18" s="1009">
        <f t="shared" ref="J18:U18" si="8">J33</f>
        <v>868.91999999999985</v>
      </c>
      <c r="K18" s="1010">
        <f t="shared" si="8"/>
        <v>0</v>
      </c>
      <c r="L18" s="1010">
        <f t="shared" si="8"/>
        <v>0</v>
      </c>
      <c r="M18" s="1010">
        <f t="shared" si="8"/>
        <v>579.28</v>
      </c>
      <c r="N18" s="1010">
        <f t="shared" si="8"/>
        <v>0</v>
      </c>
      <c r="O18" s="1010">
        <f t="shared" si="8"/>
        <v>0</v>
      </c>
      <c r="P18" s="1010">
        <f t="shared" si="8"/>
        <v>0</v>
      </c>
      <c r="Q18" s="1010">
        <f t="shared" si="8"/>
        <v>0</v>
      </c>
      <c r="R18" s="1010">
        <f t="shared" si="8"/>
        <v>0</v>
      </c>
      <c r="S18" s="1010">
        <f t="shared" si="8"/>
        <v>0</v>
      </c>
      <c r="T18" s="1010">
        <f t="shared" si="8"/>
        <v>0</v>
      </c>
      <c r="U18" s="1011">
        <f t="shared" si="8"/>
        <v>0</v>
      </c>
      <c r="V18" s="951">
        <f t="shared" si="4"/>
        <v>362.04999999999995</v>
      </c>
      <c r="W18" s="949">
        <f>V33</f>
        <v>362.04999999999995</v>
      </c>
      <c r="X18" s="231"/>
      <c r="Z18" s="194"/>
      <c r="AA18" s="142"/>
      <c r="AB18" s="142"/>
      <c r="AC18" s="142"/>
      <c r="AD18" s="142"/>
      <c r="AE18" s="142"/>
      <c r="AF18" s="142"/>
      <c r="AG18" s="142"/>
      <c r="AH18" s="142"/>
      <c r="AI18" s="142"/>
      <c r="AJ18" s="142"/>
      <c r="AK18" s="142"/>
      <c r="AL18" s="142"/>
      <c r="AM18" s="142"/>
      <c r="AN18" s="142"/>
      <c r="AO18" s="142"/>
      <c r="AP18" s="142"/>
      <c r="AQ18" s="142"/>
      <c r="AR18" s="142"/>
      <c r="AS18" s="142"/>
      <c r="AT18" s="142"/>
      <c r="AU18" s="142"/>
      <c r="AV18" s="142"/>
      <c r="AW18" s="142"/>
      <c r="AX18" s="142"/>
      <c r="AY18" s="142"/>
      <c r="AZ18" s="142"/>
      <c r="BA18" s="142"/>
      <c r="BB18" s="142"/>
      <c r="BC18" s="142"/>
      <c r="BD18" s="142"/>
      <c r="BE18" s="142"/>
      <c r="BF18" s="142"/>
      <c r="BG18" s="142"/>
      <c r="BH18" s="142"/>
      <c r="BI18" s="142"/>
      <c r="BJ18" s="142"/>
      <c r="BK18" s="142"/>
      <c r="BL18" s="142"/>
      <c r="BM18" s="142"/>
      <c r="BN18" s="142"/>
      <c r="BO18" s="142"/>
      <c r="BP18" s="142"/>
      <c r="BQ18" s="142"/>
      <c r="BR18" s="142"/>
      <c r="BS18" s="142"/>
      <c r="BT18" s="142"/>
      <c r="BU18" s="142"/>
      <c r="BV18" s="142"/>
      <c r="BW18" s="142"/>
      <c r="BX18" s="142"/>
      <c r="BY18" s="142"/>
      <c r="BZ18" s="142"/>
      <c r="CA18" s="142"/>
      <c r="CB18" s="142"/>
    </row>
    <row r="19" spans="1:80" s="134" customFormat="1" ht="15.5" customHeight="1">
      <c r="A19" s="202"/>
      <c r="B19" s="195" t="s">
        <v>591</v>
      </c>
      <c r="C19" s="196"/>
      <c r="D19" s="197">
        <f>D11-SUM(D12:D18)</f>
        <v>203.99099999999999</v>
      </c>
      <c r="E19" s="197">
        <f t="shared" ref="E19:I19" si="9">E11-SUM(E12:E18)</f>
        <v>204.37099999999998</v>
      </c>
      <c r="F19" s="197">
        <f t="shared" si="9"/>
        <v>193.56000000000017</v>
      </c>
      <c r="G19" s="197">
        <f t="shared" si="9"/>
        <v>202.92800000000005</v>
      </c>
      <c r="H19" s="197">
        <f t="shared" si="9"/>
        <v>196.90700000000004</v>
      </c>
      <c r="I19" s="197">
        <f t="shared" si="9"/>
        <v>195.67033333333333</v>
      </c>
      <c r="J19" s="1015">
        <f>I19*1.04</f>
        <v>203.49714666666668</v>
      </c>
      <c r="K19" s="1016">
        <f t="shared" ref="K19:U19" si="10">J19*1.04</f>
        <v>211.63703253333335</v>
      </c>
      <c r="L19" s="1016">
        <f t="shared" si="10"/>
        <v>220.10251383466669</v>
      </c>
      <c r="M19" s="1016">
        <f t="shared" si="10"/>
        <v>228.90661438805338</v>
      </c>
      <c r="N19" s="1016">
        <f t="shared" si="10"/>
        <v>238.06287896357551</v>
      </c>
      <c r="O19" s="1016">
        <f t="shared" si="10"/>
        <v>247.58539412211854</v>
      </c>
      <c r="P19" s="1016">
        <f t="shared" si="10"/>
        <v>257.4888098870033</v>
      </c>
      <c r="Q19" s="1016">
        <f t="shared" si="10"/>
        <v>267.78836228248343</v>
      </c>
      <c r="R19" s="1016">
        <f t="shared" si="10"/>
        <v>278.49989677378278</v>
      </c>
      <c r="S19" s="1016">
        <f t="shared" si="10"/>
        <v>289.63989264473412</v>
      </c>
      <c r="T19" s="1016">
        <f t="shared" si="10"/>
        <v>301.22548835052351</v>
      </c>
      <c r="U19" s="1017">
        <f t="shared" si="10"/>
        <v>313.27450788454445</v>
      </c>
      <c r="V19" s="950"/>
      <c r="W19" s="947"/>
      <c r="X19" s="194" t="s">
        <v>417</v>
      </c>
      <c r="Y19" s="194"/>
      <c r="Z19" s="194"/>
      <c r="AA19" s="142"/>
      <c r="AB19" s="142"/>
      <c r="AC19" s="142"/>
      <c r="AD19" s="142"/>
      <c r="AE19" s="142"/>
      <c r="AF19" s="142"/>
      <c r="AG19" s="142"/>
      <c r="AH19" s="142"/>
      <c r="AI19" s="142"/>
      <c r="AJ19" s="142"/>
      <c r="AK19" s="142"/>
      <c r="AL19" s="142"/>
      <c r="AM19" s="142"/>
      <c r="AN19" s="142"/>
      <c r="AO19" s="142"/>
      <c r="AP19" s="142"/>
      <c r="AQ19" s="142"/>
      <c r="AR19" s="142"/>
      <c r="AS19" s="142"/>
      <c r="AT19" s="142"/>
      <c r="AU19" s="142"/>
      <c r="AV19" s="142"/>
      <c r="AW19" s="142"/>
      <c r="AX19" s="142"/>
      <c r="AY19" s="142"/>
      <c r="AZ19" s="142"/>
      <c r="BA19" s="142"/>
      <c r="BB19" s="142"/>
      <c r="BC19" s="142"/>
      <c r="BD19" s="142"/>
      <c r="BE19" s="142"/>
      <c r="BF19" s="142"/>
      <c r="BG19" s="142"/>
      <c r="BH19" s="142"/>
      <c r="BI19" s="142"/>
      <c r="BJ19" s="142"/>
      <c r="BK19" s="142"/>
      <c r="BL19" s="142"/>
      <c r="BM19" s="142"/>
      <c r="BN19" s="142"/>
      <c r="BO19" s="142"/>
      <c r="BP19" s="142"/>
      <c r="BQ19" s="142"/>
      <c r="BR19" s="142"/>
      <c r="BS19" s="142"/>
      <c r="BT19" s="142"/>
      <c r="BU19" s="142"/>
      <c r="BV19" s="142"/>
      <c r="BW19" s="142"/>
      <c r="BX19" s="142"/>
      <c r="BY19" s="142"/>
      <c r="BZ19" s="142"/>
      <c r="CA19" s="142"/>
      <c r="CB19" s="142"/>
    </row>
    <row r="20" spans="1:80" s="142" customFormat="1" ht="15">
      <c r="A20" s="201"/>
      <c r="B20" s="525" t="s">
        <v>422</v>
      </c>
      <c r="C20" s="172"/>
      <c r="D20" s="185"/>
      <c r="E20" s="185"/>
      <c r="F20" s="185"/>
      <c r="G20" s="185"/>
      <c r="H20" s="185"/>
      <c r="I20" s="185"/>
      <c r="J20" s="198"/>
      <c r="K20" s="198"/>
      <c r="L20" s="198"/>
      <c r="M20" s="198"/>
      <c r="N20" s="198"/>
      <c r="O20" s="198"/>
      <c r="P20" s="198"/>
      <c r="Q20" s="198"/>
      <c r="R20" s="198"/>
      <c r="S20" s="198"/>
      <c r="T20" s="198"/>
      <c r="U20" s="198"/>
      <c r="V20" s="198">
        <f>SUM(V12:V18)</f>
        <v>889.46005827505826</v>
      </c>
      <c r="W20" s="198">
        <f>SUM(W12:W18)</f>
        <v>887.43499999999995</v>
      </c>
    </row>
    <row r="21" spans="1:80" s="142" customFormat="1" ht="27" customHeight="1">
      <c r="A21" s="201"/>
      <c r="B21" s="1276" t="s">
        <v>598</v>
      </c>
      <c r="C21" s="1277"/>
      <c r="D21" s="1277"/>
      <c r="E21" s="1277"/>
      <c r="F21" s="1277"/>
      <c r="G21" s="1277"/>
      <c r="H21" s="1277"/>
      <c r="I21" s="1277"/>
      <c r="J21" s="1277"/>
      <c r="K21" s="1277"/>
      <c r="L21" s="1277"/>
      <c r="M21" s="1277"/>
      <c r="N21" s="1277"/>
      <c r="O21" s="1277"/>
      <c r="P21" s="1277"/>
      <c r="Q21" s="1277"/>
      <c r="R21" s="1277"/>
      <c r="S21" s="1277"/>
      <c r="T21" s="1277"/>
      <c r="U21" s="1278"/>
      <c r="V21" s="509"/>
      <c r="W21" s="509"/>
    </row>
    <row r="22" spans="1:80" s="142" customFormat="1" ht="17.5" customHeight="1">
      <c r="A22" s="201"/>
      <c r="B22" s="124" t="s">
        <v>312</v>
      </c>
      <c r="C22" s="136"/>
      <c r="D22" s="130"/>
      <c r="E22" s="131"/>
      <c r="F22" s="140">
        <f>SUM(F23:F25)</f>
        <v>692.8</v>
      </c>
      <c r="G22" s="140">
        <f t="shared" ref="G22:L22" si="11">SUM(G23:G25)</f>
        <v>39.200000000000003</v>
      </c>
      <c r="H22" s="140">
        <f t="shared" si="11"/>
        <v>29</v>
      </c>
      <c r="I22" s="140">
        <f t="shared" si="11"/>
        <v>27</v>
      </c>
      <c r="J22" s="250">
        <f t="shared" si="11"/>
        <v>10</v>
      </c>
      <c r="K22" s="251">
        <f t="shared" si="11"/>
        <v>4</v>
      </c>
      <c r="L22" s="251">
        <f t="shared" si="11"/>
        <v>4</v>
      </c>
      <c r="M22" s="251"/>
      <c r="N22" s="251"/>
      <c r="O22" s="251"/>
      <c r="P22" s="251"/>
      <c r="Q22" s="251"/>
      <c r="R22" s="251"/>
      <c r="S22" s="251"/>
      <c r="T22" s="251"/>
      <c r="U22" s="252"/>
      <c r="V22" s="520">
        <f t="shared" ref="V22:V36" si="12">SUM(E22:U22)/4</f>
        <v>201.5</v>
      </c>
      <c r="W22" s="126"/>
      <c r="X22" s="142" t="s">
        <v>428</v>
      </c>
    </row>
    <row r="23" spans="1:80" s="142" customFormat="1" ht="15">
      <c r="A23" s="201"/>
      <c r="B23" s="203" t="s">
        <v>308</v>
      </c>
      <c r="C23" s="136"/>
      <c r="D23" s="130"/>
      <c r="E23" s="131"/>
      <c r="F23" s="140">
        <f>C43*4</f>
        <v>600</v>
      </c>
      <c r="G23" s="140"/>
      <c r="H23" s="140"/>
      <c r="I23" s="140"/>
      <c r="J23" s="125"/>
      <c r="K23" s="126"/>
      <c r="L23" s="126"/>
      <c r="M23" s="126"/>
      <c r="N23" s="126"/>
      <c r="O23" s="126"/>
      <c r="P23" s="126"/>
      <c r="Q23" s="126"/>
      <c r="R23" s="126"/>
      <c r="S23" s="126"/>
      <c r="T23" s="126"/>
      <c r="U23" s="127"/>
      <c r="V23" s="520">
        <f t="shared" si="12"/>
        <v>150</v>
      </c>
      <c r="W23" s="126"/>
    </row>
    <row r="24" spans="1:80" s="142" customFormat="1" ht="15" customHeight="1">
      <c r="A24" s="201"/>
      <c r="B24" s="203" t="s">
        <v>309</v>
      </c>
      <c r="C24" s="136"/>
      <c r="D24" s="130"/>
      <c r="E24" s="131"/>
      <c r="F24" s="140">
        <v>28.4</v>
      </c>
      <c r="G24" s="140">
        <v>15.8</v>
      </c>
      <c r="H24" s="140">
        <v>15.2</v>
      </c>
      <c r="I24" s="241">
        <v>10.9</v>
      </c>
      <c r="J24" s="125">
        <v>10</v>
      </c>
      <c r="K24" s="126">
        <v>4</v>
      </c>
      <c r="L24" s="126">
        <v>4</v>
      </c>
      <c r="M24" s="126"/>
      <c r="N24" s="126"/>
      <c r="O24" s="126"/>
      <c r="P24" s="126"/>
      <c r="Q24" s="126"/>
      <c r="R24" s="126"/>
      <c r="S24" s="126"/>
      <c r="T24" s="126"/>
      <c r="U24" s="127"/>
      <c r="V24" s="520">
        <f t="shared" si="12"/>
        <v>22.075000000000003</v>
      </c>
      <c r="W24" s="126"/>
    </row>
    <row r="25" spans="1:80" s="142" customFormat="1" ht="15">
      <c r="A25" s="201"/>
      <c r="B25" s="228" t="s">
        <v>310</v>
      </c>
      <c r="C25" s="136"/>
      <c r="D25" s="130"/>
      <c r="E25" s="131"/>
      <c r="F25" s="246">
        <v>64.400000000000006</v>
      </c>
      <c r="G25" s="246">
        <v>23.4</v>
      </c>
      <c r="H25" s="246">
        <v>13.8</v>
      </c>
      <c r="I25" s="246">
        <v>16.100000000000001</v>
      </c>
      <c r="J25" s="125"/>
      <c r="K25" s="126"/>
      <c r="L25" s="126"/>
      <c r="M25" s="126"/>
      <c r="N25" s="126"/>
      <c r="O25" s="126"/>
      <c r="P25" s="126"/>
      <c r="Q25" s="126"/>
      <c r="R25" s="126"/>
      <c r="S25" s="126"/>
      <c r="T25" s="126"/>
      <c r="U25" s="127"/>
      <c r="V25" s="520">
        <f t="shared" si="12"/>
        <v>29.425000000000004</v>
      </c>
      <c r="W25" s="126"/>
    </row>
    <row r="26" spans="1:80" s="142" customFormat="1" ht="16.5" customHeight="1">
      <c r="A26" s="201"/>
      <c r="B26" s="229" t="s">
        <v>313</v>
      </c>
      <c r="C26" s="136"/>
      <c r="D26" s="130"/>
      <c r="E26" s="131"/>
      <c r="F26" s="131"/>
      <c r="G26" s="131"/>
      <c r="H26" s="131"/>
      <c r="I26" s="140">
        <f>SUM(I27:I31)</f>
        <v>43</v>
      </c>
      <c r="J26" s="125">
        <f t="shared" ref="J26:U26" si="13">SUM(J27:J31)</f>
        <v>50</v>
      </c>
      <c r="K26" s="126">
        <f t="shared" si="13"/>
        <v>49.999999999999964</v>
      </c>
      <c r="L26" s="126">
        <f t="shared" si="13"/>
        <v>50</v>
      </c>
      <c r="M26" s="126">
        <f t="shared" si="13"/>
        <v>50</v>
      </c>
      <c r="N26" s="126">
        <f t="shared" si="13"/>
        <v>50</v>
      </c>
      <c r="O26" s="126">
        <f t="shared" si="13"/>
        <v>50</v>
      </c>
      <c r="P26" s="126">
        <f t="shared" si="13"/>
        <v>50</v>
      </c>
      <c r="Q26" s="126">
        <f t="shared" si="13"/>
        <v>50</v>
      </c>
      <c r="R26" s="126">
        <f t="shared" si="13"/>
        <v>50</v>
      </c>
      <c r="S26" s="126">
        <f t="shared" si="13"/>
        <v>50</v>
      </c>
      <c r="T26" s="126">
        <f t="shared" si="13"/>
        <v>50</v>
      </c>
      <c r="U26" s="127">
        <f t="shared" si="13"/>
        <v>7</v>
      </c>
      <c r="V26" s="520">
        <f t="shared" si="12"/>
        <v>150</v>
      </c>
      <c r="W26" s="126"/>
      <c r="X26" s="1234" t="s">
        <v>427</v>
      </c>
    </row>
    <row r="27" spans="1:80" s="142" customFormat="1" ht="15">
      <c r="A27" s="201"/>
      <c r="B27" s="228" t="s">
        <v>307</v>
      </c>
      <c r="C27" s="136"/>
      <c r="D27" s="130"/>
      <c r="E27" s="131"/>
      <c r="F27" s="131"/>
      <c r="G27" s="131"/>
      <c r="H27" s="131"/>
      <c r="I27" s="140">
        <f>C46/12*4</f>
        <v>9.6666666666666661</v>
      </c>
      <c r="J27" s="125">
        <f>I27</f>
        <v>9.6666666666666661</v>
      </c>
      <c r="K27" s="126">
        <f t="shared" ref="K27:T27" si="14">J27</f>
        <v>9.6666666666666661</v>
      </c>
      <c r="L27" s="126">
        <f t="shared" si="14"/>
        <v>9.6666666666666661</v>
      </c>
      <c r="M27" s="126">
        <f t="shared" si="14"/>
        <v>9.6666666666666661</v>
      </c>
      <c r="N27" s="126">
        <f t="shared" si="14"/>
        <v>9.6666666666666661</v>
      </c>
      <c r="O27" s="126">
        <f t="shared" si="14"/>
        <v>9.6666666666666661</v>
      </c>
      <c r="P27" s="126">
        <f t="shared" si="14"/>
        <v>9.6666666666666661</v>
      </c>
      <c r="Q27" s="126">
        <f t="shared" si="14"/>
        <v>9.6666666666666661</v>
      </c>
      <c r="R27" s="126">
        <f t="shared" si="14"/>
        <v>9.6666666666666661</v>
      </c>
      <c r="S27" s="126">
        <f t="shared" si="14"/>
        <v>9.6666666666666661</v>
      </c>
      <c r="T27" s="126">
        <f t="shared" si="14"/>
        <v>9.6666666666666661</v>
      </c>
      <c r="U27" s="129"/>
      <c r="V27" s="520">
        <f t="shared" si="12"/>
        <v>29.000000000000004</v>
      </c>
      <c r="W27" s="273"/>
      <c r="X27" s="1234"/>
    </row>
    <row r="28" spans="1:80" s="142" customFormat="1" ht="15">
      <c r="A28" s="201"/>
      <c r="B28" s="203" t="s">
        <v>309</v>
      </c>
      <c r="C28" s="136"/>
      <c r="D28" s="130"/>
      <c r="E28" s="131"/>
      <c r="F28" s="131"/>
      <c r="G28" s="131"/>
      <c r="H28" s="131"/>
      <c r="I28" s="253">
        <f>C57/12*4 - 7</f>
        <v>20.333333333333332</v>
      </c>
      <c r="J28" s="186">
        <f>C57/12*4</f>
        <v>27.333333333333332</v>
      </c>
      <c r="K28" s="132">
        <v>27.3333333333333</v>
      </c>
      <c r="L28" s="132">
        <v>27.333333333333332</v>
      </c>
      <c r="M28" s="132">
        <v>27.333333333333332</v>
      </c>
      <c r="N28" s="132">
        <v>27.333333333333332</v>
      </c>
      <c r="O28" s="132">
        <v>27.333333333333332</v>
      </c>
      <c r="P28" s="132">
        <v>27.333333333333332</v>
      </c>
      <c r="Q28" s="132">
        <v>27.333333333333332</v>
      </c>
      <c r="R28" s="132">
        <v>27.333333333333332</v>
      </c>
      <c r="S28" s="132">
        <v>27.333333333333332</v>
      </c>
      <c r="T28" s="132">
        <v>27.333333333333332</v>
      </c>
      <c r="U28" s="133">
        <v>7</v>
      </c>
      <c r="V28" s="520">
        <f t="shared" si="12"/>
        <v>81.999999999999986</v>
      </c>
      <c r="W28" s="132"/>
      <c r="X28" s="1234"/>
    </row>
    <row r="29" spans="1:80" s="142" customFormat="1" ht="15">
      <c r="A29" s="201"/>
      <c r="B29" s="203" t="s">
        <v>310</v>
      </c>
      <c r="C29" s="136"/>
      <c r="D29" s="130"/>
      <c r="E29" s="131"/>
      <c r="F29" s="131"/>
      <c r="G29" s="131"/>
      <c r="H29" s="131"/>
      <c r="I29" s="241">
        <f>C58/12*4</f>
        <v>1</v>
      </c>
      <c r="J29" s="125">
        <f>C58/12*4</f>
        <v>1</v>
      </c>
      <c r="K29" s="126">
        <f t="shared" ref="K29:T29" si="15">$C$58/12*4</f>
        <v>1</v>
      </c>
      <c r="L29" s="126">
        <f t="shared" si="15"/>
        <v>1</v>
      </c>
      <c r="M29" s="126">
        <f t="shared" si="15"/>
        <v>1</v>
      </c>
      <c r="N29" s="126">
        <f t="shared" si="15"/>
        <v>1</v>
      </c>
      <c r="O29" s="126">
        <f t="shared" si="15"/>
        <v>1</v>
      </c>
      <c r="P29" s="126">
        <f t="shared" si="15"/>
        <v>1</v>
      </c>
      <c r="Q29" s="126">
        <f t="shared" si="15"/>
        <v>1</v>
      </c>
      <c r="R29" s="126">
        <f t="shared" si="15"/>
        <v>1</v>
      </c>
      <c r="S29" s="126">
        <f t="shared" si="15"/>
        <v>1</v>
      </c>
      <c r="T29" s="126">
        <f t="shared" si="15"/>
        <v>1</v>
      </c>
      <c r="U29" s="129"/>
      <c r="V29" s="520">
        <f t="shared" si="12"/>
        <v>3</v>
      </c>
      <c r="W29" s="273"/>
    </row>
    <row r="30" spans="1:80" s="142" customFormat="1" ht="13" customHeight="1">
      <c r="A30" s="201"/>
      <c r="B30" s="203" t="s">
        <v>413</v>
      </c>
      <c r="C30" s="136"/>
      <c r="D30" s="130"/>
      <c r="E30" s="131"/>
      <c r="F30" s="131"/>
      <c r="G30" s="131"/>
      <c r="H30" s="131"/>
      <c r="I30" s="140">
        <f t="shared" ref="I30:T30" si="16">$C$59/12*4</f>
        <v>11.333333333333334</v>
      </c>
      <c r="J30" s="125">
        <f t="shared" si="16"/>
        <v>11.333333333333334</v>
      </c>
      <c r="K30" s="126">
        <f t="shared" si="16"/>
        <v>11.333333333333334</v>
      </c>
      <c r="L30" s="126">
        <f t="shared" si="16"/>
        <v>11.333333333333334</v>
      </c>
      <c r="M30" s="126">
        <f t="shared" si="16"/>
        <v>11.333333333333334</v>
      </c>
      <c r="N30" s="126">
        <f t="shared" si="16"/>
        <v>11.333333333333334</v>
      </c>
      <c r="O30" s="126">
        <f t="shared" si="16"/>
        <v>11.333333333333334</v>
      </c>
      <c r="P30" s="126">
        <f t="shared" si="16"/>
        <v>11.333333333333334</v>
      </c>
      <c r="Q30" s="126">
        <f t="shared" si="16"/>
        <v>11.333333333333334</v>
      </c>
      <c r="R30" s="126">
        <f t="shared" si="16"/>
        <v>11.333333333333334</v>
      </c>
      <c r="S30" s="126">
        <f t="shared" si="16"/>
        <v>11.333333333333334</v>
      </c>
      <c r="T30" s="126">
        <f t="shared" si="16"/>
        <v>11.333333333333334</v>
      </c>
      <c r="U30" s="129"/>
      <c r="V30" s="520">
        <f t="shared" si="12"/>
        <v>33.999999999999993</v>
      </c>
      <c r="W30" s="273"/>
    </row>
    <row r="31" spans="1:80" s="142" customFormat="1" ht="15">
      <c r="A31" s="201"/>
      <c r="B31" s="203" t="s">
        <v>410</v>
      </c>
      <c r="C31" s="136"/>
      <c r="D31" s="130"/>
      <c r="E31" s="131"/>
      <c r="F31" s="131"/>
      <c r="G31" s="131"/>
      <c r="H31" s="131"/>
      <c r="I31" s="140">
        <f t="shared" ref="I31:T31" si="17">$C$60/12*4</f>
        <v>0.66666666666666663</v>
      </c>
      <c r="J31" s="125">
        <f t="shared" si="17"/>
        <v>0.66666666666666663</v>
      </c>
      <c r="K31" s="126">
        <f t="shared" si="17"/>
        <v>0.66666666666666663</v>
      </c>
      <c r="L31" s="126">
        <f t="shared" si="17"/>
        <v>0.66666666666666663</v>
      </c>
      <c r="M31" s="126">
        <f t="shared" si="17"/>
        <v>0.66666666666666663</v>
      </c>
      <c r="N31" s="126">
        <f t="shared" si="17"/>
        <v>0.66666666666666663</v>
      </c>
      <c r="O31" s="126">
        <f t="shared" si="17"/>
        <v>0.66666666666666663</v>
      </c>
      <c r="P31" s="126">
        <f t="shared" si="17"/>
        <v>0.66666666666666663</v>
      </c>
      <c r="Q31" s="126">
        <f t="shared" si="17"/>
        <v>0.66666666666666663</v>
      </c>
      <c r="R31" s="126">
        <f t="shared" si="17"/>
        <v>0.66666666666666663</v>
      </c>
      <c r="S31" s="126">
        <f t="shared" si="17"/>
        <v>0.66666666666666663</v>
      </c>
      <c r="T31" s="126">
        <f t="shared" si="17"/>
        <v>0.66666666666666663</v>
      </c>
      <c r="U31" s="129"/>
      <c r="V31" s="520">
        <f t="shared" si="12"/>
        <v>2</v>
      </c>
      <c r="W31" s="273"/>
    </row>
    <row r="32" spans="1:80" s="142" customFormat="1" ht="30">
      <c r="A32" s="201"/>
      <c r="B32" s="124" t="s">
        <v>368</v>
      </c>
      <c r="C32" s="136"/>
      <c r="D32" s="130"/>
      <c r="E32" s="131"/>
      <c r="F32" s="131"/>
      <c r="G32" s="131"/>
      <c r="H32" s="131"/>
      <c r="I32" s="140"/>
      <c r="J32" s="125">
        <f t="shared" ref="J32:U32" si="18">SUM(J33:J37)</f>
        <v>929.10999999999979</v>
      </c>
      <c r="K32" s="126">
        <f t="shared" si="18"/>
        <v>60.19</v>
      </c>
      <c r="L32" s="126">
        <f t="shared" si="18"/>
        <v>71.570999999999998</v>
      </c>
      <c r="M32" s="126">
        <f t="shared" si="18"/>
        <v>650.85099999999989</v>
      </c>
      <c r="N32" s="126">
        <f t="shared" si="18"/>
        <v>71.570999999999998</v>
      </c>
      <c r="O32" s="126">
        <f t="shared" si="18"/>
        <v>71.570999999999998</v>
      </c>
      <c r="P32" s="126">
        <f t="shared" si="18"/>
        <v>54.122</v>
      </c>
      <c r="Q32" s="126">
        <f t="shared" si="18"/>
        <v>54.122</v>
      </c>
      <c r="R32" s="126">
        <f t="shared" si="18"/>
        <v>54.122</v>
      </c>
      <c r="S32" s="126">
        <f t="shared" si="18"/>
        <v>54.122</v>
      </c>
      <c r="T32" s="126">
        <f t="shared" si="18"/>
        <v>36.194000000000003</v>
      </c>
      <c r="U32" s="127">
        <f t="shared" si="18"/>
        <v>36.194000000000003</v>
      </c>
      <c r="V32" s="520">
        <f t="shared" si="12"/>
        <v>535.93499999999983</v>
      </c>
      <c r="W32" s="126"/>
      <c r="X32" s="142" t="s">
        <v>429</v>
      </c>
    </row>
    <row r="33" spans="1:80" s="142" customFormat="1" ht="17.5" customHeight="1">
      <c r="A33" s="201"/>
      <c r="B33" s="203" t="s">
        <v>388</v>
      </c>
      <c r="C33" s="136"/>
      <c r="D33" s="130"/>
      <c r="E33" s="131"/>
      <c r="F33" s="131"/>
      <c r="G33" s="131"/>
      <c r="H33" s="131"/>
      <c r="I33" s="140"/>
      <c r="J33" s="125">
        <f>0.6*C62*4</f>
        <v>868.91999999999985</v>
      </c>
      <c r="K33" s="126"/>
      <c r="L33" s="126"/>
      <c r="M33" s="126">
        <f>0.4*C62*4</f>
        <v>579.28</v>
      </c>
      <c r="N33" s="126"/>
      <c r="O33" s="126"/>
      <c r="P33" s="126"/>
      <c r="Q33" s="126"/>
      <c r="R33" s="126"/>
      <c r="S33" s="126"/>
      <c r="T33" s="126"/>
      <c r="U33" s="127"/>
      <c r="V33" s="520">
        <f t="shared" si="12"/>
        <v>362.04999999999995</v>
      </c>
      <c r="W33" s="126"/>
      <c r="X33" s="142" t="s">
        <v>425</v>
      </c>
      <c r="Y33" s="231" t="s">
        <v>416</v>
      </c>
    </row>
    <row r="34" spans="1:80" s="142" customFormat="1" ht="15">
      <c r="A34" s="201"/>
      <c r="B34" s="203" t="s">
        <v>309</v>
      </c>
      <c r="C34" s="136"/>
      <c r="D34" s="130"/>
      <c r="E34" s="131"/>
      <c r="F34" s="131"/>
      <c r="G34" s="131"/>
      <c r="H34" s="131"/>
      <c r="I34" s="140"/>
      <c r="J34" s="125">
        <f>'ARP Quarterly'!D9</f>
        <v>24.693999999999999</v>
      </c>
      <c r="K34" s="126">
        <f>'ARP Quarterly'!E9</f>
        <v>24.693999999999999</v>
      </c>
      <c r="L34" s="126">
        <f>'ARP Quarterly'!F9</f>
        <v>46.79</v>
      </c>
      <c r="M34" s="126">
        <f>'ARP Quarterly'!G9</f>
        <v>46.79</v>
      </c>
      <c r="N34" s="126">
        <f>'ARP Quarterly'!H9</f>
        <v>46.79</v>
      </c>
      <c r="O34" s="126">
        <f>'ARP Quarterly'!I9</f>
        <v>46.79</v>
      </c>
      <c r="P34" s="126">
        <f>'ARP Quarterly'!J9</f>
        <v>38.595999999999997</v>
      </c>
      <c r="Q34" s="126">
        <f>'ARP Quarterly'!K9</f>
        <v>38.595999999999997</v>
      </c>
      <c r="R34" s="126">
        <f>'ARP Quarterly'!L9</f>
        <v>38.595999999999997</v>
      </c>
      <c r="S34" s="126">
        <f>'ARP Quarterly'!M9</f>
        <v>38.595999999999997</v>
      </c>
      <c r="T34" s="126">
        <f>'ARP Quarterly'!N9</f>
        <v>31.911000000000001</v>
      </c>
      <c r="U34" s="127">
        <f>'ARP Quarterly'!O9</f>
        <v>31.911000000000001</v>
      </c>
      <c r="V34" s="520">
        <f t="shared" si="12"/>
        <v>113.68849999999999</v>
      </c>
      <c r="W34" s="126"/>
    </row>
    <row r="35" spans="1:80" s="142" customFormat="1" ht="15">
      <c r="A35" s="201"/>
      <c r="B35" s="203" t="s">
        <v>310</v>
      </c>
      <c r="C35" s="136"/>
      <c r="D35" s="130"/>
      <c r="E35" s="131"/>
      <c r="F35" s="131"/>
      <c r="G35" s="131"/>
      <c r="H35" s="131"/>
      <c r="I35" s="140"/>
      <c r="J35" s="125">
        <f>'ARP Quarterly'!D14</f>
        <v>1.3600000000000003</v>
      </c>
      <c r="K35" s="126">
        <f>'ARP Quarterly'!E14</f>
        <v>1.3600000000000003</v>
      </c>
      <c r="L35" s="126">
        <f>'ARP Quarterly'!F14</f>
        <v>1.02</v>
      </c>
      <c r="M35" s="126">
        <f>'ARP Quarterly'!G14</f>
        <v>1.02</v>
      </c>
      <c r="N35" s="126">
        <f>'ARP Quarterly'!H14</f>
        <v>1.02</v>
      </c>
      <c r="O35" s="126">
        <f>'ARP Quarterly'!I14</f>
        <v>1.02</v>
      </c>
      <c r="P35" s="126">
        <f>'ARP Quarterly'!J14</f>
        <v>0</v>
      </c>
      <c r="Q35" s="126">
        <f>'ARP Quarterly'!K14</f>
        <v>0</v>
      </c>
      <c r="R35" s="126">
        <f>'ARP Quarterly'!L14</f>
        <v>0</v>
      </c>
      <c r="S35" s="126">
        <f>'ARP Quarterly'!M14</f>
        <v>0</v>
      </c>
      <c r="T35" s="126">
        <f>'ARP Quarterly'!N14</f>
        <v>0</v>
      </c>
      <c r="U35" s="127">
        <f>'ARP Quarterly'!O14</f>
        <v>0</v>
      </c>
      <c r="V35" s="520">
        <f t="shared" si="12"/>
        <v>1.7000000000000002</v>
      </c>
      <c r="W35" s="126"/>
    </row>
    <row r="36" spans="1:80" s="142" customFormat="1" ht="15">
      <c r="A36" s="201"/>
      <c r="B36" s="203" t="s">
        <v>415</v>
      </c>
      <c r="C36" s="136"/>
      <c r="D36" s="130"/>
      <c r="E36" s="131"/>
      <c r="F36" s="131"/>
      <c r="G36" s="131"/>
      <c r="H36" s="131"/>
      <c r="I36" s="140"/>
      <c r="J36" s="125">
        <f>'ARP Quarterly'!D10</f>
        <v>34.136000000000003</v>
      </c>
      <c r="K36" s="126">
        <f>'ARP Quarterly'!E10</f>
        <v>34.136000000000003</v>
      </c>
      <c r="L36" s="126">
        <f>'ARP Quarterly'!F10</f>
        <v>23.761000000000003</v>
      </c>
      <c r="M36" s="126">
        <f>'ARP Quarterly'!G10</f>
        <v>23.761000000000003</v>
      </c>
      <c r="N36" s="126">
        <f>'ARP Quarterly'!H10</f>
        <v>23.761000000000003</v>
      </c>
      <c r="O36" s="126">
        <f>'ARP Quarterly'!I10</f>
        <v>23.761000000000003</v>
      </c>
      <c r="P36" s="126">
        <f>'ARP Quarterly'!J10</f>
        <v>15.526</v>
      </c>
      <c r="Q36" s="126">
        <f>'ARP Quarterly'!K10</f>
        <v>15.526</v>
      </c>
      <c r="R36" s="126">
        <f>'ARP Quarterly'!L10</f>
        <v>15.526</v>
      </c>
      <c r="S36" s="126">
        <f>'ARP Quarterly'!M10</f>
        <v>15.526</v>
      </c>
      <c r="T36" s="126">
        <f>'ARP Quarterly'!N10</f>
        <v>4.2830000000000004</v>
      </c>
      <c r="U36" s="127">
        <f>'ARP Quarterly'!O10</f>
        <v>4.2830000000000004</v>
      </c>
      <c r="V36" s="520">
        <f t="shared" si="12"/>
        <v>58.496500000000005</v>
      </c>
      <c r="W36" s="126"/>
    </row>
    <row r="37" spans="1:80" s="199" customFormat="1">
      <c r="A37" s="201"/>
      <c r="B37" s="220"/>
      <c r="C37" s="196"/>
      <c r="D37" s="236"/>
      <c r="E37" s="230"/>
      <c r="F37" s="230"/>
      <c r="G37" s="230"/>
      <c r="H37" s="230"/>
      <c r="I37" s="237"/>
      <c r="J37" s="239"/>
      <c r="K37" s="238"/>
      <c r="L37" s="238"/>
      <c r="M37" s="238"/>
      <c r="N37" s="238"/>
      <c r="O37" s="238"/>
      <c r="P37" s="238"/>
      <c r="Q37" s="238"/>
      <c r="R37" s="238"/>
      <c r="S37" s="238"/>
      <c r="T37" s="238"/>
      <c r="U37" s="240"/>
      <c r="V37" s="126"/>
      <c r="W37" s="126"/>
      <c r="X37" s="142"/>
      <c r="Y37" s="142"/>
      <c r="Z37" s="142"/>
      <c r="AA37" s="142"/>
      <c r="AB37" s="142"/>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142"/>
      <c r="BU37" s="142"/>
      <c r="BV37" s="142"/>
      <c r="BW37" s="142"/>
      <c r="BX37" s="142"/>
      <c r="BY37" s="142"/>
      <c r="BZ37" s="142"/>
      <c r="CA37" s="142"/>
      <c r="CB37" s="142"/>
    </row>
    <row r="38" spans="1:80" s="142" customFormat="1">
      <c r="A38" s="201"/>
      <c r="B38" s="200"/>
      <c r="C38" s="172"/>
      <c r="D38" s="185"/>
      <c r="E38" s="185"/>
      <c r="F38" s="185"/>
      <c r="G38" s="185"/>
      <c r="H38" s="185"/>
      <c r="I38" s="185"/>
      <c r="J38" s="198"/>
      <c r="K38" s="198"/>
      <c r="L38" s="198"/>
      <c r="M38" s="198"/>
      <c r="N38" s="198"/>
      <c r="O38" s="198"/>
      <c r="P38" s="198"/>
      <c r="Q38" s="198"/>
      <c r="R38" s="198"/>
      <c r="S38" s="198"/>
      <c r="T38" s="198"/>
      <c r="U38" s="198"/>
      <c r="V38" s="198"/>
      <c r="W38" s="198"/>
    </row>
    <row r="39" spans="1:80" s="142" customFormat="1">
      <c r="A39" s="201"/>
      <c r="B39" s="200"/>
      <c r="C39" s="172"/>
      <c r="D39" s="185"/>
      <c r="E39" s="185"/>
      <c r="F39" s="185"/>
      <c r="G39" s="185"/>
      <c r="H39" s="185"/>
      <c r="I39" s="185"/>
      <c r="J39" s="198"/>
      <c r="K39" s="198"/>
      <c r="L39" s="198"/>
      <c r="M39" s="198"/>
      <c r="N39" s="198"/>
      <c r="O39" s="198"/>
      <c r="P39" s="198"/>
      <c r="Q39" s="198"/>
      <c r="R39" s="198"/>
      <c r="S39" s="198"/>
      <c r="T39" s="198"/>
      <c r="U39" s="198"/>
      <c r="V39" s="198"/>
      <c r="W39" s="198"/>
    </row>
    <row r="40" spans="1:80" s="122" customFormat="1" ht="15">
      <c r="A40" s="193"/>
      <c r="B40" s="244" t="s">
        <v>423</v>
      </c>
      <c r="D40" s="128"/>
      <c r="E40" s="128"/>
      <c r="F40" s="128"/>
      <c r="G40" s="128"/>
      <c r="H40" s="128"/>
      <c r="I40" s="128"/>
      <c r="J40" s="191"/>
      <c r="K40" s="191"/>
      <c r="L40" s="191"/>
      <c r="M40" s="191"/>
      <c r="N40" s="191"/>
      <c r="O40" s="191"/>
      <c r="P40" s="191"/>
      <c r="Q40" s="191"/>
      <c r="R40" s="191"/>
      <c r="S40" s="191"/>
      <c r="T40" s="191"/>
      <c r="U40" s="191"/>
      <c r="V40" s="191"/>
      <c r="W40" s="191"/>
    </row>
    <row r="41" spans="1:80" s="45" customFormat="1" ht="35" customHeight="1">
      <c r="A41" s="187"/>
      <c r="B41" s="204" t="s">
        <v>380</v>
      </c>
      <c r="C41" s="205" t="s">
        <v>369</v>
      </c>
      <c r="D41" s="248" t="s">
        <v>382</v>
      </c>
      <c r="E41" s="1029" t="s">
        <v>381</v>
      </c>
      <c r="F41" s="128"/>
      <c r="G41" s="128"/>
      <c r="H41" s="128"/>
      <c r="I41" s="128"/>
      <c r="J41" s="191"/>
      <c r="K41" s="191"/>
      <c r="L41" s="191"/>
      <c r="M41" s="191"/>
      <c r="N41" s="191"/>
      <c r="O41" s="191"/>
      <c r="P41" s="191"/>
      <c r="Q41" s="191"/>
      <c r="R41" s="191"/>
      <c r="S41" s="191"/>
      <c r="T41" s="191"/>
      <c r="U41" s="191"/>
      <c r="V41" s="191"/>
      <c r="W41" s="191"/>
      <c r="X41" s="122"/>
      <c r="AA41" s="122"/>
      <c r="AB41" s="122"/>
      <c r="AC41" s="122"/>
      <c r="AD41" s="122"/>
      <c r="AE41" s="122"/>
      <c r="AF41" s="122"/>
      <c r="AG41" s="122"/>
      <c r="AH41" s="122"/>
      <c r="AI41" s="122"/>
      <c r="AJ41" s="122"/>
      <c r="AK41" s="122"/>
      <c r="AL41" s="122"/>
      <c r="AM41" s="122"/>
      <c r="AN41" s="122"/>
      <c r="AO41" s="122"/>
      <c r="AP41" s="122"/>
      <c r="AQ41" s="122"/>
      <c r="AR41" s="122"/>
      <c r="AS41" s="122"/>
      <c r="AT41" s="122"/>
      <c r="AU41" s="122"/>
      <c r="AV41" s="122"/>
      <c r="AW41" s="122"/>
      <c r="AX41" s="122"/>
      <c r="AY41" s="122"/>
      <c r="AZ41" s="122"/>
      <c r="BA41" s="122"/>
      <c r="BB41" s="122"/>
      <c r="BC41" s="122"/>
      <c r="BD41" s="122"/>
      <c r="BE41" s="122"/>
      <c r="BF41" s="122"/>
      <c r="BG41" s="122"/>
      <c r="BH41" s="122"/>
      <c r="BI41" s="122"/>
      <c r="BJ41" s="122"/>
      <c r="BK41" s="122"/>
      <c r="BL41" s="122"/>
      <c r="BM41" s="122"/>
      <c r="BN41" s="122"/>
      <c r="BO41" s="122"/>
      <c r="BP41" s="122"/>
      <c r="BQ41" s="122"/>
      <c r="BR41" s="122"/>
      <c r="BS41" s="122"/>
      <c r="BT41" s="122"/>
      <c r="BU41" s="122"/>
      <c r="BV41" s="122"/>
      <c r="BW41" s="122"/>
      <c r="BX41" s="122"/>
      <c r="BY41" s="122"/>
      <c r="BZ41" s="122"/>
      <c r="CA41" s="122"/>
      <c r="CB41" s="122"/>
    </row>
    <row r="42" spans="1:80" s="45" customFormat="1" ht="18.5" customHeight="1">
      <c r="A42" s="187"/>
      <c r="B42" s="173" t="s">
        <v>408</v>
      </c>
      <c r="C42" s="225">
        <f>SUM(C43:C48)</f>
        <v>898.11599999999999</v>
      </c>
      <c r="D42" s="128">
        <f>SUM(D43:D47)</f>
        <v>203.64166666666668</v>
      </c>
      <c r="E42" s="59">
        <f>SUM(E43:E47)</f>
        <v>649.07733333333329</v>
      </c>
      <c r="F42" s="128"/>
      <c r="G42" s="128"/>
      <c r="H42" s="128"/>
      <c r="I42" s="189"/>
      <c r="J42" s="191"/>
      <c r="K42" s="191"/>
      <c r="L42" s="191"/>
      <c r="M42" s="191"/>
      <c r="N42" s="191"/>
      <c r="O42" s="191"/>
      <c r="P42" s="191"/>
      <c r="Q42" s="191"/>
      <c r="R42" s="191"/>
      <c r="S42" s="191"/>
      <c r="T42" s="191"/>
      <c r="U42" s="191"/>
      <c r="V42" s="191"/>
      <c r="W42" s="191"/>
      <c r="X42" s="193"/>
      <c r="Y42" s="193"/>
      <c r="Z42" s="193"/>
      <c r="AA42" s="193"/>
      <c r="AB42" s="193"/>
      <c r="AC42" s="193"/>
      <c r="AD42" s="193"/>
      <c r="AE42" s="122"/>
      <c r="AF42" s="122"/>
      <c r="AG42" s="122"/>
      <c r="AH42" s="122"/>
      <c r="AI42" s="122"/>
      <c r="AJ42" s="122"/>
      <c r="AK42" s="122"/>
      <c r="AL42" s="122"/>
      <c r="AM42" s="122"/>
      <c r="AN42" s="122"/>
      <c r="AO42" s="122"/>
      <c r="AP42" s="122"/>
      <c r="AQ42" s="122"/>
      <c r="AR42" s="122"/>
      <c r="AS42" s="122"/>
      <c r="AT42" s="122"/>
      <c r="AU42" s="122"/>
      <c r="AV42" s="122"/>
      <c r="AW42" s="122"/>
      <c r="AX42" s="122"/>
      <c r="AY42" s="122"/>
      <c r="AZ42" s="122"/>
      <c r="BA42" s="122"/>
      <c r="BB42" s="122"/>
      <c r="BC42" s="122"/>
      <c r="BD42" s="122"/>
      <c r="BE42" s="122"/>
      <c r="BF42" s="122"/>
      <c r="BG42" s="122"/>
      <c r="BH42" s="122"/>
      <c r="BI42" s="122"/>
      <c r="BJ42" s="122"/>
      <c r="BK42" s="122"/>
      <c r="BL42" s="122"/>
      <c r="BM42" s="122"/>
      <c r="BN42" s="122"/>
      <c r="BO42" s="122"/>
      <c r="BP42" s="122"/>
      <c r="BQ42" s="122"/>
      <c r="BR42" s="122"/>
      <c r="BS42" s="122"/>
      <c r="BT42" s="122"/>
      <c r="BU42" s="122"/>
      <c r="BV42" s="122"/>
      <c r="BW42" s="122"/>
      <c r="BX42" s="122"/>
      <c r="BY42" s="122"/>
      <c r="BZ42" s="122"/>
      <c r="CA42" s="122"/>
      <c r="CB42" s="122"/>
    </row>
    <row r="43" spans="1:80" s="45" customFormat="1" ht="15">
      <c r="A43" s="187"/>
      <c r="B43" s="170" t="s">
        <v>308</v>
      </c>
      <c r="C43" s="225">
        <f>C52</f>
        <v>150</v>
      </c>
      <c r="D43" s="128">
        <f>SUM(D12:I12)/4</f>
        <v>149.47499999999999</v>
      </c>
      <c r="E43" s="211">
        <f>C43-D43</f>
        <v>0.52500000000000568</v>
      </c>
      <c r="F43" s="128"/>
      <c r="G43" s="128"/>
      <c r="H43" s="128"/>
      <c r="I43" s="254"/>
      <c r="J43" s="254"/>
      <c r="K43" s="254"/>
      <c r="L43" s="254"/>
      <c r="M43" s="254"/>
      <c r="N43" s="254"/>
      <c r="O43" s="254"/>
      <c r="P43" s="254"/>
      <c r="Q43" s="191"/>
      <c r="R43" s="191"/>
      <c r="S43" s="191"/>
      <c r="T43" s="191"/>
      <c r="U43" s="191"/>
      <c r="V43" s="191"/>
      <c r="W43" s="191"/>
      <c r="X43" s="193"/>
      <c r="Y43" s="193"/>
      <c r="Z43" s="193"/>
      <c r="AA43" s="193"/>
      <c r="AB43" s="193"/>
      <c r="AC43" s="193"/>
      <c r="AD43" s="193"/>
    </row>
    <row r="44" spans="1:80" s="45" customFormat="1" ht="15">
      <c r="A44" s="187"/>
      <c r="B44" s="170" t="s">
        <v>309</v>
      </c>
      <c r="C44" s="190">
        <f>C53+C57+C63</f>
        <v>273.16899999999998</v>
      </c>
      <c r="D44" s="128">
        <f>SUM(D13:I13)/4</f>
        <v>22.075000000000003</v>
      </c>
      <c r="E44" s="211">
        <f t="shared" ref="E44:E47" si="19">C44-D44</f>
        <v>251.09399999999999</v>
      </c>
      <c r="F44" s="128"/>
      <c r="G44" s="128"/>
      <c r="H44" s="128"/>
      <c r="I44" s="254"/>
      <c r="J44" s="254"/>
      <c r="K44" s="254"/>
      <c r="L44" s="254"/>
      <c r="M44" s="254"/>
      <c r="N44" s="254"/>
      <c r="O44" s="254"/>
      <c r="P44" s="254"/>
      <c r="Q44" s="191"/>
      <c r="R44" s="191"/>
      <c r="S44" s="191"/>
      <c r="T44" s="191"/>
      <c r="U44" s="191"/>
      <c r="V44" s="191"/>
      <c r="W44" s="191"/>
      <c r="X44" s="193"/>
      <c r="Y44" s="193"/>
      <c r="Z44" s="193"/>
      <c r="AA44" s="193"/>
      <c r="AB44" s="193"/>
      <c r="AC44" s="193"/>
      <c r="AD44" s="193"/>
    </row>
    <row r="45" spans="1:80" s="45" customFormat="1" ht="15">
      <c r="A45" s="187"/>
      <c r="B45" s="227" t="s">
        <v>310</v>
      </c>
      <c r="C45" s="222">
        <f>C54+C64+C58</f>
        <v>38.5</v>
      </c>
      <c r="D45" s="128">
        <f>SUM(D14:I14)/4</f>
        <v>29.675000000000004</v>
      </c>
      <c r="E45" s="211">
        <f t="shared" si="19"/>
        <v>8.8249999999999957</v>
      </c>
      <c r="F45" s="128"/>
      <c r="G45" s="128"/>
      <c r="H45" s="128"/>
      <c r="I45" s="254"/>
      <c r="J45" s="254"/>
      <c r="K45" s="254"/>
      <c r="L45" s="254"/>
      <c r="M45" s="254"/>
      <c r="N45" s="254"/>
      <c r="O45" s="254"/>
      <c r="P45" s="254"/>
      <c r="Q45" s="1236"/>
      <c r="R45" s="1236"/>
      <c r="S45" s="1236"/>
      <c r="T45" s="1236"/>
      <c r="U45" s="1236"/>
      <c r="V45" s="1236"/>
      <c r="W45" s="1236"/>
      <c r="X45" s="1236"/>
      <c r="Y45" s="1236"/>
      <c r="Z45" s="1236"/>
      <c r="AA45" s="1236"/>
      <c r="AB45" s="1236"/>
      <c r="AC45" s="1236"/>
      <c r="AD45" s="1236"/>
    </row>
    <row r="46" spans="1:80" s="45" customFormat="1" ht="17" customHeight="1">
      <c r="A46" s="187"/>
      <c r="B46" s="227" t="s">
        <v>379</v>
      </c>
      <c r="C46" s="222">
        <f>C56</f>
        <v>29</v>
      </c>
      <c r="D46" s="128">
        <f>SUM(D15:I15)/4</f>
        <v>2.4166666666666665</v>
      </c>
      <c r="E46" s="211">
        <f t="shared" si="19"/>
        <v>26.583333333333332</v>
      </c>
      <c r="F46" s="128"/>
      <c r="G46" s="128"/>
      <c r="H46" s="128"/>
      <c r="I46" s="254"/>
      <c r="J46" s="254"/>
      <c r="K46" s="254"/>
      <c r="L46" s="254"/>
      <c r="M46" s="254"/>
      <c r="N46" s="254"/>
      <c r="O46" s="254"/>
      <c r="P46" s="254"/>
      <c r="Q46" s="1237"/>
      <c r="R46" s="1237"/>
      <c r="S46" s="1237"/>
      <c r="T46" s="1237"/>
      <c r="U46" s="1237"/>
      <c r="V46" s="1237"/>
      <c r="W46" s="1237"/>
      <c r="X46" s="1237"/>
      <c r="Y46" s="1237"/>
      <c r="Z46" s="1237"/>
      <c r="AA46" s="1237"/>
      <c r="AB46" s="1237"/>
      <c r="AC46" s="1237"/>
      <c r="AD46" s="139"/>
    </row>
    <row r="47" spans="1:80" s="45" customFormat="1" ht="15.5" customHeight="1">
      <c r="A47" s="187"/>
      <c r="B47" s="227" t="s">
        <v>388</v>
      </c>
      <c r="C47" s="222">
        <f>C62</f>
        <v>362.04999999999995</v>
      </c>
      <c r="D47" s="128">
        <v>0</v>
      </c>
      <c r="E47" s="211">
        <f t="shared" si="19"/>
        <v>362.04999999999995</v>
      </c>
      <c r="F47" s="128"/>
      <c r="G47" s="128"/>
      <c r="H47" s="128"/>
      <c r="I47" s="254"/>
      <c r="J47" s="254"/>
      <c r="K47" s="254"/>
      <c r="L47" s="254"/>
      <c r="M47" s="254"/>
      <c r="N47" s="254"/>
      <c r="O47" s="254"/>
      <c r="P47" s="254"/>
      <c r="Q47" s="139"/>
      <c r="R47" s="139"/>
      <c r="S47" s="139"/>
      <c r="T47" s="139"/>
      <c r="U47" s="139"/>
      <c r="V47" s="430"/>
      <c r="W47" s="430"/>
      <c r="X47" s="139"/>
      <c r="Y47" s="139"/>
      <c r="Z47" s="139"/>
      <c r="AA47" s="139"/>
      <c r="AB47" s="139"/>
      <c r="AC47" s="139"/>
      <c r="AD47" s="139"/>
    </row>
    <row r="48" spans="1:80" s="45" customFormat="1" ht="15" customHeight="1">
      <c r="A48" s="187"/>
      <c r="B48" s="166" t="s">
        <v>414</v>
      </c>
      <c r="C48" s="225">
        <f>C65+C66+C59+C60</f>
        <v>45.396999999999998</v>
      </c>
      <c r="D48" s="128"/>
      <c r="E48" s="211"/>
      <c r="F48" s="128"/>
      <c r="G48" s="128"/>
      <c r="H48" s="128"/>
      <c r="I48" s="254"/>
      <c r="J48" s="254"/>
      <c r="K48" s="254"/>
      <c r="L48" s="254"/>
      <c r="M48" s="254"/>
      <c r="N48" s="254"/>
      <c r="O48" s="254"/>
      <c r="P48" s="254"/>
      <c r="Q48" s="191"/>
      <c r="R48" s="191"/>
      <c r="S48" s="191"/>
      <c r="T48" s="191"/>
      <c r="U48" s="191"/>
      <c r="V48" s="191"/>
      <c r="W48" s="191"/>
      <c r="X48" s="193"/>
      <c r="Y48" s="193"/>
      <c r="Z48" s="193"/>
      <c r="AA48" s="193"/>
      <c r="AB48" s="193"/>
      <c r="AC48" s="193"/>
      <c r="AD48" s="193"/>
    </row>
    <row r="49" spans="1:30" s="45" customFormat="1" ht="5" customHeight="1">
      <c r="A49" s="187"/>
      <c r="B49" s="166"/>
      <c r="C49" s="225"/>
      <c r="D49" s="128"/>
      <c r="E49" s="211"/>
      <c r="F49" s="128"/>
      <c r="G49" s="128"/>
      <c r="H49" s="128"/>
      <c r="I49" s="254"/>
      <c r="J49" s="254"/>
      <c r="K49" s="254"/>
      <c r="L49" s="254"/>
      <c r="M49" s="254"/>
      <c r="N49" s="254"/>
      <c r="O49" s="254"/>
      <c r="P49" s="254"/>
      <c r="Q49" s="191"/>
      <c r="R49" s="191"/>
      <c r="S49" s="191"/>
      <c r="T49" s="191"/>
      <c r="U49" s="191"/>
      <c r="V49" s="191"/>
      <c r="W49" s="191"/>
      <c r="X49" s="193"/>
      <c r="Y49" s="193"/>
      <c r="Z49" s="193"/>
      <c r="AA49" s="193"/>
      <c r="AB49" s="193"/>
      <c r="AC49" s="193"/>
      <c r="AD49" s="193"/>
    </row>
    <row r="50" spans="1:30" s="45" customFormat="1" ht="18.5" customHeight="1">
      <c r="A50" s="187"/>
      <c r="B50" s="173" t="s">
        <v>407</v>
      </c>
      <c r="C50" s="222">
        <f>C51+C55+C61</f>
        <v>898.11599999999999</v>
      </c>
      <c r="D50" s="128"/>
      <c r="E50" s="211"/>
      <c r="F50" s="128"/>
      <c r="G50" s="128"/>
      <c r="H50" s="128"/>
      <c r="I50" s="254"/>
      <c r="J50" s="254"/>
      <c r="K50" s="254"/>
      <c r="L50" s="254"/>
      <c r="M50" s="254"/>
      <c r="N50" s="254"/>
      <c r="O50" s="254"/>
      <c r="P50" s="254"/>
      <c r="Q50" s="191"/>
      <c r="R50" s="191"/>
      <c r="S50" s="191"/>
      <c r="T50" s="191"/>
      <c r="U50" s="191"/>
      <c r="V50" s="191"/>
      <c r="W50" s="191"/>
      <c r="X50" s="122"/>
    </row>
    <row r="51" spans="1:30" s="45" customFormat="1" ht="16" customHeight="1">
      <c r="A51" s="187"/>
      <c r="B51" s="124" t="s">
        <v>312</v>
      </c>
      <c r="C51" s="222">
        <f>SUM(C52:C54)</f>
        <v>199</v>
      </c>
      <c r="D51" s="128"/>
      <c r="E51" s="211"/>
      <c r="F51" s="128"/>
      <c r="G51" s="128"/>
      <c r="H51" s="128"/>
      <c r="I51" s="254"/>
      <c r="J51" s="254"/>
      <c r="K51" s="254"/>
      <c r="L51" s="254"/>
      <c r="M51" s="254"/>
      <c r="N51" s="254"/>
      <c r="O51" s="254"/>
      <c r="P51" s="254"/>
      <c r="Q51" s="191"/>
      <c r="R51" s="191"/>
      <c r="S51" s="191"/>
      <c r="T51" s="191"/>
      <c r="U51" s="191"/>
      <c r="V51" s="191"/>
      <c r="W51" s="191"/>
      <c r="X51" s="122"/>
    </row>
    <row r="52" spans="1:30" s="45" customFormat="1" ht="20.5" customHeight="1">
      <c r="A52" s="187"/>
      <c r="B52" s="203" t="s">
        <v>308</v>
      </c>
      <c r="C52" s="222">
        <v>150</v>
      </c>
      <c r="D52" s="128"/>
      <c r="E52" s="211"/>
      <c r="F52" s="128"/>
      <c r="G52" s="128"/>
      <c r="H52" s="128"/>
      <c r="I52" s="254"/>
      <c r="J52" s="254"/>
      <c r="K52" s="254"/>
      <c r="L52" s="254"/>
      <c r="M52" s="254"/>
      <c r="N52" s="254"/>
      <c r="O52" s="254"/>
      <c r="P52" s="254"/>
      <c r="Q52" s="191"/>
      <c r="R52" s="191"/>
      <c r="S52" s="191"/>
      <c r="T52" s="191"/>
      <c r="U52" s="191"/>
      <c r="V52" s="191"/>
      <c r="W52" s="191"/>
      <c r="X52" s="122"/>
    </row>
    <row r="53" spans="1:30" s="45" customFormat="1" ht="16.5" customHeight="1">
      <c r="A53" s="187"/>
      <c r="B53" s="203" t="s">
        <v>309</v>
      </c>
      <c r="C53" s="188">
        <v>22</v>
      </c>
      <c r="D53" s="152"/>
      <c r="E53" s="211"/>
      <c r="F53" s="128"/>
      <c r="G53" s="128"/>
      <c r="H53" s="128"/>
      <c r="I53" s="254"/>
      <c r="J53" s="254"/>
      <c r="K53" s="254"/>
      <c r="L53" s="254"/>
      <c r="M53" s="254"/>
      <c r="N53" s="254"/>
      <c r="O53" s="254"/>
      <c r="P53" s="254"/>
      <c r="Q53" s="191"/>
      <c r="R53" s="191"/>
      <c r="S53" s="191"/>
      <c r="T53" s="191"/>
      <c r="U53" s="191"/>
      <c r="V53" s="191"/>
      <c r="W53" s="191"/>
      <c r="X53" s="122"/>
    </row>
    <row r="54" spans="1:30" s="187" customFormat="1" ht="15">
      <c r="B54" s="228" t="s">
        <v>310</v>
      </c>
      <c r="C54" s="222">
        <v>27</v>
      </c>
      <c r="D54" s="128"/>
      <c r="E54" s="211"/>
      <c r="F54" s="172"/>
      <c r="G54" s="128"/>
      <c r="H54" s="128"/>
      <c r="I54" s="254"/>
      <c r="J54" s="254"/>
      <c r="K54" s="254"/>
      <c r="L54" s="254"/>
      <c r="M54" s="254"/>
      <c r="N54" s="254"/>
      <c r="O54" s="254"/>
      <c r="P54" s="254"/>
      <c r="Q54" s="191"/>
      <c r="R54" s="191"/>
      <c r="S54" s="191"/>
      <c r="T54" s="191"/>
      <c r="U54" s="191"/>
      <c r="V54" s="191"/>
      <c r="W54" s="191"/>
      <c r="X54" s="193"/>
    </row>
    <row r="55" spans="1:30" s="187" customFormat="1" ht="15" customHeight="1">
      <c r="B55" s="229" t="s">
        <v>313</v>
      </c>
      <c r="C55" s="222">
        <f>SUM(C56:C60)</f>
        <v>150</v>
      </c>
      <c r="D55" s="128"/>
      <c r="E55" s="211"/>
      <c r="F55" s="128"/>
      <c r="G55" s="128"/>
      <c r="H55" s="128"/>
      <c r="I55" s="128"/>
      <c r="J55" s="191"/>
      <c r="K55" s="191"/>
      <c r="L55" s="191"/>
      <c r="M55" s="191"/>
      <c r="N55" s="191"/>
      <c r="O55" s="191"/>
      <c r="P55" s="191"/>
      <c r="Q55" s="191"/>
      <c r="R55" s="191"/>
      <c r="S55" s="191"/>
      <c r="T55" s="191"/>
      <c r="U55" s="191"/>
      <c r="V55" s="191"/>
      <c r="W55" s="191"/>
      <c r="X55" s="193"/>
    </row>
    <row r="56" spans="1:30" s="187" customFormat="1" ht="17" customHeight="1">
      <c r="A56" s="193"/>
      <c r="B56" s="228" t="s">
        <v>307</v>
      </c>
      <c r="C56" s="222">
        <f>'Response and Relief Act Score'!F7</f>
        <v>29</v>
      </c>
      <c r="D56" s="128"/>
      <c r="E56" s="211"/>
      <c r="F56" s="128"/>
      <c r="G56" s="128"/>
      <c r="H56" s="128"/>
      <c r="I56" s="128"/>
      <c r="J56" s="193"/>
      <c r="K56" s="193"/>
      <c r="L56" s="193"/>
      <c r="M56" s="193"/>
      <c r="N56" s="193"/>
      <c r="O56" s="193"/>
      <c r="P56" s="193"/>
      <c r="Q56" s="193"/>
      <c r="R56" s="193"/>
    </row>
    <row r="57" spans="1:30" s="187" customFormat="1" ht="15">
      <c r="A57" s="193"/>
      <c r="B57" s="203" t="s">
        <v>309</v>
      </c>
      <c r="C57" s="222">
        <f>'Response and Relief Act Score'!F5</f>
        <v>82</v>
      </c>
      <c r="D57" s="128"/>
      <c r="E57" s="211"/>
      <c r="F57" s="128"/>
      <c r="G57" s="128"/>
      <c r="H57" s="128"/>
      <c r="I57" s="189"/>
      <c r="J57" s="191"/>
      <c r="K57" s="191"/>
      <c r="L57" s="191"/>
      <c r="M57" s="191"/>
      <c r="N57" s="191"/>
      <c r="O57" s="191"/>
      <c r="P57" s="191"/>
      <c r="Q57" s="191"/>
      <c r="R57" s="191"/>
      <c r="S57" s="191"/>
      <c r="T57" s="191"/>
      <c r="U57" s="191"/>
      <c r="V57" s="191"/>
      <c r="W57" s="191"/>
      <c r="X57" s="193"/>
    </row>
    <row r="58" spans="1:30" s="187" customFormat="1" ht="15">
      <c r="A58" s="193"/>
      <c r="B58" s="203" t="s">
        <v>310</v>
      </c>
      <c r="C58" s="222">
        <f>'Response and Relief Act Score'!F6</f>
        <v>3</v>
      </c>
      <c r="D58" s="128"/>
      <c r="E58" s="211"/>
      <c r="F58" s="128"/>
      <c r="G58" s="128"/>
      <c r="H58" s="128"/>
      <c r="I58" s="189"/>
      <c r="J58" s="191"/>
      <c r="K58" s="191"/>
      <c r="L58" s="191"/>
      <c r="M58" s="191"/>
      <c r="N58" s="191"/>
      <c r="O58" s="191"/>
      <c r="P58" s="191"/>
      <c r="Q58" s="191"/>
      <c r="R58" s="191"/>
      <c r="S58" s="191"/>
      <c r="T58" s="191"/>
      <c r="U58" s="191"/>
      <c r="V58" s="191"/>
      <c r="W58" s="191"/>
      <c r="X58" s="193"/>
    </row>
    <row r="59" spans="1:30" s="187" customFormat="1" ht="15">
      <c r="A59" s="193"/>
      <c r="B59" s="203" t="s">
        <v>413</v>
      </c>
      <c r="C59" s="222">
        <f>'Response and Relief Act Score'!F9</f>
        <v>34</v>
      </c>
      <c r="D59" s="128"/>
      <c r="E59" s="211"/>
      <c r="F59" s="128"/>
      <c r="G59" s="128"/>
      <c r="H59" s="128"/>
      <c r="I59" s="249"/>
      <c r="J59" s="191"/>
      <c r="K59" s="191"/>
      <c r="L59" s="191"/>
      <c r="M59" s="191"/>
      <c r="N59" s="191"/>
      <c r="O59" s="191"/>
      <c r="P59" s="191"/>
      <c r="Q59" s="191"/>
      <c r="R59" s="191"/>
      <c r="S59" s="191"/>
      <c r="T59" s="191"/>
      <c r="U59" s="191"/>
      <c r="V59" s="191"/>
      <c r="W59" s="191"/>
      <c r="X59" s="193"/>
    </row>
    <row r="60" spans="1:30" s="187" customFormat="1" ht="12.5" customHeight="1">
      <c r="A60" s="193"/>
      <c r="B60" s="203" t="s">
        <v>410</v>
      </c>
      <c r="C60" s="222">
        <f>'Response and Relief Act Score'!F8</f>
        <v>2</v>
      </c>
      <c r="D60" s="189"/>
      <c r="E60" s="212"/>
      <c r="F60" s="189"/>
      <c r="G60" s="189"/>
      <c r="H60" s="189"/>
      <c r="I60" s="189"/>
      <c r="J60" s="191"/>
      <c r="K60" s="191"/>
      <c r="L60" s="191"/>
      <c r="M60" s="191"/>
      <c r="N60" s="191"/>
      <c r="O60" s="191"/>
      <c r="P60" s="191"/>
      <c r="Q60" s="191"/>
      <c r="R60" s="191"/>
      <c r="S60" s="191"/>
      <c r="T60" s="191"/>
      <c r="U60" s="191"/>
      <c r="V60" s="191"/>
      <c r="W60" s="191"/>
      <c r="X60" s="193"/>
    </row>
    <row r="61" spans="1:30" s="187" customFormat="1" ht="15">
      <c r="A61" s="218"/>
      <c r="B61" s="216" t="s">
        <v>368</v>
      </c>
      <c r="C61" s="225">
        <f>SUM(C62:C66)</f>
        <v>549.11599999999999</v>
      </c>
      <c r="D61" s="189"/>
      <c r="E61" s="212"/>
      <c r="F61" s="189"/>
      <c r="G61" s="189"/>
      <c r="H61" s="189"/>
      <c r="I61" s="189"/>
      <c r="J61" s="191"/>
      <c r="K61" s="191"/>
      <c r="L61" s="191"/>
      <c r="M61" s="191"/>
      <c r="N61" s="191"/>
      <c r="O61" s="191"/>
      <c r="P61" s="191"/>
      <c r="Q61" s="191"/>
      <c r="R61" s="191"/>
      <c r="S61" s="191"/>
      <c r="T61" s="191"/>
      <c r="U61" s="191"/>
      <c r="V61" s="191"/>
      <c r="W61" s="191"/>
      <c r="X61" s="193"/>
    </row>
    <row r="62" spans="1:30" s="187" customFormat="1" ht="16" customHeight="1">
      <c r="A62" s="218"/>
      <c r="B62" s="217" t="s">
        <v>388</v>
      </c>
      <c r="C62" s="225">
        <f>'ARP Score'!AJ16</f>
        <v>362.04999999999995</v>
      </c>
      <c r="D62" s="189"/>
      <c r="E62" s="212"/>
      <c r="F62" s="189"/>
      <c r="G62" s="189"/>
      <c r="H62" s="189"/>
      <c r="I62" s="189"/>
      <c r="J62" s="191"/>
      <c r="K62" s="191"/>
      <c r="L62" s="191"/>
      <c r="M62" s="191"/>
      <c r="N62" s="191"/>
      <c r="O62" s="191"/>
      <c r="P62" s="191"/>
      <c r="Q62" s="191"/>
      <c r="R62" s="191"/>
      <c r="S62" s="191"/>
      <c r="T62" s="191"/>
      <c r="U62" s="191"/>
      <c r="V62" s="191"/>
      <c r="W62" s="191"/>
      <c r="X62" s="193"/>
    </row>
    <row r="63" spans="1:30" s="187" customFormat="1" ht="15" customHeight="1">
      <c r="A63" s="1235"/>
      <c r="B63" s="217" t="s">
        <v>309</v>
      </c>
      <c r="C63" s="225">
        <f>'ARP Score'!AL16</f>
        <v>169.16899999999998</v>
      </c>
      <c r="D63" s="189"/>
      <c r="E63" s="212"/>
      <c r="F63" s="189"/>
      <c r="G63" s="189"/>
      <c r="H63" s="189"/>
      <c r="I63" s="189"/>
      <c r="J63" s="191"/>
      <c r="K63" s="191"/>
      <c r="L63" s="191"/>
      <c r="M63" s="191"/>
      <c r="N63" s="191"/>
      <c r="O63" s="191"/>
      <c r="P63" s="191"/>
      <c r="Q63" s="191"/>
      <c r="R63" s="191"/>
      <c r="S63" s="191"/>
      <c r="T63" s="191"/>
      <c r="U63" s="191"/>
      <c r="V63" s="191"/>
      <c r="W63" s="191"/>
      <c r="X63" s="193"/>
    </row>
    <row r="64" spans="1:30" s="187" customFormat="1" ht="15">
      <c r="A64" s="1235"/>
      <c r="B64" s="219" t="s">
        <v>310</v>
      </c>
      <c r="C64" s="225">
        <f>'ARP Score'!AK16</f>
        <v>8.5</v>
      </c>
      <c r="D64" s="189"/>
      <c r="E64" s="212"/>
      <c r="F64" s="189"/>
      <c r="G64" s="189"/>
      <c r="H64" s="189"/>
      <c r="I64" s="189"/>
      <c r="J64" s="191"/>
      <c r="K64" s="191"/>
      <c r="L64" s="191"/>
      <c r="M64" s="191"/>
      <c r="N64" s="191"/>
      <c r="O64" s="191"/>
      <c r="P64" s="191"/>
      <c r="Q64" s="191"/>
      <c r="R64" s="191"/>
      <c r="S64" s="191"/>
      <c r="T64" s="191"/>
      <c r="U64" s="191"/>
      <c r="V64" s="191"/>
      <c r="W64" s="191"/>
      <c r="X64" s="193"/>
    </row>
    <row r="65" spans="1:24" s="187" customFormat="1" ht="17" customHeight="1">
      <c r="A65" s="218"/>
      <c r="B65" s="217" t="s">
        <v>415</v>
      </c>
      <c r="C65" s="225">
        <f>'ARP Score'!AM16</f>
        <v>0.79700000000000004</v>
      </c>
      <c r="D65" s="189"/>
      <c r="E65" s="212"/>
      <c r="F65" s="189"/>
      <c r="G65" s="189"/>
      <c r="H65" s="189"/>
      <c r="I65" s="189"/>
      <c r="J65" s="191"/>
      <c r="K65" s="191"/>
      <c r="L65" s="191"/>
      <c r="M65" s="191"/>
      <c r="N65" s="191"/>
      <c r="O65" s="191"/>
      <c r="P65" s="191"/>
      <c r="Q65" s="191"/>
      <c r="R65" s="191"/>
      <c r="S65" s="191"/>
      <c r="T65" s="191"/>
      <c r="U65" s="191"/>
      <c r="V65" s="191"/>
      <c r="W65" s="191"/>
      <c r="X65" s="193"/>
    </row>
    <row r="66" spans="1:24" s="187" customFormat="1" ht="17" customHeight="1">
      <c r="A66" s="218"/>
      <c r="B66" s="220" t="s">
        <v>385</v>
      </c>
      <c r="C66" s="226">
        <f>'ARP Score'!AN16</f>
        <v>8.6</v>
      </c>
      <c r="D66" s="221"/>
      <c r="E66" s="213"/>
      <c r="F66" s="189"/>
      <c r="G66" s="189"/>
      <c r="H66" s="189"/>
      <c r="I66" s="189"/>
      <c r="J66" s="191"/>
      <c r="K66" s="191"/>
      <c r="L66" s="191"/>
      <c r="M66" s="191"/>
      <c r="N66" s="191"/>
      <c r="O66" s="191"/>
      <c r="P66" s="191"/>
      <c r="Q66" s="191"/>
      <c r="R66" s="191"/>
      <c r="S66" s="191"/>
      <c r="T66" s="191"/>
      <c r="U66" s="191"/>
      <c r="V66" s="191"/>
      <c r="W66" s="191"/>
      <c r="X66" s="193"/>
    </row>
    <row r="67" spans="1:24" s="187" customFormat="1" ht="17" customHeight="1">
      <c r="A67" s="193"/>
      <c r="B67" s="217"/>
      <c r="C67" s="171"/>
      <c r="D67" s="189"/>
      <c r="E67" s="189"/>
      <c r="F67" s="189"/>
      <c r="G67" s="189"/>
      <c r="H67" s="189"/>
      <c r="I67" s="189"/>
      <c r="J67" s="191"/>
      <c r="K67" s="191"/>
      <c r="L67" s="191"/>
      <c r="M67" s="191"/>
      <c r="N67" s="191"/>
      <c r="O67" s="191"/>
      <c r="P67" s="191"/>
      <c r="Q67" s="191"/>
      <c r="R67" s="191"/>
      <c r="S67" s="191"/>
      <c r="T67" s="191"/>
      <c r="U67" s="191"/>
      <c r="V67" s="191"/>
      <c r="W67" s="191"/>
      <c r="X67" s="193"/>
    </row>
    <row r="68" spans="1:24" s="187" customFormat="1" ht="17" customHeight="1">
      <c r="A68" s="193"/>
      <c r="B68" s="210" t="s">
        <v>424</v>
      </c>
      <c r="C68" s="171"/>
      <c r="D68" s="189"/>
      <c r="E68" s="189"/>
      <c r="F68" s="189"/>
      <c r="G68" s="189"/>
      <c r="H68" s="189"/>
      <c r="I68" s="189"/>
      <c r="J68" s="191"/>
      <c r="K68" s="191"/>
      <c r="L68" s="191"/>
      <c r="M68" s="191"/>
      <c r="N68" s="191"/>
      <c r="O68" s="191"/>
      <c r="P68" s="191"/>
      <c r="Q68" s="191"/>
      <c r="R68" s="191"/>
      <c r="S68" s="191"/>
      <c r="T68" s="191"/>
      <c r="U68" s="191"/>
      <c r="V68" s="191"/>
      <c r="W68" s="191"/>
      <c r="X68" s="193"/>
    </row>
    <row r="69" spans="1:24" s="187" customFormat="1">
      <c r="A69" s="193"/>
      <c r="B69" s="1245" t="s">
        <v>387</v>
      </c>
      <c r="C69" s="1246"/>
      <c r="D69" s="1251" t="s">
        <v>278</v>
      </c>
      <c r="E69" s="1252"/>
      <c r="F69" s="1252"/>
      <c r="G69" s="1252"/>
      <c r="H69" s="1252"/>
      <c r="I69" s="1252"/>
      <c r="J69" s="1253" t="s">
        <v>145</v>
      </c>
      <c r="K69" s="1254"/>
      <c r="L69" s="1254"/>
      <c r="M69" s="1254"/>
      <c r="N69" s="1254"/>
      <c r="O69" s="1254"/>
      <c r="P69" s="1254"/>
      <c r="Q69" s="1254"/>
      <c r="R69" s="1254"/>
      <c r="S69" s="1254"/>
      <c r="T69" s="1254"/>
      <c r="U69" s="1255"/>
      <c r="V69" s="429"/>
      <c r="W69" s="429"/>
      <c r="X69" s="193"/>
    </row>
    <row r="70" spans="1:24" s="45" customFormat="1">
      <c r="A70" s="187"/>
      <c r="B70" s="1247"/>
      <c r="C70" s="1248"/>
      <c r="D70" s="39">
        <v>2019</v>
      </c>
      <c r="E70" s="1256">
        <v>2020</v>
      </c>
      <c r="F70" s="1257"/>
      <c r="G70" s="1257"/>
      <c r="H70" s="1258"/>
      <c r="I70" s="39">
        <v>2021</v>
      </c>
      <c r="J70" s="1259">
        <v>2021</v>
      </c>
      <c r="K70" s="1260"/>
      <c r="L70" s="1261"/>
      <c r="M70" s="1259">
        <v>2022</v>
      </c>
      <c r="N70" s="1260"/>
      <c r="O70" s="1260"/>
      <c r="P70" s="1260"/>
      <c r="Q70" s="1259">
        <v>2023</v>
      </c>
      <c r="R70" s="1260"/>
      <c r="S70" s="1260"/>
      <c r="T70" s="1260"/>
      <c r="U70" s="419">
        <v>2024</v>
      </c>
      <c r="V70" s="430"/>
      <c r="W70" s="430"/>
    </row>
    <row r="71" spans="1:24" s="45" customFormat="1">
      <c r="A71" s="187"/>
      <c r="B71" s="1249"/>
      <c r="C71" s="1250"/>
      <c r="D71" s="40" t="s">
        <v>140</v>
      </c>
      <c r="E71" s="41" t="s">
        <v>137</v>
      </c>
      <c r="F71" s="42" t="s">
        <v>138</v>
      </c>
      <c r="G71" s="42" t="s">
        <v>139</v>
      </c>
      <c r="H71" s="43" t="s">
        <v>140</v>
      </c>
      <c r="I71" s="40" t="s">
        <v>137</v>
      </c>
      <c r="J71" s="511" t="s">
        <v>138</v>
      </c>
      <c r="K71" s="512" t="s">
        <v>139</v>
      </c>
      <c r="L71" s="513" t="s">
        <v>140</v>
      </c>
      <c r="M71" s="511" t="s">
        <v>137</v>
      </c>
      <c r="N71" s="512" t="s">
        <v>138</v>
      </c>
      <c r="O71" s="512" t="s">
        <v>139</v>
      </c>
      <c r="P71" s="512" t="s">
        <v>140</v>
      </c>
      <c r="Q71" s="511" t="s">
        <v>137</v>
      </c>
      <c r="R71" s="512" t="s">
        <v>138</v>
      </c>
      <c r="S71" s="512" t="s">
        <v>139</v>
      </c>
      <c r="T71" s="512" t="s">
        <v>140</v>
      </c>
      <c r="U71" s="514" t="s">
        <v>137</v>
      </c>
      <c r="V71" s="430"/>
      <c r="W71" s="430"/>
    </row>
    <row r="72" spans="1:24" s="45" customFormat="1" ht="29" customHeight="1">
      <c r="A72" s="187"/>
      <c r="B72" s="534" t="s">
        <v>599</v>
      </c>
      <c r="C72" s="535"/>
      <c r="D72" s="536">
        <f t="shared" ref="D72:U72" si="20">SUM(D74:D81)</f>
        <v>203.99099999999999</v>
      </c>
      <c r="E72" s="536">
        <f t="shared" si="20"/>
        <v>204.37099999999998</v>
      </c>
      <c r="F72" s="536">
        <f t="shared" si="20"/>
        <v>321.36000000000018</v>
      </c>
      <c r="G72" s="536">
        <f t="shared" si="20"/>
        <v>287.12800000000004</v>
      </c>
      <c r="H72" s="536">
        <f t="shared" si="20"/>
        <v>285.90700000000004</v>
      </c>
      <c r="I72" s="536">
        <f t="shared" si="20"/>
        <v>313.33699999999999</v>
      </c>
      <c r="J72" s="532">
        <f t="shared" si="20"/>
        <v>345.54600638694637</v>
      </c>
      <c r="K72" s="532">
        <f t="shared" si="20"/>
        <v>375.00992679906756</v>
      </c>
      <c r="L72" s="532">
        <f t="shared" si="20"/>
        <v>409.77723899550585</v>
      </c>
      <c r="M72" s="532">
        <f t="shared" si="20"/>
        <v>431.48107254189955</v>
      </c>
      <c r="N72" s="532">
        <f t="shared" si="20"/>
        <v>439.34263453000909</v>
      </c>
      <c r="O72" s="532">
        <f t="shared" si="20"/>
        <v>451.15785968855209</v>
      </c>
      <c r="P72" s="532">
        <f t="shared" si="20"/>
        <v>461.76397188700332</v>
      </c>
      <c r="Q72" s="532">
        <f t="shared" si="20"/>
        <v>473.78265428248346</v>
      </c>
      <c r="R72" s="532">
        <f t="shared" si="20"/>
        <v>448.10427877378277</v>
      </c>
      <c r="S72" s="532">
        <f t="shared" si="20"/>
        <v>451.89625264473409</v>
      </c>
      <c r="T72" s="532">
        <f t="shared" si="20"/>
        <v>464.87886635052348</v>
      </c>
      <c r="U72" s="533">
        <f t="shared" si="20"/>
        <v>436.32490388454437</v>
      </c>
      <c r="V72" s="530"/>
      <c r="W72" s="530"/>
    </row>
    <row r="73" spans="1:24" s="45" customFormat="1" ht="19" customHeight="1">
      <c r="A73" s="187"/>
      <c r="B73" s="527" t="s">
        <v>595</v>
      </c>
      <c r="C73" s="339"/>
      <c r="D73" s="247"/>
      <c r="E73" s="247"/>
      <c r="F73" s="247"/>
      <c r="G73" s="247"/>
      <c r="H73" s="247"/>
      <c r="I73" s="247"/>
      <c r="J73" s="528"/>
      <c r="K73" s="528"/>
      <c r="L73" s="528"/>
      <c r="M73" s="528"/>
      <c r="N73" s="528"/>
      <c r="O73" s="528"/>
      <c r="P73" s="528"/>
      <c r="Q73" s="528"/>
      <c r="R73" s="528"/>
      <c r="S73" s="528"/>
      <c r="T73" s="528"/>
      <c r="U73" s="529"/>
      <c r="V73" s="530"/>
      <c r="W73" s="530"/>
    </row>
    <row r="74" spans="1:24" s="45" customFormat="1" ht="15">
      <c r="A74" s="187"/>
      <c r="B74" s="138" t="s">
        <v>310</v>
      </c>
      <c r="C74" s="172"/>
      <c r="D74" s="140"/>
      <c r="E74" s="140"/>
      <c r="F74" s="140">
        <f>F14</f>
        <v>64.400000000000006</v>
      </c>
      <c r="G74" s="140">
        <f t="shared" ref="G74:U74" si="21">G14</f>
        <v>23.4</v>
      </c>
      <c r="H74" s="140">
        <f t="shared" si="21"/>
        <v>13.8</v>
      </c>
      <c r="I74" s="140">
        <f t="shared" si="21"/>
        <v>17.100000000000001</v>
      </c>
      <c r="J74" s="515">
        <f t="shared" si="21"/>
        <v>11.320279720279721</v>
      </c>
      <c r="K74" s="515">
        <f t="shared" si="21"/>
        <v>6.9157342657342671</v>
      </c>
      <c r="L74" s="515">
        <f t="shared" si="21"/>
        <v>5.4608391608391615</v>
      </c>
      <c r="M74" s="515">
        <f t="shared" si="21"/>
        <v>4.6038461538461544</v>
      </c>
      <c r="N74" s="515">
        <f t="shared" si="21"/>
        <v>1.0164335664335664</v>
      </c>
      <c r="O74" s="515">
        <f t="shared" si="21"/>
        <v>1.0164335664335664</v>
      </c>
      <c r="P74" s="515">
        <f t="shared" si="21"/>
        <v>0</v>
      </c>
      <c r="Q74" s="515">
        <f t="shared" si="21"/>
        <v>0</v>
      </c>
      <c r="R74" s="515">
        <f t="shared" si="21"/>
        <v>0</v>
      </c>
      <c r="S74" s="515">
        <f t="shared" si="21"/>
        <v>0</v>
      </c>
      <c r="T74" s="515">
        <f t="shared" si="21"/>
        <v>0</v>
      </c>
      <c r="U74" s="516">
        <f t="shared" si="21"/>
        <v>0</v>
      </c>
      <c r="V74" s="241"/>
      <c r="W74" s="241"/>
    </row>
    <row r="75" spans="1:24" s="45" customFormat="1" ht="15">
      <c r="A75" s="187"/>
      <c r="B75" s="138" t="s">
        <v>307</v>
      </c>
      <c r="C75" s="172"/>
      <c r="D75" s="140"/>
      <c r="E75" s="140"/>
      <c r="F75" s="140"/>
      <c r="G75" s="140"/>
      <c r="H75" s="140"/>
      <c r="I75" s="140">
        <f>I27</f>
        <v>9.6666666666666661</v>
      </c>
      <c r="J75" s="515">
        <f t="shared" ref="J75:U75" si="22">J27</f>
        <v>9.6666666666666661</v>
      </c>
      <c r="K75" s="515">
        <f t="shared" si="22"/>
        <v>9.6666666666666661</v>
      </c>
      <c r="L75" s="515">
        <f t="shared" si="22"/>
        <v>9.6666666666666661</v>
      </c>
      <c r="M75" s="515">
        <f t="shared" si="22"/>
        <v>9.6666666666666661</v>
      </c>
      <c r="N75" s="515">
        <f t="shared" si="22"/>
        <v>9.6666666666666661</v>
      </c>
      <c r="O75" s="515">
        <f t="shared" si="22"/>
        <v>9.6666666666666661</v>
      </c>
      <c r="P75" s="515">
        <f t="shared" si="22"/>
        <v>9.6666666666666661</v>
      </c>
      <c r="Q75" s="515">
        <f t="shared" si="22"/>
        <v>9.6666666666666661</v>
      </c>
      <c r="R75" s="515">
        <f t="shared" si="22"/>
        <v>9.6666666666666661</v>
      </c>
      <c r="S75" s="515">
        <f t="shared" si="22"/>
        <v>9.6666666666666661</v>
      </c>
      <c r="T75" s="515">
        <f t="shared" si="22"/>
        <v>9.6666666666666661</v>
      </c>
      <c r="U75" s="516">
        <f t="shared" si="22"/>
        <v>0</v>
      </c>
      <c r="V75" s="241"/>
      <c r="W75" s="241"/>
    </row>
    <row r="76" spans="1:24" s="45" customFormat="1" ht="15">
      <c r="A76" s="187"/>
      <c r="B76" s="138" t="s">
        <v>790</v>
      </c>
      <c r="C76" s="172"/>
      <c r="D76" s="140"/>
      <c r="E76" s="140"/>
      <c r="F76" s="140"/>
      <c r="G76" s="140"/>
      <c r="H76" s="140"/>
      <c r="I76" s="140">
        <f>I16</f>
        <v>12</v>
      </c>
      <c r="J76" s="515">
        <f t="shared" ref="J76:U76" si="23">J16</f>
        <v>12</v>
      </c>
      <c r="K76" s="515">
        <f t="shared" si="23"/>
        <v>12</v>
      </c>
      <c r="L76" s="515">
        <f t="shared" si="23"/>
        <v>12</v>
      </c>
      <c r="M76" s="515">
        <f t="shared" si="23"/>
        <v>12</v>
      </c>
      <c r="N76" s="515">
        <f t="shared" si="23"/>
        <v>12</v>
      </c>
      <c r="O76" s="515">
        <f t="shared" si="23"/>
        <v>12</v>
      </c>
      <c r="P76" s="515">
        <f t="shared" si="23"/>
        <v>12</v>
      </c>
      <c r="Q76" s="515">
        <f t="shared" si="23"/>
        <v>12</v>
      </c>
      <c r="R76" s="515">
        <f t="shared" si="23"/>
        <v>12</v>
      </c>
      <c r="S76" s="515">
        <f t="shared" si="23"/>
        <v>12</v>
      </c>
      <c r="T76" s="515">
        <f t="shared" si="23"/>
        <v>12</v>
      </c>
      <c r="U76" s="516">
        <f t="shared" si="23"/>
        <v>0</v>
      </c>
      <c r="V76" s="241"/>
      <c r="W76" s="241"/>
    </row>
    <row r="77" spans="1:24" s="45" customFormat="1" ht="30">
      <c r="A77" s="187"/>
      <c r="B77" s="138" t="s">
        <v>804</v>
      </c>
      <c r="C77" s="172"/>
      <c r="D77" s="140"/>
      <c r="E77" s="140"/>
      <c r="F77" s="140">
        <f t="shared" ref="F77:H77" si="24">F13</f>
        <v>28.4</v>
      </c>
      <c r="G77" s="140">
        <f t="shared" si="24"/>
        <v>15.8</v>
      </c>
      <c r="H77" s="140">
        <f t="shared" si="24"/>
        <v>15.2</v>
      </c>
      <c r="I77" s="140">
        <f>I13</f>
        <v>28.9</v>
      </c>
      <c r="J77" s="515">
        <f>J24+J28+'ARP Quarterly'!D18</f>
        <v>39.061913333333329</v>
      </c>
      <c r="K77" s="1010">
        <f>K24+K28+'ARP Quarterly'!E18</f>
        <v>34.790493333333302</v>
      </c>
      <c r="L77" s="1010">
        <f>L24+L28+'ARP Quarterly'!F18</f>
        <v>37.547219333333331</v>
      </c>
      <c r="M77" s="1010">
        <f>M24+M28+'ARP Quarterly'!G18</f>
        <v>36.303945333333331</v>
      </c>
      <c r="N77" s="1010">
        <f>N24+N28+'ARP Quarterly'!H18</f>
        <v>38.596655333333331</v>
      </c>
      <c r="O77" s="1010">
        <f>O24+O28+'ARP Quarterly'!I18</f>
        <v>40.88936533333333</v>
      </c>
      <c r="P77" s="1010">
        <f>P24+P28+'ARP Quarterly'!J18</f>
        <v>42.60849533333333</v>
      </c>
      <c r="Q77" s="1010">
        <f>Q24+Q28+'ARP Quarterly'!K18</f>
        <v>44.32762533333333</v>
      </c>
      <c r="R77" s="1010">
        <f>R24+R28+'ARP Quarterly'!L18</f>
        <v>46.218829333333332</v>
      </c>
      <c r="S77" s="1010">
        <f>S24+S28+'ARP Quarterly'!M18</f>
        <v>48.110033333333334</v>
      </c>
      <c r="T77" s="1010">
        <f>T24+T28+'ARP Quarterly'!N18</f>
        <v>49.533287333333334</v>
      </c>
      <c r="U77" s="1010">
        <f>U24+U28+'ARP Quarterly'!O18</f>
        <v>30.623207999999995</v>
      </c>
      <c r="V77" s="241"/>
      <c r="W77" s="241"/>
    </row>
    <row r="78" spans="1:24" s="122" customFormat="1" ht="15">
      <c r="A78" s="193"/>
      <c r="B78" s="138" t="s">
        <v>597</v>
      </c>
      <c r="C78" s="172"/>
      <c r="D78" s="538">
        <f t="shared" ref="D78:U78" si="25">D19</f>
        <v>203.99099999999999</v>
      </c>
      <c r="E78" s="538">
        <f t="shared" si="25"/>
        <v>204.37099999999998</v>
      </c>
      <c r="F78" s="538">
        <f t="shared" si="25"/>
        <v>193.56000000000017</v>
      </c>
      <c r="G78" s="538">
        <f t="shared" si="25"/>
        <v>202.92800000000005</v>
      </c>
      <c r="H78" s="538">
        <f t="shared" si="25"/>
        <v>196.90700000000004</v>
      </c>
      <c r="I78" s="538">
        <f t="shared" si="25"/>
        <v>195.67033333333333</v>
      </c>
      <c r="J78" s="539">
        <f t="shared" si="25"/>
        <v>203.49714666666668</v>
      </c>
      <c r="K78" s="539">
        <f t="shared" si="25"/>
        <v>211.63703253333335</v>
      </c>
      <c r="L78" s="539">
        <f t="shared" si="25"/>
        <v>220.10251383466669</v>
      </c>
      <c r="M78" s="539">
        <f t="shared" si="25"/>
        <v>228.90661438805338</v>
      </c>
      <c r="N78" s="539">
        <f t="shared" si="25"/>
        <v>238.06287896357551</v>
      </c>
      <c r="O78" s="539">
        <f t="shared" si="25"/>
        <v>247.58539412211854</v>
      </c>
      <c r="P78" s="539">
        <f t="shared" si="25"/>
        <v>257.4888098870033</v>
      </c>
      <c r="Q78" s="539">
        <f t="shared" si="25"/>
        <v>267.78836228248343</v>
      </c>
      <c r="R78" s="539">
        <f t="shared" si="25"/>
        <v>278.49989677378278</v>
      </c>
      <c r="S78" s="539">
        <f t="shared" si="25"/>
        <v>289.63989264473412</v>
      </c>
      <c r="T78" s="539">
        <f t="shared" si="25"/>
        <v>301.22548835052351</v>
      </c>
      <c r="U78" s="540">
        <f t="shared" si="25"/>
        <v>313.27450788454445</v>
      </c>
      <c r="V78" s="531"/>
      <c r="W78" s="531"/>
    </row>
    <row r="79" spans="1:24" s="45" customFormat="1" ht="14.5" customHeight="1">
      <c r="A79" s="187"/>
      <c r="B79" s="526" t="s">
        <v>596</v>
      </c>
      <c r="C79" s="172"/>
      <c r="D79" s="140"/>
      <c r="E79" s="140"/>
      <c r="F79" s="140"/>
      <c r="G79" s="140"/>
      <c r="H79" s="140"/>
      <c r="I79" s="140"/>
      <c r="J79" s="515"/>
      <c r="K79" s="515"/>
      <c r="L79" s="515"/>
      <c r="M79" s="515"/>
      <c r="N79" s="515"/>
      <c r="O79" s="515"/>
      <c r="P79" s="515"/>
      <c r="Q79" s="515"/>
      <c r="R79" s="515"/>
      <c r="S79" s="515"/>
      <c r="T79" s="515"/>
      <c r="U79" s="516"/>
      <c r="V79" s="241"/>
      <c r="W79" s="241"/>
    </row>
    <row r="80" spans="1:24" s="45" customFormat="1" ht="15">
      <c r="A80" s="187"/>
      <c r="B80" s="137" t="s">
        <v>308</v>
      </c>
      <c r="C80" s="537"/>
      <c r="D80" s="140"/>
      <c r="E80" s="140"/>
      <c r="F80" s="140">
        <v>35</v>
      </c>
      <c r="G80" s="140">
        <v>45</v>
      </c>
      <c r="H80" s="140">
        <v>60</v>
      </c>
      <c r="I80" s="140">
        <v>50</v>
      </c>
      <c r="J80" s="515">
        <v>50</v>
      </c>
      <c r="K80" s="515">
        <v>50</v>
      </c>
      <c r="L80" s="515">
        <v>50</v>
      </c>
      <c r="M80" s="515">
        <v>50</v>
      </c>
      <c r="N80" s="515">
        <v>50</v>
      </c>
      <c r="O80" s="515">
        <v>50</v>
      </c>
      <c r="P80" s="515">
        <v>50</v>
      </c>
      <c r="Q80" s="515">
        <v>50</v>
      </c>
      <c r="R80" s="515">
        <v>10</v>
      </c>
      <c r="S80" s="515"/>
      <c r="T80" s="515"/>
      <c r="U80" s="516"/>
      <c r="V80" s="241"/>
      <c r="W80" s="241"/>
      <c r="X80" s="45" t="s">
        <v>420</v>
      </c>
    </row>
    <row r="81" spans="1:24" s="45" customFormat="1" ht="16.5" customHeight="1">
      <c r="A81" s="187"/>
      <c r="B81" s="195" t="s">
        <v>792</v>
      </c>
      <c r="C81" s="541"/>
      <c r="D81" s="237"/>
      <c r="E81" s="237"/>
      <c r="F81" s="237"/>
      <c r="G81" s="237"/>
      <c r="H81" s="237"/>
      <c r="I81" s="237"/>
      <c r="J81" s="518">
        <f>'ARP Quarterly'!D37</f>
        <v>20</v>
      </c>
      <c r="K81" s="518">
        <f>'ARP Quarterly'!E37</f>
        <v>50</v>
      </c>
      <c r="L81" s="518">
        <f>'ARP Quarterly'!F37</f>
        <v>75</v>
      </c>
      <c r="M81" s="518">
        <f>'ARP Quarterly'!G37</f>
        <v>90</v>
      </c>
      <c r="N81" s="518">
        <f>'ARP Quarterly'!H37</f>
        <v>90</v>
      </c>
      <c r="O81" s="518">
        <f>'ARP Quarterly'!I37</f>
        <v>90</v>
      </c>
      <c r="P81" s="518">
        <f>'ARP Quarterly'!J37</f>
        <v>90</v>
      </c>
      <c r="Q81" s="518">
        <f>'ARP Quarterly'!K37</f>
        <v>90</v>
      </c>
      <c r="R81" s="518">
        <f>'ARP Quarterly'!L37</f>
        <v>91.718885999999998</v>
      </c>
      <c r="S81" s="518">
        <f>'ARP Quarterly'!M37</f>
        <v>92.479659999999996</v>
      </c>
      <c r="T81" s="518">
        <f>'ARP Quarterly'!N37</f>
        <v>92.453423999999984</v>
      </c>
      <c r="U81" s="518">
        <f>'ARP Quarterly'!O37</f>
        <v>92.427187999999973</v>
      </c>
      <c r="V81" s="241"/>
      <c r="W81" s="241"/>
      <c r="X81" s="45" t="s">
        <v>426</v>
      </c>
    </row>
    <row r="83" spans="1:24" ht="12.5" customHeight="1">
      <c r="J83" s="103"/>
      <c r="K83" s="103"/>
      <c r="L83" s="103"/>
      <c r="M83" s="103"/>
      <c r="N83" s="103"/>
      <c r="O83" s="103"/>
      <c r="P83" s="103"/>
      <c r="Q83" s="103"/>
      <c r="R83" s="103"/>
      <c r="S83" s="103"/>
      <c r="T83" s="103"/>
      <c r="U83" s="103"/>
      <c r="V83" s="434"/>
      <c r="W83" s="434"/>
    </row>
    <row r="84" spans="1:24">
      <c r="R84" s="175"/>
      <c r="S84" s="175"/>
      <c r="T84" s="175"/>
      <c r="U84" s="175"/>
      <c r="V84" s="175"/>
      <c r="W84" s="175"/>
    </row>
    <row r="85" spans="1:24">
      <c r="B85" s="1262" t="s">
        <v>6</v>
      </c>
      <c r="C85" s="1262"/>
      <c r="D85" s="1262"/>
      <c r="E85" s="1262"/>
      <c r="F85" s="1262"/>
      <c r="G85" s="1262"/>
      <c r="H85" s="1262"/>
      <c r="I85" s="1262"/>
      <c r="J85" s="1262"/>
      <c r="K85" s="1262"/>
      <c r="L85" s="1262"/>
      <c r="M85" s="1262"/>
      <c r="N85" s="1262"/>
      <c r="O85" s="1262"/>
      <c r="P85" s="1262"/>
      <c r="Q85" s="1262"/>
      <c r="R85" s="1262"/>
      <c r="S85" s="1262"/>
      <c r="T85" s="1262"/>
      <c r="U85" s="1262"/>
      <c r="V85" s="432"/>
      <c r="W85" s="432"/>
    </row>
    <row r="86" spans="1:24" ht="19" customHeight="1">
      <c r="B86" s="1244" t="s">
        <v>602</v>
      </c>
      <c r="C86" s="1244"/>
      <c r="D86" s="1244"/>
      <c r="E86" s="1244"/>
      <c r="F86" s="1244"/>
      <c r="G86" s="1244"/>
      <c r="H86" s="1244"/>
      <c r="I86" s="1244"/>
      <c r="J86" s="1244"/>
      <c r="K86" s="1244"/>
      <c r="L86" s="1244"/>
      <c r="M86" s="1244"/>
      <c r="N86" s="1244"/>
      <c r="O86" s="1244"/>
      <c r="P86" s="1244"/>
      <c r="Q86" s="1244"/>
      <c r="R86" s="1244"/>
      <c r="S86" s="1244"/>
      <c r="T86" s="1244"/>
      <c r="U86" s="1244"/>
      <c r="V86" s="431"/>
      <c r="W86" s="431"/>
    </row>
    <row r="87" spans="1:24" ht="11.5" customHeight="1">
      <c r="B87" s="103"/>
      <c r="C87" s="103"/>
      <c r="D87" s="103"/>
      <c r="E87" s="103"/>
      <c r="F87" s="103"/>
      <c r="G87" s="103"/>
      <c r="H87" s="103"/>
      <c r="I87" s="103"/>
      <c r="R87" s="206"/>
      <c r="S87" s="206"/>
      <c r="T87" s="206"/>
      <c r="U87" s="206"/>
      <c r="V87" s="206"/>
      <c r="W87" s="206"/>
    </row>
    <row r="88" spans="1:24">
      <c r="B88" s="1245" t="s">
        <v>277</v>
      </c>
      <c r="C88" s="1246"/>
      <c r="D88" s="1251" t="s">
        <v>278</v>
      </c>
      <c r="E88" s="1252"/>
      <c r="F88" s="1252"/>
      <c r="G88" s="1252"/>
      <c r="H88" s="1252"/>
      <c r="I88" s="1252"/>
      <c r="J88" s="1272" t="s">
        <v>145</v>
      </c>
      <c r="K88" s="1273"/>
      <c r="L88" s="1273"/>
      <c r="M88" s="1273"/>
      <c r="N88" s="1273"/>
      <c r="O88" s="1273"/>
      <c r="P88" s="1273"/>
      <c r="Q88" s="1274"/>
      <c r="R88" s="1274"/>
      <c r="S88" s="1274"/>
      <c r="T88" s="1274"/>
      <c r="U88" s="1275"/>
      <c r="V88" s="508"/>
      <c r="W88" s="508"/>
    </row>
    <row r="89" spans="1:24">
      <c r="B89" s="1247"/>
      <c r="C89" s="1248"/>
      <c r="D89" s="88">
        <v>2019</v>
      </c>
      <c r="E89" s="1256">
        <v>2020</v>
      </c>
      <c r="F89" s="1257"/>
      <c r="G89" s="1257"/>
      <c r="H89" s="1258"/>
      <c r="I89" s="87">
        <v>2021</v>
      </c>
      <c r="J89" s="1266">
        <v>2021</v>
      </c>
      <c r="K89" s="1267"/>
      <c r="L89" s="1268"/>
      <c r="M89" s="1266">
        <v>2022</v>
      </c>
      <c r="N89" s="1267"/>
      <c r="O89" s="1267"/>
      <c r="P89" s="1267"/>
      <c r="Q89" s="1269">
        <v>2023</v>
      </c>
      <c r="R89" s="1270"/>
      <c r="S89" s="1270"/>
      <c r="T89" s="1271"/>
      <c r="U89" s="209">
        <v>2024</v>
      </c>
      <c r="V89" s="510"/>
      <c r="W89" s="510"/>
    </row>
    <row r="90" spans="1:24">
      <c r="B90" s="1249"/>
      <c r="C90" s="1250"/>
      <c r="D90" s="43" t="s">
        <v>140</v>
      </c>
      <c r="E90" s="41" t="s">
        <v>137</v>
      </c>
      <c r="F90" s="42" t="s">
        <v>138</v>
      </c>
      <c r="G90" s="42" t="s">
        <v>139</v>
      </c>
      <c r="H90" s="43" t="s">
        <v>140</v>
      </c>
      <c r="I90" s="41" t="s">
        <v>137</v>
      </c>
      <c r="J90" s="84" t="s">
        <v>138</v>
      </c>
      <c r="K90" s="83" t="s">
        <v>139</v>
      </c>
      <c r="L90" s="85" t="s">
        <v>140</v>
      </c>
      <c r="M90" s="84" t="s">
        <v>137</v>
      </c>
      <c r="N90" s="83" t="s">
        <v>138</v>
      </c>
      <c r="O90" s="83" t="s">
        <v>139</v>
      </c>
      <c r="P90" s="83" t="s">
        <v>140</v>
      </c>
      <c r="Q90" s="84" t="s">
        <v>137</v>
      </c>
      <c r="R90" s="83" t="s">
        <v>138</v>
      </c>
      <c r="S90" s="83" t="s">
        <v>139</v>
      </c>
      <c r="T90" s="85" t="s">
        <v>140</v>
      </c>
      <c r="U90" s="117" t="s">
        <v>137</v>
      </c>
      <c r="V90" s="433"/>
      <c r="W90" s="433"/>
    </row>
    <row r="91" spans="1:24" ht="15">
      <c r="B91" s="232" t="s">
        <v>303</v>
      </c>
      <c r="C91" s="58" t="s">
        <v>253</v>
      </c>
      <c r="D91" s="89">
        <f>'Haver Pivoted'!GS41</f>
        <v>69.790999999999997</v>
      </c>
      <c r="E91" s="89">
        <f>'Haver Pivoted'!GT41</f>
        <v>72.239999999999995</v>
      </c>
      <c r="F91" s="89">
        <f>'Haver Pivoted'!GU41</f>
        <v>72.525000000000006</v>
      </c>
      <c r="G91" s="89">
        <f>'Haver Pivoted'!GV41</f>
        <v>73.844999999999999</v>
      </c>
      <c r="H91" s="89">
        <f>'Haver Pivoted'!GW41</f>
        <v>73.558999999999997</v>
      </c>
      <c r="I91" s="89">
        <f>'Haver Pivoted'!GX41</f>
        <v>72.012</v>
      </c>
      <c r="J91" s="143">
        <f>AVERAGE(D91:G91)</f>
        <v>72.100250000000003</v>
      </c>
      <c r="K91" s="141">
        <f>J91</f>
        <v>72.100250000000003</v>
      </c>
      <c r="L91" s="141">
        <f t="shared" ref="L91:U91" si="26">K91</f>
        <v>72.100250000000003</v>
      </c>
      <c r="M91" s="141">
        <f t="shared" si="26"/>
        <v>72.100250000000003</v>
      </c>
      <c r="N91" s="141">
        <f t="shared" si="26"/>
        <v>72.100250000000003</v>
      </c>
      <c r="O91" s="141">
        <f t="shared" si="26"/>
        <v>72.100250000000003</v>
      </c>
      <c r="P91" s="141">
        <f t="shared" si="26"/>
        <v>72.100250000000003</v>
      </c>
      <c r="Q91" s="141">
        <f t="shared" si="26"/>
        <v>72.100250000000003</v>
      </c>
      <c r="R91" s="141">
        <f t="shared" si="26"/>
        <v>72.100250000000003</v>
      </c>
      <c r="S91" s="141">
        <f t="shared" si="26"/>
        <v>72.100250000000003</v>
      </c>
      <c r="T91" s="141">
        <f t="shared" si="26"/>
        <v>72.100250000000003</v>
      </c>
      <c r="U91" s="141">
        <f t="shared" si="26"/>
        <v>72.100250000000003</v>
      </c>
      <c r="V91" s="109"/>
      <c r="W91" s="109" t="s">
        <v>600</v>
      </c>
    </row>
    <row r="92" spans="1:24">
      <c r="B92" s="154"/>
      <c r="C92" s="86"/>
      <c r="D92" s="115"/>
      <c r="E92" s="116"/>
      <c r="F92" s="116"/>
      <c r="G92" s="63"/>
      <c r="H92" s="63"/>
      <c r="I92" s="63"/>
      <c r="J92" s="118"/>
      <c r="K92" s="119"/>
      <c r="L92" s="120"/>
      <c r="M92" s="119"/>
      <c r="N92" s="119"/>
      <c r="O92" s="119"/>
      <c r="P92" s="119"/>
      <c r="Q92" s="118"/>
      <c r="R92" s="79"/>
      <c r="S92" s="79"/>
      <c r="T92" s="79"/>
      <c r="U92" s="80"/>
      <c r="V92" s="544" t="s">
        <v>601</v>
      </c>
      <c r="W92" s="433"/>
    </row>
    <row r="94" spans="1:24" ht="11" customHeight="1"/>
    <row r="95" spans="1:24" hidden="1"/>
  </sheetData>
  <mergeCells count="34">
    <mergeCell ref="B1:U1"/>
    <mergeCell ref="B2:U4"/>
    <mergeCell ref="B88:C90"/>
    <mergeCell ref="D88:I88"/>
    <mergeCell ref="E89:H89"/>
    <mergeCell ref="J89:L89"/>
    <mergeCell ref="M89:P89"/>
    <mergeCell ref="Q89:T89"/>
    <mergeCell ref="J88:U88"/>
    <mergeCell ref="B21:U21"/>
    <mergeCell ref="B6:C8"/>
    <mergeCell ref="D6:I6"/>
    <mergeCell ref="E7:H7"/>
    <mergeCell ref="J7:L7"/>
    <mergeCell ref="M7:P7"/>
    <mergeCell ref="V6:V8"/>
    <mergeCell ref="W6:W8"/>
    <mergeCell ref="B86:U86"/>
    <mergeCell ref="B69:C71"/>
    <mergeCell ref="D69:I69"/>
    <mergeCell ref="J69:U69"/>
    <mergeCell ref="E70:H70"/>
    <mergeCell ref="J70:L70"/>
    <mergeCell ref="M70:P70"/>
    <mergeCell ref="Q70:T70"/>
    <mergeCell ref="B85:U85"/>
    <mergeCell ref="J6:U6"/>
    <mergeCell ref="Q7:T7"/>
    <mergeCell ref="X26:X28"/>
    <mergeCell ref="A63:A64"/>
    <mergeCell ref="Q45:AD45"/>
    <mergeCell ref="Q46:S46"/>
    <mergeCell ref="T46:Y46"/>
    <mergeCell ref="Z46:AC46"/>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AW54"/>
  <sheetViews>
    <sheetView zoomScale="166" zoomScaleNormal="135" workbookViewId="0">
      <selection activeCell="AL56" sqref="AL56"/>
    </sheetView>
  </sheetViews>
  <sheetFormatPr baseColWidth="10" defaultColWidth="8.6640625" defaultRowHeight="14"/>
  <cols>
    <col min="1" max="1" width="8.6640625" style="37"/>
    <col min="2" max="2" width="44.5" style="37" customWidth="1"/>
    <col min="3" max="3" width="10" style="37" customWidth="1"/>
    <col min="4" max="9" width="8.6640625" style="37"/>
    <col min="10" max="15" width="9" style="37" bestFit="1" customWidth="1"/>
    <col min="16" max="17" width="8.83203125" style="37" bestFit="1" customWidth="1"/>
    <col min="18" max="21" width="8.83203125" style="366" customWidth="1"/>
    <col min="22" max="33" width="8.6640625" style="37"/>
    <col min="34" max="34" width="31.83203125" style="37" customWidth="1"/>
    <col min="35" max="35" width="8.6640625" style="37"/>
    <col min="36" max="36" width="10.1640625" style="37" bestFit="1" customWidth="1"/>
    <col min="37" max="16384" width="8.6640625" style="37"/>
  </cols>
  <sheetData>
    <row r="1" spans="2:42" ht="20" customHeight="1">
      <c r="B1" s="1262" t="s">
        <v>146</v>
      </c>
      <c r="C1" s="1262"/>
      <c r="D1" s="1262"/>
      <c r="E1" s="1262"/>
      <c r="F1" s="1262"/>
      <c r="G1" s="1262"/>
      <c r="H1" s="1262"/>
      <c r="I1" s="1262"/>
      <c r="J1" s="1262"/>
      <c r="K1" s="1262"/>
      <c r="L1" s="1262"/>
      <c r="M1" s="1262"/>
      <c r="N1" s="1262"/>
      <c r="O1" s="1262"/>
      <c r="P1" s="1262"/>
      <c r="Q1" s="1262"/>
      <c r="R1" s="1262"/>
      <c r="S1" s="1262"/>
      <c r="T1" s="1262"/>
      <c r="U1" s="1262"/>
    </row>
    <row r="2" spans="2:42" ht="14" customHeight="1">
      <c r="B2" s="1294" t="s">
        <v>315</v>
      </c>
      <c r="C2" s="1294"/>
      <c r="D2" s="1294"/>
      <c r="E2" s="1294"/>
      <c r="F2" s="1294"/>
      <c r="G2" s="1294"/>
      <c r="H2" s="1294"/>
      <c r="I2" s="1294"/>
      <c r="J2" s="1294"/>
      <c r="K2" s="1294"/>
      <c r="L2" s="1294"/>
      <c r="M2" s="1294"/>
      <c r="N2" s="1294"/>
      <c r="O2" s="1294"/>
      <c r="P2" s="1294"/>
      <c r="Q2" s="1294"/>
      <c r="R2" s="1294"/>
      <c r="S2" s="1294"/>
      <c r="T2" s="1294"/>
      <c r="U2" s="1294"/>
    </row>
    <row r="3" spans="2:42" ht="9" customHeight="1">
      <c r="B3" s="1294"/>
      <c r="C3" s="1294"/>
      <c r="D3" s="1294"/>
      <c r="E3" s="1294"/>
      <c r="F3" s="1294"/>
      <c r="G3" s="1294"/>
      <c r="H3" s="1294"/>
      <c r="I3" s="1294"/>
      <c r="J3" s="1294"/>
      <c r="K3" s="1294"/>
      <c r="L3" s="1294"/>
      <c r="M3" s="1294"/>
      <c r="N3" s="1294"/>
      <c r="O3" s="1294"/>
      <c r="P3" s="1294"/>
      <c r="Q3" s="1294"/>
      <c r="R3" s="1294"/>
      <c r="S3" s="1294"/>
      <c r="T3" s="1294"/>
      <c r="U3" s="1294"/>
    </row>
    <row r="4" spans="2:42" ht="55.5" customHeight="1">
      <c r="B4" s="1294"/>
      <c r="C4" s="1294"/>
      <c r="D4" s="1294"/>
      <c r="E4" s="1294"/>
      <c r="F4" s="1294"/>
      <c r="G4" s="1294"/>
      <c r="H4" s="1294"/>
      <c r="I4" s="1294"/>
      <c r="J4" s="1294"/>
      <c r="K4" s="1294"/>
      <c r="L4" s="1294"/>
      <c r="M4" s="1294"/>
      <c r="N4" s="1294"/>
      <c r="O4" s="1294"/>
      <c r="P4" s="1294"/>
      <c r="Q4" s="1294"/>
      <c r="R4" s="1294"/>
      <c r="S4" s="1294"/>
      <c r="T4" s="1294"/>
      <c r="U4" s="1294"/>
      <c r="X4" s="175"/>
      <c r="Y4" s="175"/>
      <c r="Z4" s="256"/>
      <c r="AA4" s="256"/>
      <c r="AB4" s="256"/>
      <c r="AC4" s="256"/>
      <c r="AD4" s="256"/>
      <c r="AE4" s="256"/>
      <c r="AF4" s="256"/>
      <c r="AG4" s="256"/>
      <c r="AH4" s="256"/>
      <c r="AI4" s="175"/>
      <c r="AJ4" s="175"/>
      <c r="AK4" s="175"/>
      <c r="AL4" s="175"/>
      <c r="AM4" s="175"/>
      <c r="AN4" s="175"/>
      <c r="AO4" s="175"/>
      <c r="AP4" s="175"/>
    </row>
    <row r="5" spans="2:42">
      <c r="B5" s="45"/>
      <c r="X5" s="257"/>
      <c r="Y5" s="257"/>
      <c r="Z5" s="257"/>
      <c r="AA5" s="257"/>
      <c r="AB5" s="257"/>
      <c r="AC5" s="257"/>
      <c r="AD5" s="257"/>
      <c r="AE5" s="257"/>
      <c r="AF5" s="257"/>
      <c r="AG5" s="257"/>
      <c r="AH5" s="257"/>
      <c r="AI5" s="257"/>
      <c r="AJ5" s="257"/>
      <c r="AK5" s="257"/>
      <c r="AL5" s="257"/>
      <c r="AM5" s="257"/>
      <c r="AN5" s="257"/>
      <c r="AO5" s="257"/>
      <c r="AP5" s="175"/>
    </row>
    <row r="6" spans="2:42">
      <c r="B6" s="1245" t="s">
        <v>277</v>
      </c>
      <c r="C6" s="1246"/>
      <c r="D6" s="1251" t="s">
        <v>278</v>
      </c>
      <c r="E6" s="1252"/>
      <c r="F6" s="1252"/>
      <c r="G6" s="1252"/>
      <c r="H6" s="1252"/>
      <c r="I6" s="1252"/>
      <c r="J6" s="1272" t="s">
        <v>145</v>
      </c>
      <c r="K6" s="1273"/>
      <c r="L6" s="1273"/>
      <c r="M6" s="1273"/>
      <c r="N6" s="1273"/>
      <c r="O6" s="1273"/>
      <c r="P6" s="1273"/>
      <c r="Q6" s="1273"/>
      <c r="R6" s="1273"/>
      <c r="S6" s="1273"/>
      <c r="T6" s="1273"/>
      <c r="U6" s="1275"/>
      <c r="X6" s="175"/>
      <c r="Y6" s="175"/>
      <c r="Z6" s="175"/>
      <c r="AA6" s="175"/>
      <c r="AB6" s="175"/>
      <c r="AC6" s="175"/>
      <c r="AD6" s="175"/>
      <c r="AE6" s="175"/>
      <c r="AF6" s="175"/>
      <c r="AG6" s="175"/>
      <c r="AH6" s="175"/>
      <c r="AI6" s="175"/>
      <c r="AJ6" s="175"/>
      <c r="AK6" s="175"/>
      <c r="AL6" s="175"/>
      <c r="AM6" s="175"/>
      <c r="AN6" s="175"/>
      <c r="AO6" s="175"/>
      <c r="AP6" s="175"/>
    </row>
    <row r="7" spans="2:42">
      <c r="B7" s="1247"/>
      <c r="C7" s="1248"/>
      <c r="D7" s="51">
        <v>2019</v>
      </c>
      <c r="E7" s="1256">
        <v>2020</v>
      </c>
      <c r="F7" s="1257"/>
      <c r="G7" s="1257"/>
      <c r="H7" s="1258"/>
      <c r="I7" s="75">
        <v>2021</v>
      </c>
      <c r="J7" s="1269">
        <v>2021</v>
      </c>
      <c r="K7" s="1270"/>
      <c r="L7" s="1271"/>
      <c r="M7" s="1269">
        <v>2022</v>
      </c>
      <c r="N7" s="1270"/>
      <c r="O7" s="1270"/>
      <c r="P7" s="1270"/>
      <c r="Q7" s="1269">
        <v>2023</v>
      </c>
      <c r="R7" s="1270"/>
      <c r="S7" s="1270"/>
      <c r="T7" s="1271"/>
      <c r="U7" s="77">
        <v>2024</v>
      </c>
      <c r="X7" s="175"/>
      <c r="Y7" s="175"/>
      <c r="Z7" s="175"/>
      <c r="AA7" s="175"/>
      <c r="AB7" s="175"/>
      <c r="AC7" s="175"/>
      <c r="AD7" s="175"/>
      <c r="AE7" s="175"/>
      <c r="AF7" s="175"/>
      <c r="AG7" s="175"/>
      <c r="AH7" s="175"/>
      <c r="AI7" s="175"/>
      <c r="AJ7" s="175"/>
      <c r="AK7" s="175"/>
      <c r="AL7" s="175"/>
      <c r="AM7" s="175"/>
      <c r="AN7" s="175"/>
      <c r="AO7" s="175"/>
      <c r="AP7" s="175"/>
    </row>
    <row r="8" spans="2:42">
      <c r="B8" s="1249"/>
      <c r="C8" s="1250"/>
      <c r="D8" s="43" t="s">
        <v>140</v>
      </c>
      <c r="E8" s="41" t="s">
        <v>137</v>
      </c>
      <c r="F8" s="42" t="s">
        <v>138</v>
      </c>
      <c r="G8" s="42" t="s">
        <v>139</v>
      </c>
      <c r="H8" s="43" t="s">
        <v>140</v>
      </c>
      <c r="I8" s="41" t="s">
        <v>137</v>
      </c>
      <c r="J8" s="78" t="s">
        <v>138</v>
      </c>
      <c r="K8" s="79" t="s">
        <v>139</v>
      </c>
      <c r="L8" s="80" t="s">
        <v>140</v>
      </c>
      <c r="M8" s="78" t="s">
        <v>137</v>
      </c>
      <c r="N8" s="79" t="s">
        <v>138</v>
      </c>
      <c r="O8" s="79" t="s">
        <v>139</v>
      </c>
      <c r="P8" s="79" t="s">
        <v>140</v>
      </c>
      <c r="Q8" s="78" t="s">
        <v>137</v>
      </c>
      <c r="R8" s="79" t="s">
        <v>138</v>
      </c>
      <c r="S8" s="79" t="s">
        <v>139</v>
      </c>
      <c r="T8" s="80" t="s">
        <v>140</v>
      </c>
      <c r="U8" s="81" t="s">
        <v>137</v>
      </c>
      <c r="X8" s="175"/>
      <c r="Y8" s="175"/>
      <c r="Z8" s="175"/>
      <c r="AA8" s="175"/>
      <c r="AB8" s="175"/>
      <c r="AC8" s="175"/>
      <c r="AD8" s="175"/>
      <c r="AE8" s="175"/>
      <c r="AF8" s="175"/>
      <c r="AG8" s="175"/>
      <c r="AH8" s="175"/>
      <c r="AI8" s="175"/>
      <c r="AJ8" s="175"/>
      <c r="AK8" s="175"/>
      <c r="AL8" s="175"/>
      <c r="AM8" s="175"/>
      <c r="AN8" s="175"/>
      <c r="AO8" s="175"/>
      <c r="AP8" s="175"/>
    </row>
    <row r="9" spans="2:42" ht="15">
      <c r="B9" s="74" t="s">
        <v>294</v>
      </c>
      <c r="C9" s="73" t="s">
        <v>215</v>
      </c>
      <c r="D9" s="76">
        <f>'Haver Pivoted'!GS23</f>
        <v>1447.9</v>
      </c>
      <c r="E9" s="76">
        <f>'Haver Pivoted'!GT23</f>
        <v>1452.6</v>
      </c>
      <c r="F9" s="76">
        <f>'Haver Pivoted'!GU23</f>
        <v>1504.8</v>
      </c>
      <c r="G9" s="76">
        <f>'Haver Pivoted'!GV23</f>
        <v>1487</v>
      </c>
      <c r="H9" s="76">
        <f>'Haver Pivoted'!GW23</f>
        <v>1493.4</v>
      </c>
      <c r="I9" s="76">
        <f>'Haver Pivoted'!GX23</f>
        <v>1557.1</v>
      </c>
      <c r="J9" s="496">
        <f t="shared" ref="J9:U9" si="0">I9*((100 + J11)/100)^(0.25)</f>
        <v>1526.4176469251383</v>
      </c>
      <c r="K9" s="497">
        <f t="shared" si="0"/>
        <v>1520.2131930243061</v>
      </c>
      <c r="L9" s="497">
        <f t="shared" si="0"/>
        <v>1520.1371766631903</v>
      </c>
      <c r="M9" s="497">
        <f t="shared" si="0"/>
        <v>1523.9459829048765</v>
      </c>
      <c r="N9" s="497">
        <f t="shared" si="0"/>
        <v>1526.3670911111606</v>
      </c>
      <c r="O9" s="497">
        <f t="shared" si="0"/>
        <v>1532.4852823641709</v>
      </c>
      <c r="P9" s="497">
        <f t="shared" si="0"/>
        <v>1538.3894547990715</v>
      </c>
      <c r="Q9" s="497">
        <f t="shared" si="0"/>
        <v>1544.4380193222792</v>
      </c>
      <c r="R9" s="497">
        <f t="shared" si="0"/>
        <v>1549.0697613990276</v>
      </c>
      <c r="S9" s="497">
        <f t="shared" si="0"/>
        <v>1555.210071419579</v>
      </c>
      <c r="T9" s="497">
        <f t="shared" si="0"/>
        <v>1563.0242314610903</v>
      </c>
      <c r="U9" s="498">
        <f t="shared" si="0"/>
        <v>1571.9351284019313</v>
      </c>
      <c r="X9" s="175"/>
      <c r="Y9" s="175"/>
      <c r="Z9" s="175"/>
      <c r="AA9" s="175"/>
      <c r="AB9" s="175"/>
      <c r="AC9" s="175"/>
      <c r="AD9" s="175"/>
      <c r="AE9" s="175"/>
      <c r="AF9" s="175"/>
      <c r="AG9" s="175"/>
      <c r="AH9" s="175"/>
      <c r="AI9" s="175"/>
      <c r="AJ9" s="175"/>
      <c r="AK9" s="175"/>
      <c r="AL9" s="175"/>
      <c r="AM9" s="175"/>
      <c r="AN9" s="175"/>
      <c r="AO9" s="175"/>
      <c r="AP9" s="175"/>
    </row>
    <row r="10" spans="2:42" ht="18" customHeight="1">
      <c r="B10" s="101" t="s">
        <v>314</v>
      </c>
      <c r="C10" s="73"/>
      <c r="D10" s="76">
        <v>1448</v>
      </c>
      <c r="E10" s="76">
        <v>1453</v>
      </c>
      <c r="F10" s="76">
        <v>1505</v>
      </c>
      <c r="G10" s="76">
        <v>1487</v>
      </c>
      <c r="H10" s="76">
        <v>1484</v>
      </c>
      <c r="I10" s="76">
        <v>1573</v>
      </c>
      <c r="J10" s="499">
        <v>1542</v>
      </c>
      <c r="K10" s="500">
        <v>1536</v>
      </c>
      <c r="L10" s="500">
        <v>1536</v>
      </c>
      <c r="M10" s="500">
        <v>1540</v>
      </c>
      <c r="N10" s="500">
        <v>1542</v>
      </c>
      <c r="O10" s="500">
        <v>1548</v>
      </c>
      <c r="P10" s="500">
        <v>1554</v>
      </c>
      <c r="Q10" s="550">
        <v>1560.5</v>
      </c>
      <c r="R10" s="550">
        <v>1565.2</v>
      </c>
      <c r="S10" s="550">
        <v>1571.4</v>
      </c>
      <c r="T10" s="550">
        <v>1579.3</v>
      </c>
      <c r="U10" s="551">
        <v>1588.3</v>
      </c>
      <c r="X10" s="175"/>
      <c r="Y10" s="175"/>
      <c r="Z10" s="175"/>
      <c r="AA10" s="175"/>
      <c r="AB10" s="175"/>
      <c r="AC10" s="175"/>
      <c r="AD10" s="175"/>
      <c r="AE10" s="175"/>
      <c r="AF10" s="175"/>
      <c r="AG10" s="175"/>
      <c r="AH10" s="175"/>
      <c r="AI10" s="175"/>
      <c r="AJ10" s="175"/>
      <c r="AK10" s="175"/>
      <c r="AL10" s="175"/>
      <c r="AM10" s="175"/>
      <c r="AN10" s="175"/>
      <c r="AO10" s="175"/>
      <c r="AP10" s="175"/>
    </row>
    <row r="11" spans="2:42" ht="14.5" customHeight="1">
      <c r="B11" s="101" t="s">
        <v>292</v>
      </c>
      <c r="C11" s="62"/>
      <c r="D11" s="93">
        <v>5.3259999999999996</v>
      </c>
      <c r="E11" s="89">
        <v>1.278</v>
      </c>
      <c r="F11" s="89">
        <v>15.177</v>
      </c>
      <c r="G11" s="92">
        <v>-4.6340000000000003</v>
      </c>
      <c r="H11" s="92">
        <v>-0.86599999999999999</v>
      </c>
      <c r="I11" s="92">
        <v>26.4</v>
      </c>
      <c r="J11" s="90">
        <v>-7.6520000000000001</v>
      </c>
      <c r="K11" s="91">
        <v>-1.6160000000000001</v>
      </c>
      <c r="L11" s="91">
        <v>-0.02</v>
      </c>
      <c r="M11" s="91">
        <v>1.006</v>
      </c>
      <c r="N11" s="91">
        <v>0.63700000000000001</v>
      </c>
      <c r="O11" s="91">
        <v>1.613</v>
      </c>
      <c r="P11" s="91">
        <v>1.55</v>
      </c>
      <c r="Q11" s="552">
        <v>1.5820000000000001</v>
      </c>
      <c r="R11" s="552">
        <v>1.2050000000000001</v>
      </c>
      <c r="S11" s="552">
        <v>1.595</v>
      </c>
      <c r="T11" s="552">
        <v>2.0249999999999999</v>
      </c>
      <c r="U11" s="553">
        <v>2.2999999999999998</v>
      </c>
    </row>
    <row r="12" spans="2:42">
      <c r="B12" s="47" t="s">
        <v>606</v>
      </c>
      <c r="C12" s="46"/>
      <c r="D12" s="255"/>
      <c r="E12" s="92"/>
      <c r="F12" s="92"/>
      <c r="G12" s="92"/>
      <c r="H12" s="92"/>
      <c r="I12" s="92">
        <f>'ARP Quarterly'!C12</f>
        <v>0</v>
      </c>
      <c r="J12" s="555">
        <f>'ARP Quarterly'!D12</f>
        <v>71.198400000000007</v>
      </c>
      <c r="K12" s="517">
        <f>'ARP Quarterly'!E12</f>
        <v>106.7976</v>
      </c>
      <c r="L12" s="517">
        <f>'ARP Quarterly'!F12</f>
        <v>109.31680000000001</v>
      </c>
      <c r="M12" s="517">
        <f>'ARP Quarterly'!G12</f>
        <v>81.9876</v>
      </c>
      <c r="N12" s="517">
        <f>'ARP Quarterly'!H12</f>
        <v>54.658400000000007</v>
      </c>
      <c r="O12" s="517">
        <f>'ARP Quarterly'!I12</f>
        <v>27.329200000000004</v>
      </c>
      <c r="P12" s="517">
        <f>'ARP Quarterly'!J12</f>
        <v>24.342999999999996</v>
      </c>
      <c r="Q12" s="517">
        <f>'ARP Quarterly'!K12</f>
        <v>24.342999999999996</v>
      </c>
      <c r="R12" s="517">
        <f>'ARP Quarterly'!L12</f>
        <v>24.342999999999996</v>
      </c>
      <c r="S12" s="517">
        <f>'ARP Quarterly'!M12</f>
        <v>24.342999999999996</v>
      </c>
      <c r="T12" s="517">
        <f>'ARP Quarterly'!N12</f>
        <v>9.2920000000000016</v>
      </c>
      <c r="U12" s="545">
        <f>'ARP Quarterly'!O12</f>
        <v>9.2920000000000016</v>
      </c>
      <c r="V12" s="37" t="s">
        <v>607</v>
      </c>
    </row>
    <row r="13" spans="2:42" s="428" customFormat="1">
      <c r="B13" s="979" t="s">
        <v>810</v>
      </c>
      <c r="C13" s="46"/>
      <c r="D13" s="983"/>
      <c r="E13" s="983"/>
      <c r="F13" s="983"/>
      <c r="G13" s="983"/>
      <c r="H13" s="983"/>
      <c r="I13" s="983"/>
      <c r="J13" s="555">
        <v>14</v>
      </c>
      <c r="K13" s="517">
        <v>30</v>
      </c>
      <c r="L13" s="517">
        <v>65</v>
      </c>
      <c r="M13" s="517">
        <v>80</v>
      </c>
      <c r="N13" s="517">
        <v>80</v>
      </c>
      <c r="O13" s="517">
        <v>80</v>
      </c>
      <c r="P13" s="517">
        <v>80</v>
      </c>
      <c r="Q13" s="517">
        <v>80</v>
      </c>
      <c r="R13" s="517">
        <v>80</v>
      </c>
      <c r="S13" s="517">
        <v>80</v>
      </c>
      <c r="T13" s="517">
        <v>80</v>
      </c>
      <c r="U13" s="517">
        <v>80</v>
      </c>
    </row>
    <row r="14" spans="2:42" ht="30">
      <c r="B14" s="61" t="s">
        <v>295</v>
      </c>
      <c r="C14" s="62"/>
      <c r="D14" s="76">
        <f t="shared" ref="D14:I14" si="1">D9</f>
        <v>1447.9</v>
      </c>
      <c r="E14" s="76">
        <f t="shared" si="1"/>
        <v>1452.6</v>
      </c>
      <c r="F14" s="76">
        <f t="shared" si="1"/>
        <v>1504.8</v>
      </c>
      <c r="G14" s="76">
        <f t="shared" si="1"/>
        <v>1487</v>
      </c>
      <c r="H14" s="76">
        <f t="shared" si="1"/>
        <v>1493.4</v>
      </c>
      <c r="I14" s="76">
        <f t="shared" si="1"/>
        <v>1557.1</v>
      </c>
      <c r="J14" s="496">
        <f>J9+J12 +J13</f>
        <v>1611.6160469251383</v>
      </c>
      <c r="K14" s="998">
        <f t="shared" ref="K14:U14" si="2">K9+K12 +K13</f>
        <v>1657.0107930243062</v>
      </c>
      <c r="L14" s="998">
        <f t="shared" si="2"/>
        <v>1694.4539766631904</v>
      </c>
      <c r="M14" s="998">
        <f t="shared" si="2"/>
        <v>1685.9335829048764</v>
      </c>
      <c r="N14" s="998">
        <f t="shared" si="2"/>
        <v>1661.0254911111606</v>
      </c>
      <c r="O14" s="998">
        <f t="shared" si="2"/>
        <v>1639.8144823641708</v>
      </c>
      <c r="P14" s="998">
        <f t="shared" si="2"/>
        <v>1642.7324547990715</v>
      </c>
      <c r="Q14" s="998">
        <f t="shared" si="2"/>
        <v>1648.7810193222792</v>
      </c>
      <c r="R14" s="998">
        <f t="shared" si="2"/>
        <v>1653.4127613990277</v>
      </c>
      <c r="S14" s="998">
        <f t="shared" si="2"/>
        <v>1659.5530714195791</v>
      </c>
      <c r="T14" s="998">
        <f t="shared" si="2"/>
        <v>1652.3162314610902</v>
      </c>
      <c r="U14" s="998">
        <f t="shared" si="2"/>
        <v>1661.2271284019312</v>
      </c>
      <c r="V14" s="37" t="s">
        <v>296</v>
      </c>
    </row>
    <row r="15" spans="2:42" ht="15">
      <c r="B15" s="148" t="s">
        <v>316</v>
      </c>
      <c r="C15" s="86"/>
      <c r="D15" s="546">
        <f t="shared" ref="D15:I15" si="3">D14+D43</f>
        <v>1721.682</v>
      </c>
      <c r="E15" s="546">
        <f t="shared" si="3"/>
        <v>1729.2109999999998</v>
      </c>
      <c r="F15" s="546">
        <f t="shared" si="3"/>
        <v>1898.6850000000002</v>
      </c>
      <c r="G15" s="546">
        <f t="shared" si="3"/>
        <v>1847.973</v>
      </c>
      <c r="H15" s="546">
        <f t="shared" si="3"/>
        <v>1852.866</v>
      </c>
      <c r="I15" s="546">
        <f t="shared" si="3"/>
        <v>1942.4489999999998</v>
      </c>
      <c r="J15" s="547">
        <f t="shared" ref="J15:Q15" si="4">J14+J43</f>
        <v>2029.2623033120847</v>
      </c>
      <c r="K15" s="548">
        <f t="shared" si="4"/>
        <v>2104.1209698233738</v>
      </c>
      <c r="L15" s="548">
        <f t="shared" si="4"/>
        <v>2176.3314656586963</v>
      </c>
      <c r="M15" s="548">
        <f t="shared" si="4"/>
        <v>2189.5149054467761</v>
      </c>
      <c r="N15" s="548">
        <f t="shared" si="4"/>
        <v>2172.4683756411696</v>
      </c>
      <c r="O15" s="548">
        <f t="shared" si="4"/>
        <v>2163.0725920527229</v>
      </c>
      <c r="P15" s="548">
        <f t="shared" si="4"/>
        <v>2176.5966766860747</v>
      </c>
      <c r="Q15" s="548">
        <f t="shared" si="4"/>
        <v>2194.6639236047627</v>
      </c>
      <c r="R15" s="548">
        <f t="shared" ref="R15" si="5">R14+R43</f>
        <v>2173.6172901728105</v>
      </c>
      <c r="S15" s="548">
        <f t="shared" ref="S15" si="6">S14+S43</f>
        <v>2183.5495740643132</v>
      </c>
      <c r="T15" s="548">
        <f t="shared" ref="T15" si="7">T14+T43</f>
        <v>2189.2953478116137</v>
      </c>
      <c r="U15" s="549">
        <f t="shared" ref="U15" si="8">U14+U43</f>
        <v>2169.6522822864754</v>
      </c>
      <c r="V15" s="37" t="s">
        <v>608</v>
      </c>
    </row>
    <row r="18" spans="2:22" ht="21.5" customHeight="1">
      <c r="B18" s="1262" t="s">
        <v>132</v>
      </c>
      <c r="C18" s="1262"/>
      <c r="D18" s="1262"/>
      <c r="E18" s="1262"/>
      <c r="F18" s="1262"/>
      <c r="G18" s="1262"/>
      <c r="H18" s="1262"/>
      <c r="I18" s="1262"/>
      <c r="J18" s="1262"/>
      <c r="K18" s="1262"/>
      <c r="L18" s="1262"/>
      <c r="M18" s="1262"/>
      <c r="N18" s="1262"/>
      <c r="O18" s="1262"/>
      <c r="P18" s="1262"/>
      <c r="Q18" s="1262"/>
      <c r="R18" s="1262"/>
      <c r="S18" s="1262"/>
      <c r="T18" s="1262"/>
      <c r="U18" s="1262"/>
    </row>
    <row r="19" spans="2:22" ht="14" customHeight="1">
      <c r="B19" s="1244" t="s">
        <v>430</v>
      </c>
      <c r="C19" s="1244"/>
      <c r="D19" s="1244"/>
      <c r="E19" s="1244"/>
      <c r="F19" s="1244"/>
      <c r="G19" s="1244"/>
      <c r="H19" s="1244"/>
      <c r="I19" s="1244"/>
      <c r="J19" s="1244"/>
      <c r="K19" s="1244"/>
      <c r="L19" s="1244"/>
      <c r="M19" s="1244"/>
      <c r="N19" s="1244"/>
      <c r="O19" s="1244"/>
      <c r="P19" s="1244"/>
      <c r="Q19" s="1244"/>
      <c r="R19" s="1244"/>
      <c r="S19" s="1244"/>
      <c r="T19" s="1244"/>
      <c r="U19" s="1244"/>
    </row>
    <row r="20" spans="2:22">
      <c r="B20" s="1244"/>
      <c r="C20" s="1244"/>
      <c r="D20" s="1244"/>
      <c r="E20" s="1244"/>
      <c r="F20" s="1244"/>
      <c r="G20" s="1244"/>
      <c r="H20" s="1244"/>
      <c r="I20" s="1244"/>
      <c r="J20" s="1244"/>
      <c r="K20" s="1244"/>
      <c r="L20" s="1244"/>
      <c r="M20" s="1244"/>
      <c r="N20" s="1244"/>
      <c r="O20" s="1244"/>
      <c r="P20" s="1244"/>
      <c r="Q20" s="1244"/>
      <c r="R20" s="1244"/>
      <c r="S20" s="1244"/>
      <c r="T20" s="1244"/>
      <c r="U20" s="1244"/>
    </row>
    <row r="21" spans="2:22">
      <c r="B21" s="1244"/>
      <c r="C21" s="1244"/>
      <c r="D21" s="1244"/>
      <c r="E21" s="1244"/>
      <c r="F21" s="1244"/>
      <c r="G21" s="1244"/>
      <c r="H21" s="1244"/>
      <c r="I21" s="1244"/>
      <c r="J21" s="1244"/>
      <c r="K21" s="1244"/>
      <c r="L21" s="1244"/>
      <c r="M21" s="1244"/>
      <c r="N21" s="1244"/>
      <c r="O21" s="1244"/>
      <c r="P21" s="1244"/>
      <c r="Q21" s="1244"/>
      <c r="R21" s="1244"/>
      <c r="S21" s="1244"/>
      <c r="T21" s="1244"/>
      <c r="U21" s="1244"/>
    </row>
    <row r="23" spans="2:22">
      <c r="B23" s="1245" t="s">
        <v>277</v>
      </c>
      <c r="C23" s="1246"/>
      <c r="D23" s="1251" t="s">
        <v>278</v>
      </c>
      <c r="E23" s="1252"/>
      <c r="F23" s="1252"/>
      <c r="G23" s="1252"/>
      <c r="H23" s="1252"/>
      <c r="I23" s="1252"/>
      <c r="J23" s="1272" t="s">
        <v>145</v>
      </c>
      <c r="K23" s="1273"/>
      <c r="L23" s="1273"/>
      <c r="M23" s="1273"/>
      <c r="N23" s="1273"/>
      <c r="O23" s="1273"/>
      <c r="P23" s="1273"/>
      <c r="Q23" s="1273"/>
      <c r="R23" s="1273"/>
      <c r="S23" s="1273"/>
      <c r="T23" s="1273"/>
      <c r="U23" s="1275"/>
    </row>
    <row r="24" spans="2:22">
      <c r="B24" s="1247"/>
      <c r="C24" s="1248"/>
      <c r="D24" s="51">
        <v>2019</v>
      </c>
      <c r="E24" s="1256">
        <v>2020</v>
      </c>
      <c r="F24" s="1257"/>
      <c r="G24" s="1257"/>
      <c r="H24" s="1258"/>
      <c r="I24" s="75">
        <v>2021</v>
      </c>
      <c r="J24" s="1269">
        <v>2021</v>
      </c>
      <c r="K24" s="1270"/>
      <c r="L24" s="1271"/>
      <c r="M24" s="1269">
        <v>2022</v>
      </c>
      <c r="N24" s="1270"/>
      <c r="O24" s="1270"/>
      <c r="P24" s="1271"/>
      <c r="Q24" s="1269">
        <v>2023</v>
      </c>
      <c r="R24" s="1270"/>
      <c r="S24" s="1270"/>
      <c r="T24" s="1271"/>
      <c r="U24" s="77">
        <v>2024</v>
      </c>
    </row>
    <row r="25" spans="2:22">
      <c r="B25" s="1249"/>
      <c r="C25" s="1250"/>
      <c r="D25" s="43" t="s">
        <v>140</v>
      </c>
      <c r="E25" s="41" t="s">
        <v>137</v>
      </c>
      <c r="F25" s="42" t="s">
        <v>138</v>
      </c>
      <c r="G25" s="42" t="s">
        <v>139</v>
      </c>
      <c r="H25" s="43" t="s">
        <v>140</v>
      </c>
      <c r="I25" s="41" t="s">
        <v>137</v>
      </c>
      <c r="J25" s="78" t="s">
        <v>138</v>
      </c>
      <c r="K25" s="79" t="s">
        <v>139</v>
      </c>
      <c r="L25" s="80" t="s">
        <v>140</v>
      </c>
      <c r="M25" s="78" t="s">
        <v>137</v>
      </c>
      <c r="N25" s="79" t="s">
        <v>138</v>
      </c>
      <c r="O25" s="79" t="s">
        <v>139</v>
      </c>
      <c r="P25" s="80" t="s">
        <v>140</v>
      </c>
      <c r="Q25" s="78" t="s">
        <v>137</v>
      </c>
      <c r="R25" s="79" t="s">
        <v>138</v>
      </c>
      <c r="S25" s="79" t="s">
        <v>139</v>
      </c>
      <c r="T25" s="80" t="s">
        <v>140</v>
      </c>
      <c r="U25" s="81" t="s">
        <v>137</v>
      </c>
    </row>
    <row r="26" spans="2:22" ht="15">
      <c r="B26" s="100" t="s">
        <v>293</v>
      </c>
      <c r="C26" s="58" t="s">
        <v>236</v>
      </c>
      <c r="D26" s="76">
        <f>'Haver Pivoted'!GS24</f>
        <v>2357.4</v>
      </c>
      <c r="E26" s="76">
        <f>'Haver Pivoted'!GT24</f>
        <v>2381.6</v>
      </c>
      <c r="F26" s="76">
        <f>'Haver Pivoted'!GU24</f>
        <v>2334.5</v>
      </c>
      <c r="G26" s="76">
        <f>'Haver Pivoted'!GV24</f>
        <v>2329.6</v>
      </c>
      <c r="H26" s="76">
        <f>'Haver Pivoted'!GW24</f>
        <v>2341.6999999999998</v>
      </c>
      <c r="I26" s="76">
        <f>'Haver Pivoted'!GX24</f>
        <v>2389.6</v>
      </c>
      <c r="J26" s="143"/>
      <c r="K26" s="141"/>
      <c r="L26" s="141"/>
      <c r="M26" s="141"/>
      <c r="N26" s="141"/>
      <c r="O26" s="141"/>
      <c r="P26" s="141"/>
      <c r="Q26" s="141"/>
      <c r="R26" s="141"/>
      <c r="S26" s="141"/>
      <c r="T26" s="141"/>
      <c r="U26" s="144"/>
    </row>
    <row r="27" spans="2:22" ht="21" customHeight="1">
      <c r="B27" s="101" t="s">
        <v>298</v>
      </c>
      <c r="C27" s="62"/>
      <c r="D27" s="93"/>
      <c r="E27" s="89"/>
      <c r="F27" s="89"/>
      <c r="G27" s="92"/>
      <c r="H27" s="92"/>
      <c r="I27" s="102">
        <v>9.5846503665249383</v>
      </c>
      <c r="J27" s="90">
        <v>9</v>
      </c>
      <c r="K27" s="91">
        <v>11</v>
      </c>
      <c r="L27" s="91">
        <v>12</v>
      </c>
      <c r="M27" s="91">
        <v>9</v>
      </c>
      <c r="N27" s="91">
        <v>8</v>
      </c>
      <c r="O27" s="91">
        <v>7</v>
      </c>
      <c r="P27" s="91">
        <v>5.5</v>
      </c>
      <c r="Q27" s="91">
        <v>5</v>
      </c>
      <c r="R27" s="91">
        <v>5</v>
      </c>
      <c r="S27" s="91">
        <v>5</v>
      </c>
      <c r="T27" s="91">
        <v>5</v>
      </c>
      <c r="U27" s="94">
        <v>5</v>
      </c>
      <c r="V27" s="44" t="s">
        <v>321</v>
      </c>
    </row>
    <row r="28" spans="2:22" ht="17.5" customHeight="1">
      <c r="B28" s="149" t="s">
        <v>320</v>
      </c>
      <c r="C28" s="62"/>
      <c r="D28" s="76">
        <f>D26</f>
        <v>2357.4</v>
      </c>
      <c r="E28" s="76">
        <f t="shared" ref="E28:I28" si="9">E26</f>
        <v>2381.6</v>
      </c>
      <c r="F28" s="76">
        <f t="shared" si="9"/>
        <v>2334.5</v>
      </c>
      <c r="G28" s="76">
        <f t="shared" si="9"/>
        <v>2329.6</v>
      </c>
      <c r="H28" s="76">
        <f t="shared" si="9"/>
        <v>2341.6999999999998</v>
      </c>
      <c r="I28" s="76">
        <f t="shared" si="9"/>
        <v>2389.6</v>
      </c>
      <c r="J28" s="496">
        <f>I26*((100+J27)/100)^0.25</f>
        <v>2441.6411409941461</v>
      </c>
      <c r="K28" s="497">
        <f t="shared" ref="K28:Q28" si="10">J28*((100+K27)/100)^0.25</f>
        <v>2506.1818402960748</v>
      </c>
      <c r="L28" s="497">
        <f t="shared" si="10"/>
        <v>2578.2028517768804</v>
      </c>
      <c r="M28" s="497">
        <f t="shared" si="10"/>
        <v>2634.3514197886107</v>
      </c>
      <c r="N28" s="497">
        <f t="shared" si="10"/>
        <v>2685.5277712180109</v>
      </c>
      <c r="O28" s="497">
        <f t="shared" si="10"/>
        <v>2731.3389138463922</v>
      </c>
      <c r="P28" s="497">
        <f t="shared" si="10"/>
        <v>2768.1441821686262</v>
      </c>
      <c r="Q28" s="497">
        <f t="shared" si="10"/>
        <v>2802.1154965055812</v>
      </c>
      <c r="R28" s="497">
        <f t="shared" ref="R28" si="11">Q28*((100+R27)/100)^0.25</f>
        <v>2836.5037147759417</v>
      </c>
      <c r="S28" s="497">
        <f t="shared" ref="S28" si="12">R28*((100+S27)/100)^0.25</f>
        <v>2871.313953322513</v>
      </c>
      <c r="T28" s="497">
        <f t="shared" ref="T28" si="13">S28*((100+T27)/100)^0.25</f>
        <v>2906.5513912770589</v>
      </c>
      <c r="U28" s="498">
        <f t="shared" ref="U28" si="14">T28*((100+U27)/100)^0.25</f>
        <v>2942.2212713308613</v>
      </c>
    </row>
    <row r="29" spans="2:22" ht="15">
      <c r="B29" s="148" t="s">
        <v>322</v>
      </c>
      <c r="C29" s="86"/>
      <c r="D29" s="554">
        <f t="shared" ref="D29:I29" si="15">D26-D43</f>
        <v>2083.6179999999999</v>
      </c>
      <c r="E29" s="554">
        <f t="shared" si="15"/>
        <v>2104.989</v>
      </c>
      <c r="F29" s="554">
        <f t="shared" si="15"/>
        <v>1940.6149999999998</v>
      </c>
      <c r="G29" s="554">
        <f t="shared" si="15"/>
        <v>1968.627</v>
      </c>
      <c r="H29" s="554">
        <f t="shared" si="15"/>
        <v>1982.2339999999999</v>
      </c>
      <c r="I29" s="554">
        <f t="shared" si="15"/>
        <v>2004.251</v>
      </c>
      <c r="J29" s="547">
        <f t="shared" ref="J29:Q29" si="16">J28-J43</f>
        <v>2023.9948846071998</v>
      </c>
      <c r="K29" s="548">
        <f t="shared" si="16"/>
        <v>2059.0716634970072</v>
      </c>
      <c r="L29" s="548">
        <f t="shared" si="16"/>
        <v>2096.3253627813747</v>
      </c>
      <c r="M29" s="548">
        <f t="shared" si="16"/>
        <v>2130.770097246711</v>
      </c>
      <c r="N29" s="548">
        <f t="shared" si="16"/>
        <v>2174.0848866880019</v>
      </c>
      <c r="O29" s="548">
        <f t="shared" si="16"/>
        <v>2208.0808041578402</v>
      </c>
      <c r="P29" s="548">
        <f t="shared" si="16"/>
        <v>2234.2799602816231</v>
      </c>
      <c r="Q29" s="548">
        <f t="shared" si="16"/>
        <v>2256.2325922230975</v>
      </c>
      <c r="R29" s="548">
        <f t="shared" ref="R29" si="17">R28-R43</f>
        <v>2316.2991860021589</v>
      </c>
      <c r="S29" s="548">
        <f t="shared" ref="S29" si="18">S28-S43</f>
        <v>2347.3174506777791</v>
      </c>
      <c r="T29" s="548">
        <f t="shared" ref="T29" si="19">T28-T43</f>
        <v>2369.5722749265356</v>
      </c>
      <c r="U29" s="549">
        <f t="shared" ref="U29" si="20">U28-U43</f>
        <v>2433.7961174463171</v>
      </c>
      <c r="V29" s="37" t="s">
        <v>297</v>
      </c>
    </row>
    <row r="30" spans="2:22">
      <c r="B30" s="108"/>
      <c r="C30" s="72"/>
      <c r="D30" s="76"/>
      <c r="E30" s="76"/>
      <c r="F30" s="76"/>
      <c r="G30" s="76"/>
      <c r="H30" s="76"/>
      <c r="I30" s="76"/>
      <c r="J30" s="111"/>
      <c r="K30" s="111"/>
      <c r="L30" s="111"/>
      <c r="M30" s="111"/>
      <c r="N30" s="111"/>
      <c r="O30" s="111"/>
      <c r="P30" s="111"/>
      <c r="Q30" s="111"/>
      <c r="R30" s="111"/>
      <c r="S30" s="111"/>
      <c r="T30" s="111"/>
      <c r="U30" s="111"/>
    </row>
    <row r="31" spans="2:22" ht="12.5" customHeight="1">
      <c r="J31" s="38"/>
    </row>
    <row r="32" spans="2:22">
      <c r="B32" s="1262" t="s">
        <v>304</v>
      </c>
      <c r="C32" s="1262"/>
      <c r="D32" s="1262"/>
      <c r="E32" s="1262"/>
      <c r="F32" s="1262"/>
      <c r="G32" s="1262"/>
      <c r="H32" s="1262"/>
      <c r="I32" s="1262"/>
      <c r="J32" s="1262"/>
      <c r="K32" s="1262"/>
      <c r="L32" s="1262"/>
      <c r="M32" s="1262"/>
      <c r="N32" s="1262"/>
      <c r="O32" s="1262"/>
      <c r="P32" s="1262"/>
      <c r="Q32" s="1262"/>
      <c r="R32" s="1262"/>
      <c r="S32" s="1262"/>
      <c r="T32" s="1262"/>
      <c r="U32" s="1262"/>
    </row>
    <row r="33" spans="2:49" ht="9" customHeight="1">
      <c r="B33" s="1262"/>
      <c r="C33" s="1262"/>
      <c r="D33" s="1262"/>
      <c r="E33" s="1262"/>
      <c r="F33" s="1262"/>
      <c r="G33" s="1262"/>
      <c r="H33" s="1262"/>
      <c r="I33" s="1262"/>
      <c r="J33" s="1262"/>
      <c r="K33" s="1262"/>
      <c r="L33" s="1262"/>
      <c r="M33" s="1262"/>
      <c r="N33" s="1262"/>
      <c r="O33" s="1262"/>
      <c r="P33" s="1262"/>
      <c r="Q33" s="1262"/>
      <c r="R33" s="1262"/>
      <c r="S33" s="1262"/>
      <c r="T33" s="1262"/>
      <c r="U33" s="1262"/>
    </row>
    <row r="34" spans="2:49" ht="14" customHeight="1">
      <c r="B34" s="1244" t="s">
        <v>305</v>
      </c>
      <c r="C34" s="1244"/>
      <c r="D34" s="1244"/>
      <c r="E34" s="1244"/>
      <c r="F34" s="1244"/>
      <c r="G34" s="1244"/>
      <c r="H34" s="1244"/>
      <c r="I34" s="1244"/>
      <c r="J34" s="1244"/>
      <c r="K34" s="1244"/>
      <c r="L34" s="1244"/>
      <c r="M34" s="1244"/>
      <c r="N34" s="1244"/>
      <c r="O34" s="1244"/>
      <c r="P34" s="1244"/>
      <c r="Q34" s="1244"/>
      <c r="R34" s="1244"/>
      <c r="S34" s="1244"/>
      <c r="T34" s="1244"/>
      <c r="U34" s="1244"/>
    </row>
    <row r="35" spans="2:49">
      <c r="B35" s="1244"/>
      <c r="C35" s="1244"/>
      <c r="D35" s="1244"/>
      <c r="E35" s="1244"/>
      <c r="F35" s="1244"/>
      <c r="G35" s="1244"/>
      <c r="H35" s="1244"/>
      <c r="I35" s="1244"/>
      <c r="J35" s="1244"/>
      <c r="K35" s="1244"/>
      <c r="L35" s="1244"/>
      <c r="M35" s="1244"/>
      <c r="N35" s="1244"/>
      <c r="O35" s="1244"/>
      <c r="P35" s="1244"/>
      <c r="Q35" s="1244"/>
      <c r="R35" s="1244"/>
      <c r="S35" s="1244"/>
      <c r="T35" s="1244"/>
      <c r="U35" s="1244"/>
    </row>
    <row r="36" spans="2:49" ht="8.5" customHeight="1">
      <c r="B36" s="1244"/>
      <c r="C36" s="1244"/>
      <c r="D36" s="1244"/>
      <c r="E36" s="1244"/>
      <c r="F36" s="1244"/>
      <c r="G36" s="1244"/>
      <c r="H36" s="1244"/>
      <c r="I36" s="1244"/>
      <c r="J36" s="1244"/>
      <c r="K36" s="1244"/>
      <c r="L36" s="1244"/>
      <c r="M36" s="1244"/>
      <c r="N36" s="1244"/>
      <c r="O36" s="1244"/>
      <c r="P36" s="1244"/>
      <c r="Q36" s="1244"/>
      <c r="R36" s="1244"/>
      <c r="S36" s="1244"/>
      <c r="T36" s="1244"/>
      <c r="U36" s="1244"/>
    </row>
    <row r="37" spans="2:49" ht="12.5" customHeight="1"/>
    <row r="38" spans="2:49" ht="30.5" customHeight="1">
      <c r="B38" s="1245" t="s">
        <v>277</v>
      </c>
      <c r="C38" s="1291"/>
      <c r="D38" s="1251" t="s">
        <v>278</v>
      </c>
      <c r="E38" s="1252"/>
      <c r="F38" s="1252"/>
      <c r="G38" s="1252"/>
      <c r="H38" s="1252"/>
      <c r="I38" s="1252"/>
      <c r="J38" s="1272" t="s">
        <v>145</v>
      </c>
      <c r="K38" s="1273"/>
      <c r="L38" s="1273"/>
      <c r="M38" s="1273"/>
      <c r="N38" s="1273"/>
      <c r="O38" s="1273"/>
      <c r="P38" s="1273"/>
      <c r="Q38" s="1273"/>
      <c r="R38" s="1273"/>
      <c r="S38" s="1273"/>
      <c r="T38" s="1273"/>
      <c r="U38" s="1275"/>
    </row>
    <row r="39" spans="2:49">
      <c r="B39" s="1247"/>
      <c r="C39" s="1292"/>
      <c r="D39" s="39">
        <v>2019</v>
      </c>
      <c r="E39" s="1256">
        <v>2020</v>
      </c>
      <c r="F39" s="1257"/>
      <c r="G39" s="1257"/>
      <c r="H39" s="1258"/>
      <c r="I39" s="87">
        <v>2021</v>
      </c>
      <c r="J39" s="1269">
        <v>2021</v>
      </c>
      <c r="K39" s="1270"/>
      <c r="L39" s="1271"/>
      <c r="M39" s="1269">
        <v>2022</v>
      </c>
      <c r="N39" s="1270"/>
      <c r="O39" s="1270"/>
      <c r="P39" s="1271"/>
      <c r="Q39" s="1269">
        <v>2023</v>
      </c>
      <c r="R39" s="1270"/>
      <c r="S39" s="1270"/>
      <c r="T39" s="1271"/>
      <c r="U39" s="77">
        <v>2024</v>
      </c>
    </row>
    <row r="40" spans="2:49">
      <c r="B40" s="1249"/>
      <c r="C40" s="1293"/>
      <c r="D40" s="40" t="s">
        <v>140</v>
      </c>
      <c r="E40" s="41" t="s">
        <v>137</v>
      </c>
      <c r="F40" s="42" t="s">
        <v>138</v>
      </c>
      <c r="G40" s="42" t="s">
        <v>139</v>
      </c>
      <c r="H40" s="43" t="s">
        <v>140</v>
      </c>
      <c r="I40" s="41" t="s">
        <v>137</v>
      </c>
      <c r="J40" s="84" t="s">
        <v>138</v>
      </c>
      <c r="K40" s="83" t="s">
        <v>139</v>
      </c>
      <c r="L40" s="85" t="s">
        <v>140</v>
      </c>
      <c r="M40" s="84" t="s">
        <v>137</v>
      </c>
      <c r="N40" s="83" t="s">
        <v>138</v>
      </c>
      <c r="O40" s="83" t="s">
        <v>139</v>
      </c>
      <c r="P40" s="85" t="s">
        <v>140</v>
      </c>
      <c r="Q40" s="207" t="s">
        <v>137</v>
      </c>
      <c r="R40" s="169" t="s">
        <v>138</v>
      </c>
      <c r="S40" s="169" t="s">
        <v>139</v>
      </c>
      <c r="T40" s="208" t="s">
        <v>140</v>
      </c>
      <c r="U40" s="117" t="s">
        <v>137</v>
      </c>
    </row>
    <row r="41" spans="2:49" ht="15">
      <c r="B41" s="74" t="s">
        <v>6</v>
      </c>
      <c r="C41" s="70"/>
      <c r="D41" s="112">
        <f>Grants!D91</f>
        <v>69.790999999999997</v>
      </c>
      <c r="E41" s="113">
        <f>Grants!E91</f>
        <v>72.239999999999995</v>
      </c>
      <c r="F41" s="113">
        <f>Grants!F91</f>
        <v>72.525000000000006</v>
      </c>
      <c r="G41" s="113">
        <f>Grants!G91</f>
        <v>73.844999999999999</v>
      </c>
      <c r="H41" s="113">
        <f>Grants!H91</f>
        <v>73.558999999999997</v>
      </c>
      <c r="I41" s="242">
        <f>Grants!I91</f>
        <v>72.012</v>
      </c>
      <c r="J41" s="143">
        <f>Grants!J91</f>
        <v>72.100250000000003</v>
      </c>
      <c r="K41" s="141">
        <f>Grants!K91</f>
        <v>72.100250000000003</v>
      </c>
      <c r="L41" s="141">
        <f>Grants!L91</f>
        <v>72.100250000000003</v>
      </c>
      <c r="M41" s="141">
        <f>Grants!M91</f>
        <v>72.100250000000003</v>
      </c>
      <c r="N41" s="141">
        <f>Grants!N91</f>
        <v>72.100250000000003</v>
      </c>
      <c r="O41" s="141">
        <f>Grants!O91</f>
        <v>72.100250000000003</v>
      </c>
      <c r="P41" s="141">
        <f>Grants!P91</f>
        <v>72.100250000000003</v>
      </c>
      <c r="Q41" s="141">
        <f>Grants!Q91</f>
        <v>72.100250000000003</v>
      </c>
      <c r="R41" s="141">
        <f>Grants!R91</f>
        <v>72.100250000000003</v>
      </c>
      <c r="S41" s="141">
        <f>Grants!S91</f>
        <v>72.100250000000003</v>
      </c>
      <c r="T41" s="141">
        <f>Grants!T91</f>
        <v>72.100250000000003</v>
      </c>
      <c r="U41" s="144">
        <f>Grants!U91</f>
        <v>72.100250000000003</v>
      </c>
    </row>
    <row r="42" spans="2:49" ht="15">
      <c r="B42" s="101" t="s">
        <v>0</v>
      </c>
      <c r="C42" s="70"/>
      <c r="D42" s="93">
        <f>Grants!D72</f>
        <v>203.99099999999999</v>
      </c>
      <c r="E42" s="89">
        <f>Grants!E72</f>
        <v>204.37099999999998</v>
      </c>
      <c r="F42" s="89">
        <f>Grants!F72</f>
        <v>321.36000000000018</v>
      </c>
      <c r="G42" s="89">
        <f>Grants!G72</f>
        <v>287.12800000000004</v>
      </c>
      <c r="H42" s="89">
        <f>Grants!H72</f>
        <v>285.90700000000004</v>
      </c>
      <c r="I42" s="155">
        <f>Grants!I72</f>
        <v>313.33699999999999</v>
      </c>
      <c r="J42" s="110">
        <f>Grants!J72</f>
        <v>345.54600638694637</v>
      </c>
      <c r="K42" s="109">
        <f>Grants!K72</f>
        <v>375.00992679906756</v>
      </c>
      <c r="L42" s="109">
        <f>Grants!L72</f>
        <v>409.77723899550585</v>
      </c>
      <c r="M42" s="109">
        <f>Grants!M72</f>
        <v>431.48107254189955</v>
      </c>
      <c r="N42" s="109">
        <f>Grants!N72</f>
        <v>439.34263453000909</v>
      </c>
      <c r="O42" s="109">
        <f>Grants!O72</f>
        <v>451.15785968855209</v>
      </c>
      <c r="P42" s="109">
        <f>Grants!P72</f>
        <v>461.76397188700332</v>
      </c>
      <c r="Q42" s="109">
        <f>Grants!Q72</f>
        <v>473.78265428248346</v>
      </c>
      <c r="R42" s="109">
        <f>Grants!R72</f>
        <v>448.10427877378277</v>
      </c>
      <c r="S42" s="109">
        <f>Grants!S72</f>
        <v>451.89625264473409</v>
      </c>
      <c r="T42" s="109">
        <f>Grants!T72</f>
        <v>464.87886635052348</v>
      </c>
      <c r="U42" s="107">
        <f>Grants!U72</f>
        <v>436.32490388454437</v>
      </c>
    </row>
    <row r="43" spans="2:49" ht="15">
      <c r="B43" s="121" t="s">
        <v>174</v>
      </c>
      <c r="C43" s="123"/>
      <c r="D43" s="115">
        <f>D41+D42</f>
        <v>273.78199999999998</v>
      </c>
      <c r="E43" s="116">
        <f t="shared" ref="E43:U43" si="21">E41+E42</f>
        <v>276.61099999999999</v>
      </c>
      <c r="F43" s="116">
        <f t="shared" si="21"/>
        <v>393.88500000000022</v>
      </c>
      <c r="G43" s="116">
        <f t="shared" si="21"/>
        <v>360.97300000000007</v>
      </c>
      <c r="H43" s="116">
        <f t="shared" si="21"/>
        <v>359.46600000000001</v>
      </c>
      <c r="I43" s="243">
        <f t="shared" si="21"/>
        <v>385.34899999999999</v>
      </c>
      <c r="J43" s="145">
        <f t="shared" si="21"/>
        <v>417.64625638694639</v>
      </c>
      <c r="K43" s="146">
        <f t="shared" si="21"/>
        <v>447.11017679906757</v>
      </c>
      <c r="L43" s="146">
        <f t="shared" si="21"/>
        <v>481.87748899550587</v>
      </c>
      <c r="M43" s="146">
        <f t="shared" si="21"/>
        <v>503.58132254189957</v>
      </c>
      <c r="N43" s="146">
        <f t="shared" si="21"/>
        <v>511.44288453000911</v>
      </c>
      <c r="O43" s="146">
        <f t="shared" si="21"/>
        <v>523.25810968855205</v>
      </c>
      <c r="P43" s="146">
        <f t="shared" si="21"/>
        <v>533.86422188700328</v>
      </c>
      <c r="Q43" s="146">
        <f t="shared" si="21"/>
        <v>545.88290428248342</v>
      </c>
      <c r="R43" s="146">
        <f t="shared" si="21"/>
        <v>520.20452877378273</v>
      </c>
      <c r="S43" s="146">
        <f t="shared" si="21"/>
        <v>523.99650264473405</v>
      </c>
      <c r="T43" s="146">
        <f t="shared" si="21"/>
        <v>536.97911635052344</v>
      </c>
      <c r="U43" s="147">
        <f t="shared" si="21"/>
        <v>508.42515388454439</v>
      </c>
    </row>
    <row r="44" spans="2:49">
      <c r="AH44" s="1283" t="s">
        <v>317</v>
      </c>
      <c r="AI44" s="1284"/>
      <c r="AJ44" s="1251" t="s">
        <v>278</v>
      </c>
      <c r="AK44" s="1252"/>
      <c r="AL44" s="1252"/>
      <c r="AM44" s="1252"/>
      <c r="AN44" s="1252"/>
      <c r="AO44" s="1289"/>
      <c r="AP44" s="1290" t="s">
        <v>145</v>
      </c>
      <c r="AQ44" s="1290"/>
      <c r="AR44" s="1290"/>
      <c r="AS44" s="1290"/>
      <c r="AT44" s="1290"/>
      <c r="AU44" s="1290"/>
      <c r="AV44" s="1290"/>
      <c r="AW44" s="1290"/>
    </row>
    <row r="45" spans="2:49">
      <c r="AH45" s="1285"/>
      <c r="AI45" s="1286"/>
      <c r="AJ45" s="39">
        <v>2019</v>
      </c>
      <c r="AK45" s="1256">
        <v>2020</v>
      </c>
      <c r="AL45" s="1257"/>
      <c r="AM45" s="1257"/>
      <c r="AN45" s="1258"/>
      <c r="AO45" s="39">
        <v>2021</v>
      </c>
      <c r="AP45" s="1269">
        <v>2021</v>
      </c>
      <c r="AQ45" s="1270"/>
      <c r="AR45" s="1271"/>
      <c r="AS45" s="1269">
        <v>2022</v>
      </c>
      <c r="AT45" s="1270"/>
      <c r="AU45" s="1270"/>
      <c r="AV45" s="1271"/>
      <c r="AW45" s="77">
        <v>2023</v>
      </c>
    </row>
    <row r="46" spans="2:49">
      <c r="AH46" s="1287"/>
      <c r="AI46" s="1288"/>
      <c r="AJ46" s="40" t="s">
        <v>140</v>
      </c>
      <c r="AK46" s="41" t="s">
        <v>137</v>
      </c>
      <c r="AL46" s="42" t="s">
        <v>138</v>
      </c>
      <c r="AM46" s="42" t="s">
        <v>139</v>
      </c>
      <c r="AN46" s="43" t="s">
        <v>140</v>
      </c>
      <c r="AO46" s="40" t="s">
        <v>137</v>
      </c>
      <c r="AP46" s="78" t="s">
        <v>138</v>
      </c>
      <c r="AQ46" s="79" t="s">
        <v>139</v>
      </c>
      <c r="AR46" s="80" t="s">
        <v>140</v>
      </c>
      <c r="AS46" s="78" t="s">
        <v>137</v>
      </c>
      <c r="AT46" s="79" t="s">
        <v>138</v>
      </c>
      <c r="AU46" s="79" t="s">
        <v>139</v>
      </c>
      <c r="AV46" s="80" t="s">
        <v>140</v>
      </c>
      <c r="AW46" s="81" t="s">
        <v>137</v>
      </c>
    </row>
    <row r="47" spans="2:49" ht="30">
      <c r="AH47" s="101" t="s">
        <v>299</v>
      </c>
      <c r="AI47" s="73"/>
      <c r="AJ47" s="93">
        <v>4.8</v>
      </c>
      <c r="AK47" s="89">
        <v>3.9</v>
      </c>
      <c r="AL47" s="89">
        <v>3.2</v>
      </c>
      <c r="AM47" s="89">
        <v>3.8</v>
      </c>
      <c r="AN47" s="89">
        <v>3.7</v>
      </c>
      <c r="AO47" s="155">
        <v>3.7</v>
      </c>
      <c r="AP47" s="110">
        <v>3.7</v>
      </c>
      <c r="AQ47" s="109">
        <v>3.7</v>
      </c>
      <c r="AR47" s="109">
        <v>3.8</v>
      </c>
      <c r="AS47" s="109">
        <v>3.8</v>
      </c>
      <c r="AT47" s="109">
        <v>3.9</v>
      </c>
      <c r="AU47" s="109">
        <v>3.9</v>
      </c>
      <c r="AV47" s="109">
        <v>4</v>
      </c>
      <c r="AW47" s="107">
        <v>4</v>
      </c>
    </row>
    <row r="48" spans="2:49" ht="30">
      <c r="AH48" s="153" t="s">
        <v>300</v>
      </c>
      <c r="AI48" s="62"/>
      <c r="AJ48" s="93">
        <v>3.4</v>
      </c>
      <c r="AK48" s="89">
        <v>4.2</v>
      </c>
      <c r="AL48" s="89">
        <v>-7.7</v>
      </c>
      <c r="AM48" s="92">
        <v>-0.8</v>
      </c>
      <c r="AN48" s="92">
        <v>-2</v>
      </c>
      <c r="AO48" s="156">
        <v>3.7</v>
      </c>
      <c r="AP48" s="90">
        <v>3.7</v>
      </c>
      <c r="AQ48" s="91">
        <v>3</v>
      </c>
      <c r="AR48" s="91">
        <v>3.1</v>
      </c>
      <c r="AS48" s="91">
        <v>3.4</v>
      </c>
      <c r="AT48" s="91">
        <v>3.7</v>
      </c>
      <c r="AU48" s="91">
        <v>3.9</v>
      </c>
      <c r="AV48" s="91">
        <v>4</v>
      </c>
      <c r="AW48" s="94">
        <v>4.4000000000000004</v>
      </c>
    </row>
    <row r="49" spans="34:49" s="37" customFormat="1">
      <c r="AH49" s="1279" t="s">
        <v>301</v>
      </c>
      <c r="AI49" s="1280"/>
      <c r="AJ49" s="93"/>
      <c r="AK49" s="89"/>
      <c r="AL49" s="89"/>
      <c r="AM49" s="92"/>
      <c r="AN49" s="92"/>
      <c r="AO49" s="156"/>
      <c r="AP49" s="90"/>
      <c r="AQ49" s="91"/>
      <c r="AR49" s="91"/>
      <c r="AS49" s="91"/>
      <c r="AT49" s="91"/>
      <c r="AU49" s="91"/>
      <c r="AV49" s="91"/>
      <c r="AW49" s="94"/>
    </row>
    <row r="50" spans="34:49" s="37" customFormat="1" ht="30">
      <c r="AH50" s="101" t="s">
        <v>319</v>
      </c>
      <c r="AI50" s="46"/>
      <c r="AJ50" s="157">
        <v>2368</v>
      </c>
      <c r="AK50" s="158">
        <v>2391</v>
      </c>
      <c r="AL50" s="158">
        <v>2410</v>
      </c>
      <c r="AM50" s="158">
        <v>2432</v>
      </c>
      <c r="AN50" s="158">
        <v>2455</v>
      </c>
      <c r="AO50" s="159">
        <v>2477</v>
      </c>
      <c r="AP50" s="95">
        <v>2500</v>
      </c>
      <c r="AQ50" s="96">
        <v>2523</v>
      </c>
      <c r="AR50" s="96">
        <v>2546</v>
      </c>
      <c r="AS50" s="96">
        <v>2571</v>
      </c>
      <c r="AT50" s="96">
        <v>2595</v>
      </c>
      <c r="AU50" s="96">
        <v>2621</v>
      </c>
      <c r="AV50" s="96">
        <v>2646</v>
      </c>
      <c r="AW50" s="97">
        <v>2672</v>
      </c>
    </row>
    <row r="51" spans="34:49" s="37" customFormat="1" ht="30">
      <c r="AH51" s="101" t="s">
        <v>318</v>
      </c>
      <c r="AI51" s="46"/>
      <c r="AJ51" s="47">
        <v>2357</v>
      </c>
      <c r="AK51" s="36">
        <v>2382</v>
      </c>
      <c r="AL51" s="36">
        <v>2335</v>
      </c>
      <c r="AM51" s="36">
        <v>2330</v>
      </c>
      <c r="AN51" s="36">
        <v>2318</v>
      </c>
      <c r="AO51" s="46">
        <v>2339</v>
      </c>
      <c r="AP51" s="82">
        <v>2361</v>
      </c>
      <c r="AQ51" s="98">
        <v>2379</v>
      </c>
      <c r="AR51" s="98">
        <v>2397</v>
      </c>
      <c r="AS51" s="98">
        <v>2417</v>
      </c>
      <c r="AT51" s="98">
        <v>2439</v>
      </c>
      <c r="AU51" s="98">
        <v>2462</v>
      </c>
      <c r="AV51" s="98">
        <v>2486</v>
      </c>
      <c r="AW51" s="99">
        <v>2513</v>
      </c>
    </row>
    <row r="52" spans="34:49" s="37" customFormat="1">
      <c r="AH52" s="1281" t="s">
        <v>302</v>
      </c>
      <c r="AI52" s="1282"/>
      <c r="AJ52" s="47"/>
      <c r="AK52" s="36"/>
      <c r="AL52" s="36"/>
      <c r="AM52" s="36"/>
      <c r="AN52" s="36"/>
      <c r="AO52" s="46"/>
      <c r="AP52" s="82"/>
      <c r="AQ52" s="98"/>
      <c r="AR52" s="98"/>
      <c r="AS52" s="98"/>
      <c r="AT52" s="98"/>
      <c r="AU52" s="98"/>
      <c r="AV52" s="98"/>
      <c r="AW52" s="99"/>
    </row>
    <row r="53" spans="34:49" s="37" customFormat="1" ht="30">
      <c r="AH53" s="101" t="s">
        <v>319</v>
      </c>
      <c r="AI53" s="46"/>
      <c r="AJ53" s="157">
        <f t="shared" ref="AJ53:AW53" si="22">AJ50-D43</f>
        <v>2094.2179999999998</v>
      </c>
      <c r="AK53" s="158">
        <f t="shared" si="22"/>
        <v>2114.3890000000001</v>
      </c>
      <c r="AL53" s="158">
        <f t="shared" si="22"/>
        <v>2016.1149999999998</v>
      </c>
      <c r="AM53" s="158">
        <f t="shared" si="22"/>
        <v>2071.027</v>
      </c>
      <c r="AN53" s="158">
        <f t="shared" si="22"/>
        <v>2095.5340000000001</v>
      </c>
      <c r="AO53" s="159">
        <f t="shared" si="22"/>
        <v>2091.6509999999998</v>
      </c>
      <c r="AP53" s="95">
        <f t="shared" si="22"/>
        <v>2082.3537436130537</v>
      </c>
      <c r="AQ53" s="96">
        <f t="shared" si="22"/>
        <v>2075.8898232009324</v>
      </c>
      <c r="AR53" s="96">
        <f t="shared" si="22"/>
        <v>2064.1225110044943</v>
      </c>
      <c r="AS53" s="96">
        <f t="shared" si="22"/>
        <v>2067.4186774581003</v>
      </c>
      <c r="AT53" s="96">
        <f t="shared" si="22"/>
        <v>2083.557115469991</v>
      </c>
      <c r="AU53" s="96">
        <f t="shared" si="22"/>
        <v>2097.7418903114481</v>
      </c>
      <c r="AV53" s="96">
        <f t="shared" si="22"/>
        <v>2112.1357781129968</v>
      </c>
      <c r="AW53" s="97">
        <f t="shared" si="22"/>
        <v>2126.1170957175163</v>
      </c>
    </row>
    <row r="54" spans="34:49" s="37" customFormat="1" ht="30">
      <c r="AH54" s="154" t="s">
        <v>318</v>
      </c>
      <c r="AI54" s="69"/>
      <c r="AJ54" s="160">
        <f t="shared" ref="AJ54:AW54" si="23">AJ51-D43</f>
        <v>2083.2179999999998</v>
      </c>
      <c r="AK54" s="161">
        <f t="shared" si="23"/>
        <v>2105.3890000000001</v>
      </c>
      <c r="AL54" s="161">
        <f t="shared" si="23"/>
        <v>1941.1149999999998</v>
      </c>
      <c r="AM54" s="161">
        <f t="shared" si="23"/>
        <v>1969.027</v>
      </c>
      <c r="AN54" s="161">
        <f t="shared" si="23"/>
        <v>1958.5340000000001</v>
      </c>
      <c r="AO54" s="162">
        <f t="shared" si="23"/>
        <v>1953.6510000000001</v>
      </c>
      <c r="AP54" s="163">
        <f t="shared" si="23"/>
        <v>1943.3537436130537</v>
      </c>
      <c r="AQ54" s="164">
        <f t="shared" si="23"/>
        <v>1931.8898232009324</v>
      </c>
      <c r="AR54" s="164">
        <f t="shared" si="23"/>
        <v>1915.1225110044941</v>
      </c>
      <c r="AS54" s="164">
        <f t="shared" si="23"/>
        <v>1913.4186774581003</v>
      </c>
      <c r="AT54" s="164">
        <f t="shared" si="23"/>
        <v>1927.557115469991</v>
      </c>
      <c r="AU54" s="164">
        <f t="shared" si="23"/>
        <v>1938.7418903114481</v>
      </c>
      <c r="AV54" s="164">
        <f t="shared" si="23"/>
        <v>1952.1357781129968</v>
      </c>
      <c r="AW54" s="165">
        <f t="shared" si="23"/>
        <v>1967.1170957175166</v>
      </c>
    </row>
  </sheetData>
  <mergeCells count="35">
    <mergeCell ref="B1:U1"/>
    <mergeCell ref="B2:U4"/>
    <mergeCell ref="B19:U21"/>
    <mergeCell ref="J6:U6"/>
    <mergeCell ref="Q7:T7"/>
    <mergeCell ref="B18:U18"/>
    <mergeCell ref="B6:C8"/>
    <mergeCell ref="D6:I6"/>
    <mergeCell ref="E7:H7"/>
    <mergeCell ref="J7:L7"/>
    <mergeCell ref="M7:P7"/>
    <mergeCell ref="Q24:T24"/>
    <mergeCell ref="Q39:T39"/>
    <mergeCell ref="J38:U38"/>
    <mergeCell ref="J23:U23"/>
    <mergeCell ref="B34:U36"/>
    <mergeCell ref="B32:U33"/>
    <mergeCell ref="E24:H24"/>
    <mergeCell ref="B38:C40"/>
    <mergeCell ref="D38:I38"/>
    <mergeCell ref="E39:H39"/>
    <mergeCell ref="J39:L39"/>
    <mergeCell ref="M39:P39"/>
    <mergeCell ref="J24:L24"/>
    <mergeCell ref="M24:P24"/>
    <mergeCell ref="B23:C25"/>
    <mergeCell ref="D23:I23"/>
    <mergeCell ref="AH49:AI49"/>
    <mergeCell ref="AH52:AI52"/>
    <mergeCell ref="AH44:AI46"/>
    <mergeCell ref="AJ44:AO44"/>
    <mergeCell ref="AP44:AW44"/>
    <mergeCell ref="AK45:AN45"/>
    <mergeCell ref="AP45:AR45"/>
    <mergeCell ref="AS45:AV45"/>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7306B3-7256-4977-AE8A-EB5C0E6CDD07}">
  <ds:schemaRefs>
    <ds:schemaRef ds:uri="http://purl.org/dc/terms/"/>
    <ds:schemaRef ds:uri="http://purl.org/dc/elements/1.1/"/>
    <ds:schemaRef ds:uri="http://schemas.microsoft.com/office/2006/documentManagement/types"/>
    <ds:schemaRef ds:uri="077f7628-a02d-4539-9cae-e7e6d8970771"/>
    <ds:schemaRef ds:uri="http://schemas.microsoft.com/office/2006/metadata/properties"/>
    <ds:schemaRef ds:uri="http://purl.org/dc/dcmitype/"/>
    <ds:schemaRef ds:uri="deabcd68-119c-429a-9d71-422d03771023"/>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Checklist (Monthly Revision)</vt:lpstr>
      <vt:lpstr>Checklist (CBO Budget Release)</vt:lpstr>
      <vt:lpstr>Revisions</vt:lpstr>
      <vt:lpstr>Monthly Personal Income</vt:lpstr>
      <vt:lpstr>forecast</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Data</vt:lpstr>
      <vt:lpstr>Haver Pivoted</vt:lpstr>
      <vt:lpstr>Cares Act Scores</vt:lpstr>
      <vt:lpstr>Response and Relief Act Score</vt:lpstr>
      <vt:lpstr>ARP Score</vt:lpstr>
      <vt:lpstr>ARP Timing</vt:lpstr>
      <vt:lpstr>ARP Quarterly</vt:lpstr>
      <vt:lpstr>Deflators</vt:lpstr>
      <vt:lpstr>Sheet2</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Microsoft Office User</cp:lastModifiedBy>
  <dcterms:created xsi:type="dcterms:W3CDTF">2021-05-28T15:43:48Z</dcterms:created>
  <dcterms:modified xsi:type="dcterms:W3CDTF">2021-06-25T16:37:54Z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