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CDBE4206-23D3-4704-883F-482057CEAB7D}" xr6:coauthVersionLast="47" xr6:coauthVersionMax="47" xr10:uidLastSave="{00000000-0000-0000-0000-000000000000}"/>
  <bookViews>
    <workbookView xWindow="28692" yWindow="-108" windowWidth="29016" windowHeight="15816" firstSheet="9" activeTab="1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October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tudent loans" sheetId="67" r:id="rId21"/>
    <sheet name="Social Benefits" sheetId="59" r:id="rId22"/>
    <sheet name="Taxes" sheetId="48" r:id="rId23"/>
    <sheet name="Cares Act Scores" sheetId="36" r:id="rId24"/>
    <sheet name="IRA and CHIPS" sheetId="65" r:id="rId25"/>
    <sheet name="Response and Relief Act Score" sheetId="27" r:id="rId26"/>
    <sheet name="ARP Score" sheetId="5" r:id="rId27"/>
    <sheet name="ARP Timing" sheetId="6" r:id="rId28"/>
    <sheet name="ARP Quarterly" sheetId="21" r:id="rId29"/>
    <sheet name="deflators_raw" sheetId="68" r:id="rId30"/>
    <sheet name="deflators_adj" sheetId="69" r:id="rId31"/>
    <sheet name="Deflators_original" sheetId="63" state="hidden" r:id="rId32"/>
  </sheets>
  <externalReferences>
    <externalReference r:id="rId3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2" i="49" l="1"/>
  <c r="F26" i="49"/>
  <c r="G252" i="69"/>
  <c r="F252" i="69"/>
  <c r="E252" i="69"/>
  <c r="D252" i="69"/>
  <c r="C252" i="69"/>
  <c r="B252" i="69"/>
  <c r="A252" i="69"/>
  <c r="G251" i="69"/>
  <c r="F251" i="69"/>
  <c r="E251" i="69"/>
  <c r="D251" i="69"/>
  <c r="C251" i="69"/>
  <c r="B251" i="69"/>
  <c r="A251" i="69"/>
  <c r="G250" i="69"/>
  <c r="F250" i="69"/>
  <c r="E250" i="69"/>
  <c r="D250" i="69"/>
  <c r="C250" i="69"/>
  <c r="B250" i="69"/>
  <c r="A250" i="69"/>
  <c r="G249" i="69"/>
  <c r="F249" i="69"/>
  <c r="E249" i="69"/>
  <c r="D249" i="69"/>
  <c r="C249" i="69"/>
  <c r="B249" i="69"/>
  <c r="A249" i="69"/>
  <c r="G248" i="69"/>
  <c r="F248" i="69"/>
  <c r="E248" i="69"/>
  <c r="D248" i="69"/>
  <c r="C248" i="69"/>
  <c r="B248" i="69"/>
  <c r="A248" i="69"/>
  <c r="G247" i="69"/>
  <c r="F247" i="69"/>
  <c r="E247" i="69"/>
  <c r="D247" i="69"/>
  <c r="C247" i="69"/>
  <c r="B247" i="69"/>
  <c r="A247" i="69"/>
  <c r="G246" i="69"/>
  <c r="F246" i="69"/>
  <c r="E246" i="69"/>
  <c r="D246" i="69"/>
  <c r="C246" i="69"/>
  <c r="B246" i="69"/>
  <c r="A246" i="69"/>
  <c r="G245" i="69"/>
  <c r="F245" i="69"/>
  <c r="E245" i="69"/>
  <c r="D245" i="69"/>
  <c r="C245" i="69"/>
  <c r="B245" i="69"/>
  <c r="A245" i="69"/>
  <c r="G244" i="69"/>
  <c r="F244" i="69"/>
  <c r="E244" i="69"/>
  <c r="D244" i="69"/>
  <c r="C244" i="69"/>
  <c r="B244" i="69"/>
  <c r="A244" i="69"/>
  <c r="G243" i="69"/>
  <c r="F243" i="69"/>
  <c r="E243" i="69"/>
  <c r="D243" i="69"/>
  <c r="C243" i="69"/>
  <c r="B243" i="69"/>
  <c r="A243" i="69"/>
  <c r="G242" i="69"/>
  <c r="F242" i="69"/>
  <c r="E242" i="69"/>
  <c r="D242" i="69"/>
  <c r="C242" i="69"/>
  <c r="B242" i="69"/>
  <c r="A242" i="69"/>
  <c r="G241" i="69"/>
  <c r="F241" i="69"/>
  <c r="E241" i="69"/>
  <c r="D241" i="69"/>
  <c r="C241" i="69"/>
  <c r="B241" i="69"/>
  <c r="A241" i="69"/>
  <c r="G240" i="69"/>
  <c r="F240" i="69"/>
  <c r="E240" i="69"/>
  <c r="D240" i="69"/>
  <c r="C240" i="69"/>
  <c r="B240" i="69"/>
  <c r="A240" i="69"/>
  <c r="G239" i="69"/>
  <c r="F239" i="69"/>
  <c r="E239" i="69"/>
  <c r="D239" i="69"/>
  <c r="C239" i="69"/>
  <c r="B239" i="69"/>
  <c r="A239" i="69"/>
  <c r="G238" i="69"/>
  <c r="F238" i="69"/>
  <c r="E238" i="69"/>
  <c r="D238" i="69"/>
  <c r="C238" i="69"/>
  <c r="B238" i="69"/>
  <c r="A238" i="69"/>
  <c r="G237" i="69"/>
  <c r="F237" i="69"/>
  <c r="E237" i="69"/>
  <c r="D237" i="69"/>
  <c r="C237" i="69"/>
  <c r="B237" i="69"/>
  <c r="A237" i="69"/>
  <c r="G236" i="69"/>
  <c r="F236" i="69"/>
  <c r="E236" i="69"/>
  <c r="D236" i="69"/>
  <c r="C236" i="69"/>
  <c r="B236" i="69"/>
  <c r="A236" i="69"/>
  <c r="G235" i="69"/>
  <c r="F235" i="69"/>
  <c r="E235" i="69"/>
  <c r="D235" i="69"/>
  <c r="C235" i="69"/>
  <c r="B235" i="69"/>
  <c r="A235" i="69"/>
  <c r="G234" i="69"/>
  <c r="F234" i="69"/>
  <c r="E234" i="69"/>
  <c r="D234" i="69"/>
  <c r="C234" i="69"/>
  <c r="B234" i="69"/>
  <c r="A234" i="69"/>
  <c r="G233" i="69"/>
  <c r="F233" i="69"/>
  <c r="E233" i="69"/>
  <c r="D233" i="69"/>
  <c r="C233" i="69"/>
  <c r="B233" i="69"/>
  <c r="A233" i="69"/>
  <c r="G232" i="69"/>
  <c r="F232" i="69"/>
  <c r="E232" i="69"/>
  <c r="D232" i="69"/>
  <c r="C232" i="69"/>
  <c r="B232" i="69"/>
  <c r="A232" i="69"/>
  <c r="G231" i="69"/>
  <c r="F231" i="69"/>
  <c r="E231" i="69"/>
  <c r="D231" i="69"/>
  <c r="C231" i="69"/>
  <c r="B231" i="69"/>
  <c r="A231" i="69"/>
  <c r="G230" i="69"/>
  <c r="F230" i="69"/>
  <c r="E230" i="69"/>
  <c r="D230" i="69"/>
  <c r="C230" i="69"/>
  <c r="B230" i="69"/>
  <c r="A230" i="69"/>
  <c r="G229" i="69"/>
  <c r="F229" i="69"/>
  <c r="E229" i="69"/>
  <c r="D229" i="69"/>
  <c r="C229" i="69"/>
  <c r="B229" i="69"/>
  <c r="A229" i="69"/>
  <c r="G228" i="69"/>
  <c r="F228" i="69"/>
  <c r="E228" i="69"/>
  <c r="D228" i="69"/>
  <c r="C228" i="69"/>
  <c r="B228" i="69"/>
  <c r="A228" i="69"/>
  <c r="G227" i="69"/>
  <c r="F227" i="69"/>
  <c r="E227" i="69"/>
  <c r="D227" i="69"/>
  <c r="C227" i="69"/>
  <c r="B227" i="69"/>
  <c r="A227" i="69"/>
  <c r="G226" i="69"/>
  <c r="F226" i="69"/>
  <c r="E226" i="69"/>
  <c r="D226" i="69"/>
  <c r="C226" i="69"/>
  <c r="B226" i="69"/>
  <c r="A226" i="69"/>
  <c r="G225" i="69"/>
  <c r="F225" i="69"/>
  <c r="E225" i="69"/>
  <c r="D225" i="69"/>
  <c r="C225" i="69"/>
  <c r="B225" i="69"/>
  <c r="A225" i="69"/>
  <c r="G224" i="69"/>
  <c r="F224" i="69"/>
  <c r="E224" i="69"/>
  <c r="D224" i="69"/>
  <c r="C224" i="69"/>
  <c r="B224" i="69"/>
  <c r="A224" i="69"/>
  <c r="G223" i="69"/>
  <c r="F223" i="69"/>
  <c r="E223" i="69"/>
  <c r="D223" i="69"/>
  <c r="C223" i="69"/>
  <c r="B223" i="69"/>
  <c r="A223" i="69"/>
  <c r="G222" i="69"/>
  <c r="F222" i="69"/>
  <c r="E222" i="69"/>
  <c r="D222" i="69"/>
  <c r="C222" i="69"/>
  <c r="B222" i="69"/>
  <c r="A222" i="69"/>
  <c r="G221" i="69"/>
  <c r="F221" i="69"/>
  <c r="E221" i="69"/>
  <c r="D221" i="69"/>
  <c r="C221" i="69"/>
  <c r="B221" i="69"/>
  <c r="A221" i="69"/>
  <c r="G220" i="69"/>
  <c r="F220" i="69"/>
  <c r="E220" i="69"/>
  <c r="D220" i="69"/>
  <c r="C220" i="69"/>
  <c r="B220" i="69"/>
  <c r="A220" i="69"/>
  <c r="G219" i="69"/>
  <c r="F219" i="69"/>
  <c r="E219" i="69"/>
  <c r="D219" i="69"/>
  <c r="C219" i="69"/>
  <c r="B219" i="69"/>
  <c r="A219" i="69"/>
  <c r="G218" i="69"/>
  <c r="F218" i="69"/>
  <c r="E218" i="69"/>
  <c r="D218" i="69"/>
  <c r="C218" i="69"/>
  <c r="B218" i="69"/>
  <c r="A218" i="69"/>
  <c r="G217" i="69"/>
  <c r="F217" i="69"/>
  <c r="E217" i="69"/>
  <c r="D217" i="69"/>
  <c r="C217" i="69"/>
  <c r="B217" i="69"/>
  <c r="A217" i="69"/>
  <c r="G216" i="69"/>
  <c r="F216" i="69"/>
  <c r="E216" i="69"/>
  <c r="D216" i="69"/>
  <c r="C216" i="69"/>
  <c r="B216" i="69"/>
  <c r="A216" i="69"/>
  <c r="G215" i="69"/>
  <c r="F215" i="69"/>
  <c r="E215" i="69"/>
  <c r="D215" i="69"/>
  <c r="C215" i="69"/>
  <c r="B215" i="69"/>
  <c r="A215" i="69"/>
  <c r="G214" i="69"/>
  <c r="F214" i="69"/>
  <c r="E214" i="69"/>
  <c r="D214" i="69"/>
  <c r="C214" i="69"/>
  <c r="B214" i="69"/>
  <c r="A214" i="69"/>
  <c r="G213" i="69"/>
  <c r="F213" i="69"/>
  <c r="E213" i="69"/>
  <c r="D213" i="69"/>
  <c r="C213" i="69"/>
  <c r="B213" i="69"/>
  <c r="A213" i="69"/>
  <c r="G212" i="69"/>
  <c r="F212" i="69"/>
  <c r="E212" i="69"/>
  <c r="D212" i="69"/>
  <c r="C212" i="69"/>
  <c r="B212" i="69"/>
  <c r="A212" i="69"/>
  <c r="G211" i="69"/>
  <c r="F211" i="69"/>
  <c r="E211" i="69"/>
  <c r="D211" i="69"/>
  <c r="C211" i="69"/>
  <c r="B211" i="69"/>
  <c r="A211" i="69"/>
  <c r="G210" i="69"/>
  <c r="F210" i="69"/>
  <c r="E210" i="69"/>
  <c r="D210" i="69"/>
  <c r="C210" i="69"/>
  <c r="B210" i="69"/>
  <c r="A210" i="69"/>
  <c r="G209" i="69"/>
  <c r="F209" i="69"/>
  <c r="E209" i="69"/>
  <c r="D209" i="69"/>
  <c r="C209" i="69"/>
  <c r="B209" i="69"/>
  <c r="A209" i="69"/>
  <c r="G208" i="69"/>
  <c r="F208" i="69"/>
  <c r="E208" i="69"/>
  <c r="D208" i="69"/>
  <c r="C208" i="69"/>
  <c r="B208" i="69"/>
  <c r="A208" i="69"/>
  <c r="G207" i="69"/>
  <c r="F207" i="69"/>
  <c r="E207" i="69"/>
  <c r="D207" i="69"/>
  <c r="C207" i="69"/>
  <c r="B207" i="69"/>
  <c r="A207" i="69"/>
  <c r="G206" i="69"/>
  <c r="F206" i="69"/>
  <c r="E206" i="69"/>
  <c r="D206" i="69"/>
  <c r="C206" i="69"/>
  <c r="B206" i="69"/>
  <c r="A206" i="69"/>
  <c r="G205" i="69"/>
  <c r="F205" i="69"/>
  <c r="E205" i="69"/>
  <c r="D205" i="69"/>
  <c r="C205" i="69"/>
  <c r="B205" i="69"/>
  <c r="A205" i="69"/>
  <c r="G204" i="69"/>
  <c r="F204" i="69"/>
  <c r="E204" i="69"/>
  <c r="D204" i="69"/>
  <c r="C204" i="69"/>
  <c r="B204" i="69"/>
  <c r="A204" i="69"/>
  <c r="G203" i="69"/>
  <c r="F203" i="69"/>
  <c r="E203" i="69"/>
  <c r="D203" i="69"/>
  <c r="C203" i="69"/>
  <c r="B203" i="69"/>
  <c r="A203" i="69"/>
  <c r="G202" i="69"/>
  <c r="F202" i="69"/>
  <c r="E202" i="69"/>
  <c r="D202" i="69"/>
  <c r="C202" i="69"/>
  <c r="B202" i="69"/>
  <c r="A202" i="69"/>
  <c r="G201" i="69"/>
  <c r="F201" i="69"/>
  <c r="E201" i="69"/>
  <c r="D201" i="69"/>
  <c r="C201" i="69"/>
  <c r="B201" i="69"/>
  <c r="A201" i="69"/>
  <c r="G200" i="69"/>
  <c r="F200" i="69"/>
  <c r="E200" i="69"/>
  <c r="D200" i="69"/>
  <c r="C200" i="69"/>
  <c r="B200" i="69"/>
  <c r="A200" i="69"/>
  <c r="G199" i="69"/>
  <c r="F199" i="69"/>
  <c r="E199" i="69"/>
  <c r="D199" i="69"/>
  <c r="C199" i="69"/>
  <c r="B199" i="69"/>
  <c r="A199" i="69"/>
  <c r="G198" i="69"/>
  <c r="F198" i="69"/>
  <c r="E198" i="69"/>
  <c r="D198" i="69"/>
  <c r="C198" i="69"/>
  <c r="B198" i="69"/>
  <c r="A198" i="69"/>
  <c r="G197" i="69"/>
  <c r="F197" i="69"/>
  <c r="E197" i="69"/>
  <c r="D197" i="69"/>
  <c r="C197" i="69"/>
  <c r="B197" i="69"/>
  <c r="A197" i="69"/>
  <c r="G196" i="69"/>
  <c r="F196" i="69"/>
  <c r="E196" i="69"/>
  <c r="D196" i="69"/>
  <c r="C196" i="69"/>
  <c r="B196" i="69"/>
  <c r="A196" i="69"/>
  <c r="G195" i="69"/>
  <c r="F195" i="69"/>
  <c r="E195" i="69"/>
  <c r="D195" i="69"/>
  <c r="C195" i="69"/>
  <c r="B195" i="69"/>
  <c r="A195" i="69"/>
  <c r="G194" i="69"/>
  <c r="F194" i="69"/>
  <c r="E194" i="69"/>
  <c r="D194" i="69"/>
  <c r="C194" i="69"/>
  <c r="B194" i="69"/>
  <c r="A194" i="69"/>
  <c r="G193" i="69"/>
  <c r="F193" i="69"/>
  <c r="E193" i="69"/>
  <c r="D193" i="69"/>
  <c r="C193" i="69"/>
  <c r="B193" i="69"/>
  <c r="A193" i="69"/>
  <c r="G192" i="69"/>
  <c r="F192" i="69"/>
  <c r="E192" i="69"/>
  <c r="D192" i="69"/>
  <c r="C192" i="69"/>
  <c r="B192" i="69"/>
  <c r="A192" i="69"/>
  <c r="G191" i="69"/>
  <c r="F191" i="69"/>
  <c r="E191" i="69"/>
  <c r="D191" i="69"/>
  <c r="C191" i="69"/>
  <c r="B191" i="69"/>
  <c r="A191" i="69"/>
  <c r="G190" i="69"/>
  <c r="F190" i="69"/>
  <c r="E190" i="69"/>
  <c r="D190" i="69"/>
  <c r="C190" i="69"/>
  <c r="B190" i="69"/>
  <c r="A190" i="69"/>
  <c r="G189" i="69"/>
  <c r="F189" i="69"/>
  <c r="E189" i="69"/>
  <c r="D189" i="69"/>
  <c r="C189" i="69"/>
  <c r="B189" i="69"/>
  <c r="A189" i="69"/>
  <c r="G188" i="69"/>
  <c r="F188" i="69"/>
  <c r="E188" i="69"/>
  <c r="D188" i="69"/>
  <c r="C188" i="69"/>
  <c r="B188" i="69"/>
  <c r="A188" i="69"/>
  <c r="G187" i="69"/>
  <c r="F187" i="69"/>
  <c r="E187" i="69"/>
  <c r="D187" i="69"/>
  <c r="C187" i="69"/>
  <c r="B187" i="69"/>
  <c r="A187" i="69"/>
  <c r="G186" i="69"/>
  <c r="F186" i="69"/>
  <c r="E186" i="69"/>
  <c r="D186" i="69"/>
  <c r="C186" i="69"/>
  <c r="B186" i="69"/>
  <c r="A186" i="69"/>
  <c r="G185" i="69"/>
  <c r="F185" i="69"/>
  <c r="E185" i="69"/>
  <c r="D185" i="69"/>
  <c r="C185" i="69"/>
  <c r="B185" i="69"/>
  <c r="A185" i="69"/>
  <c r="G184" i="69"/>
  <c r="F184" i="69"/>
  <c r="E184" i="69"/>
  <c r="D184" i="69"/>
  <c r="C184" i="69"/>
  <c r="B184" i="69"/>
  <c r="A184" i="69"/>
  <c r="G183" i="69"/>
  <c r="F183" i="69"/>
  <c r="E183" i="69"/>
  <c r="D183" i="69"/>
  <c r="C183" i="69"/>
  <c r="B183" i="69"/>
  <c r="A183" i="69"/>
  <c r="G182" i="69"/>
  <c r="F182" i="69"/>
  <c r="E182" i="69"/>
  <c r="D182" i="69"/>
  <c r="C182" i="69"/>
  <c r="B182" i="69"/>
  <c r="A182" i="69"/>
  <c r="G181" i="69"/>
  <c r="F181" i="69"/>
  <c r="E181" i="69"/>
  <c r="D181" i="69"/>
  <c r="C181" i="69"/>
  <c r="B181" i="69"/>
  <c r="A181" i="69"/>
  <c r="G180" i="69"/>
  <c r="F180" i="69"/>
  <c r="E180" i="69"/>
  <c r="D180" i="69"/>
  <c r="C180" i="69"/>
  <c r="B180" i="69"/>
  <c r="A180" i="69"/>
  <c r="G179" i="69"/>
  <c r="F179" i="69"/>
  <c r="E179" i="69"/>
  <c r="D179" i="69"/>
  <c r="C179" i="69"/>
  <c r="B179" i="69"/>
  <c r="A179" i="69"/>
  <c r="G178" i="69"/>
  <c r="F178" i="69"/>
  <c r="E178" i="69"/>
  <c r="D178" i="69"/>
  <c r="C178" i="69"/>
  <c r="B178" i="69"/>
  <c r="A178" i="69"/>
  <c r="G177" i="69"/>
  <c r="F177" i="69"/>
  <c r="E177" i="69"/>
  <c r="D177" i="69"/>
  <c r="C177" i="69"/>
  <c r="B177" i="69"/>
  <c r="A177" i="69"/>
  <c r="G176" i="69"/>
  <c r="F176" i="69"/>
  <c r="E176" i="69"/>
  <c r="D176" i="69"/>
  <c r="C176" i="69"/>
  <c r="B176" i="69"/>
  <c r="A176" i="69"/>
  <c r="G175" i="69"/>
  <c r="F175" i="69"/>
  <c r="E175" i="69"/>
  <c r="D175" i="69"/>
  <c r="C175" i="69"/>
  <c r="B175" i="69"/>
  <c r="A175" i="69"/>
  <c r="G174" i="69"/>
  <c r="F174" i="69"/>
  <c r="E174" i="69"/>
  <c r="D174" i="69"/>
  <c r="C174" i="69"/>
  <c r="B174" i="69"/>
  <c r="A174" i="69"/>
  <c r="G173" i="69"/>
  <c r="F173" i="69"/>
  <c r="E173" i="69"/>
  <c r="D173" i="69"/>
  <c r="C173" i="69"/>
  <c r="B173" i="69"/>
  <c r="A173" i="69"/>
  <c r="G172" i="69"/>
  <c r="F172" i="69"/>
  <c r="E172" i="69"/>
  <c r="D172" i="69"/>
  <c r="C172" i="69"/>
  <c r="B172" i="69"/>
  <c r="A172" i="69"/>
  <c r="G171" i="69"/>
  <c r="F171" i="69"/>
  <c r="E171" i="69"/>
  <c r="D171" i="69"/>
  <c r="C171" i="69"/>
  <c r="B171" i="69"/>
  <c r="A171" i="69"/>
  <c r="G170" i="69"/>
  <c r="F170" i="69"/>
  <c r="E170" i="69"/>
  <c r="D170" i="69"/>
  <c r="C170" i="69"/>
  <c r="B170" i="69"/>
  <c r="A170" i="69"/>
  <c r="G169" i="69"/>
  <c r="F169" i="69"/>
  <c r="E169" i="69"/>
  <c r="D169" i="69"/>
  <c r="C169" i="69"/>
  <c r="B169" i="69"/>
  <c r="A169" i="69"/>
  <c r="G168" i="69"/>
  <c r="F168" i="69"/>
  <c r="E168" i="69"/>
  <c r="D168" i="69"/>
  <c r="C168" i="69"/>
  <c r="B168" i="69"/>
  <c r="A168" i="69"/>
  <c r="G167" i="69"/>
  <c r="F167" i="69"/>
  <c r="E167" i="69"/>
  <c r="D167" i="69"/>
  <c r="C167" i="69"/>
  <c r="B167" i="69"/>
  <c r="A167" i="69"/>
  <c r="G166" i="69"/>
  <c r="F166" i="69"/>
  <c r="E166" i="69"/>
  <c r="D166" i="69"/>
  <c r="C166" i="69"/>
  <c r="B166" i="69"/>
  <c r="A166" i="69"/>
  <c r="G165" i="69"/>
  <c r="F165" i="69"/>
  <c r="E165" i="69"/>
  <c r="D165" i="69"/>
  <c r="C165" i="69"/>
  <c r="B165" i="69"/>
  <c r="A165" i="69"/>
  <c r="G164" i="69"/>
  <c r="F164" i="69"/>
  <c r="E164" i="69"/>
  <c r="D164" i="69"/>
  <c r="C164" i="69"/>
  <c r="B164" i="69"/>
  <c r="A164" i="69"/>
  <c r="G163" i="69"/>
  <c r="F163" i="69"/>
  <c r="E163" i="69"/>
  <c r="D163" i="69"/>
  <c r="C163" i="69"/>
  <c r="B163" i="69"/>
  <c r="A163" i="69"/>
  <c r="G162" i="69"/>
  <c r="F162" i="69"/>
  <c r="E162" i="69"/>
  <c r="D162" i="69"/>
  <c r="C162" i="69"/>
  <c r="B162" i="69"/>
  <c r="A162" i="69"/>
  <c r="G161" i="69"/>
  <c r="F161" i="69"/>
  <c r="E161" i="69"/>
  <c r="D161" i="69"/>
  <c r="C161" i="69"/>
  <c r="B161" i="69"/>
  <c r="A161" i="69"/>
  <c r="G160" i="69"/>
  <c r="F160" i="69"/>
  <c r="E160" i="69"/>
  <c r="D160" i="69"/>
  <c r="C160" i="69"/>
  <c r="B160" i="69"/>
  <c r="A160" i="69"/>
  <c r="G159" i="69"/>
  <c r="F159" i="69"/>
  <c r="E159" i="69"/>
  <c r="D159" i="69"/>
  <c r="C159" i="69"/>
  <c r="B159" i="69"/>
  <c r="A159" i="69"/>
  <c r="G158" i="69"/>
  <c r="F158" i="69"/>
  <c r="E158" i="69"/>
  <c r="D158" i="69"/>
  <c r="C158" i="69"/>
  <c r="B158" i="69"/>
  <c r="A158" i="69"/>
  <c r="G157" i="69"/>
  <c r="F157" i="69"/>
  <c r="E157" i="69"/>
  <c r="D157" i="69"/>
  <c r="C157" i="69"/>
  <c r="B157" i="69"/>
  <c r="A157" i="69"/>
  <c r="G156" i="69"/>
  <c r="F156" i="69"/>
  <c r="E156" i="69"/>
  <c r="D156" i="69"/>
  <c r="C156" i="69"/>
  <c r="B156" i="69"/>
  <c r="A156" i="69"/>
  <c r="G155" i="69"/>
  <c r="F155" i="69"/>
  <c r="E155" i="69"/>
  <c r="D155" i="69"/>
  <c r="C155" i="69"/>
  <c r="B155" i="69"/>
  <c r="A155" i="69"/>
  <c r="G154" i="69"/>
  <c r="F154" i="69"/>
  <c r="E154" i="69"/>
  <c r="D154" i="69"/>
  <c r="C154" i="69"/>
  <c r="B154" i="69"/>
  <c r="A154" i="69"/>
  <c r="G153" i="69"/>
  <c r="F153" i="69"/>
  <c r="E153" i="69"/>
  <c r="D153" i="69"/>
  <c r="C153" i="69"/>
  <c r="B153" i="69"/>
  <c r="A153" i="69"/>
  <c r="G152" i="69"/>
  <c r="F152" i="69"/>
  <c r="E152" i="69"/>
  <c r="D152" i="69"/>
  <c r="C152" i="69"/>
  <c r="B152" i="69"/>
  <c r="A152" i="69"/>
  <c r="G151" i="69"/>
  <c r="F151" i="69"/>
  <c r="E151" i="69"/>
  <c r="D151" i="69"/>
  <c r="C151" i="69"/>
  <c r="B151" i="69"/>
  <c r="A151" i="69"/>
  <c r="G150" i="69"/>
  <c r="F150" i="69"/>
  <c r="E150" i="69"/>
  <c r="D150" i="69"/>
  <c r="C150" i="69"/>
  <c r="B150" i="69"/>
  <c r="A150" i="69"/>
  <c r="G149" i="69"/>
  <c r="F149" i="69"/>
  <c r="E149" i="69"/>
  <c r="D149" i="69"/>
  <c r="C149" i="69"/>
  <c r="B149" i="69"/>
  <c r="A149" i="69"/>
  <c r="G148" i="69"/>
  <c r="F148" i="69"/>
  <c r="E148" i="69"/>
  <c r="D148" i="69"/>
  <c r="C148" i="69"/>
  <c r="B148" i="69"/>
  <c r="A148" i="69"/>
  <c r="G147" i="69"/>
  <c r="F147" i="69"/>
  <c r="E147" i="69"/>
  <c r="D147" i="69"/>
  <c r="C147" i="69"/>
  <c r="B147" i="69"/>
  <c r="A147" i="69"/>
  <c r="G146" i="69"/>
  <c r="F146" i="69"/>
  <c r="E146" i="69"/>
  <c r="D146" i="69"/>
  <c r="C146" i="69"/>
  <c r="B146" i="69"/>
  <c r="A146" i="69"/>
  <c r="G145" i="69"/>
  <c r="F145" i="69"/>
  <c r="E145" i="69"/>
  <c r="D145" i="69"/>
  <c r="C145" i="69"/>
  <c r="B145" i="69"/>
  <c r="A145" i="69"/>
  <c r="G144" i="69"/>
  <c r="F144" i="69"/>
  <c r="E144" i="69"/>
  <c r="D144" i="69"/>
  <c r="C144" i="69"/>
  <c r="B144" i="69"/>
  <c r="A144" i="69"/>
  <c r="G143" i="69"/>
  <c r="F143" i="69"/>
  <c r="E143" i="69"/>
  <c r="D143" i="69"/>
  <c r="C143" i="69"/>
  <c r="B143" i="69"/>
  <c r="A143" i="69"/>
  <c r="G142" i="69"/>
  <c r="F142" i="69"/>
  <c r="E142" i="69"/>
  <c r="D142" i="69"/>
  <c r="C142" i="69"/>
  <c r="B142" i="69"/>
  <c r="A142" i="69"/>
  <c r="G141" i="69"/>
  <c r="F141" i="69"/>
  <c r="E141" i="69"/>
  <c r="D141" i="69"/>
  <c r="C141" i="69"/>
  <c r="B141" i="69"/>
  <c r="A141" i="69"/>
  <c r="G140" i="69"/>
  <c r="F140" i="69"/>
  <c r="E140" i="69"/>
  <c r="D140" i="69"/>
  <c r="C140" i="69"/>
  <c r="B140" i="69"/>
  <c r="A140" i="69"/>
  <c r="G139" i="69"/>
  <c r="F139" i="69"/>
  <c r="E139" i="69"/>
  <c r="D139" i="69"/>
  <c r="C139" i="69"/>
  <c r="B139" i="69"/>
  <c r="A139" i="69"/>
  <c r="G138" i="69"/>
  <c r="F138" i="69"/>
  <c r="E138" i="69"/>
  <c r="D138" i="69"/>
  <c r="C138" i="69"/>
  <c r="B138" i="69"/>
  <c r="A138" i="69"/>
  <c r="G137" i="69"/>
  <c r="F137" i="69"/>
  <c r="E137" i="69"/>
  <c r="D137" i="69"/>
  <c r="C137" i="69"/>
  <c r="B137" i="69"/>
  <c r="A137" i="69"/>
  <c r="G136" i="69"/>
  <c r="F136" i="69"/>
  <c r="E136" i="69"/>
  <c r="D136" i="69"/>
  <c r="C136" i="69"/>
  <c r="B136" i="69"/>
  <c r="A136" i="69"/>
  <c r="G135" i="69"/>
  <c r="F135" i="69"/>
  <c r="E135" i="69"/>
  <c r="D135" i="69"/>
  <c r="C135" i="69"/>
  <c r="B135" i="69"/>
  <c r="A135" i="69"/>
  <c r="G134" i="69"/>
  <c r="F134" i="69"/>
  <c r="E134" i="69"/>
  <c r="D134" i="69"/>
  <c r="C134" i="69"/>
  <c r="B134" i="69"/>
  <c r="A134" i="69"/>
  <c r="G133" i="69"/>
  <c r="F133" i="69"/>
  <c r="E133" i="69"/>
  <c r="D133" i="69"/>
  <c r="C133" i="69"/>
  <c r="B133" i="69"/>
  <c r="A133" i="69"/>
  <c r="G132" i="69"/>
  <c r="F132" i="69"/>
  <c r="E132" i="69"/>
  <c r="D132" i="69"/>
  <c r="C132" i="69"/>
  <c r="B132" i="69"/>
  <c r="A132" i="69"/>
  <c r="G131" i="69"/>
  <c r="F131" i="69"/>
  <c r="E131" i="69"/>
  <c r="D131" i="69"/>
  <c r="C131" i="69"/>
  <c r="B131" i="69"/>
  <c r="A131" i="69"/>
  <c r="G130" i="69"/>
  <c r="F130" i="69"/>
  <c r="E130" i="69"/>
  <c r="D130" i="69"/>
  <c r="C130" i="69"/>
  <c r="B130" i="69"/>
  <c r="A130" i="69"/>
  <c r="G129" i="69"/>
  <c r="F129" i="69"/>
  <c r="E129" i="69"/>
  <c r="D129" i="69"/>
  <c r="C129" i="69"/>
  <c r="B129" i="69"/>
  <c r="A129" i="69"/>
  <c r="G128" i="69"/>
  <c r="F128" i="69"/>
  <c r="E128" i="69"/>
  <c r="D128" i="69"/>
  <c r="C128" i="69"/>
  <c r="B128" i="69"/>
  <c r="A128" i="69"/>
  <c r="G127" i="69"/>
  <c r="F127" i="69"/>
  <c r="E127" i="69"/>
  <c r="D127" i="69"/>
  <c r="C127" i="69"/>
  <c r="B127" i="69"/>
  <c r="A127" i="69"/>
  <c r="G126" i="69"/>
  <c r="F126" i="69"/>
  <c r="E126" i="69"/>
  <c r="D126" i="69"/>
  <c r="C126" i="69"/>
  <c r="B126" i="69"/>
  <c r="A126" i="69"/>
  <c r="G125" i="69"/>
  <c r="F125" i="69"/>
  <c r="E125" i="69"/>
  <c r="D125" i="69"/>
  <c r="C125" i="69"/>
  <c r="B125" i="69"/>
  <c r="A125" i="69"/>
  <c r="G124" i="69"/>
  <c r="F124" i="69"/>
  <c r="E124" i="69"/>
  <c r="D124" i="69"/>
  <c r="C124" i="69"/>
  <c r="B124" i="69"/>
  <c r="A124" i="69"/>
  <c r="G123" i="69"/>
  <c r="F123" i="69"/>
  <c r="E123" i="69"/>
  <c r="D123" i="69"/>
  <c r="C123" i="69"/>
  <c r="B123" i="69"/>
  <c r="A123" i="69"/>
  <c r="G122" i="69"/>
  <c r="F122" i="69"/>
  <c r="E122" i="69"/>
  <c r="D122" i="69"/>
  <c r="C122" i="69"/>
  <c r="B122" i="69"/>
  <c r="A122" i="69"/>
  <c r="G121" i="69"/>
  <c r="F121" i="69"/>
  <c r="E121" i="69"/>
  <c r="D121" i="69"/>
  <c r="C121" i="69"/>
  <c r="B121" i="69"/>
  <c r="A121" i="69"/>
  <c r="G120" i="69"/>
  <c r="F120" i="69"/>
  <c r="E120" i="69"/>
  <c r="D120" i="69"/>
  <c r="C120" i="69"/>
  <c r="B120" i="69"/>
  <c r="A120" i="69"/>
  <c r="G119" i="69"/>
  <c r="F119" i="69"/>
  <c r="E119" i="69"/>
  <c r="D119" i="69"/>
  <c r="C119" i="69"/>
  <c r="B119" i="69"/>
  <c r="A119" i="69"/>
  <c r="G118" i="69"/>
  <c r="F118" i="69"/>
  <c r="E118" i="69"/>
  <c r="D118" i="69"/>
  <c r="C118" i="69"/>
  <c r="B118" i="69"/>
  <c r="A118" i="69"/>
  <c r="G117" i="69"/>
  <c r="F117" i="69"/>
  <c r="E117" i="69"/>
  <c r="D117" i="69"/>
  <c r="C117" i="69"/>
  <c r="B117" i="69"/>
  <c r="A117" i="69"/>
  <c r="G116" i="69"/>
  <c r="F116" i="69"/>
  <c r="E116" i="69"/>
  <c r="D116" i="69"/>
  <c r="C116" i="69"/>
  <c r="B116" i="69"/>
  <c r="A116" i="69"/>
  <c r="G115" i="69"/>
  <c r="F115" i="69"/>
  <c r="E115" i="69"/>
  <c r="D115" i="69"/>
  <c r="C115" i="69"/>
  <c r="B115" i="69"/>
  <c r="A115" i="69"/>
  <c r="G114" i="69"/>
  <c r="F114" i="69"/>
  <c r="E114" i="69"/>
  <c r="D114" i="69"/>
  <c r="C114" i="69"/>
  <c r="B114" i="69"/>
  <c r="A114" i="69"/>
  <c r="G113" i="69"/>
  <c r="F113" i="69"/>
  <c r="E113" i="69"/>
  <c r="D113" i="69"/>
  <c r="C113" i="69"/>
  <c r="B113" i="69"/>
  <c r="A113" i="69"/>
  <c r="G112" i="69"/>
  <c r="F112" i="69"/>
  <c r="E112" i="69"/>
  <c r="D112" i="69"/>
  <c r="C112" i="69"/>
  <c r="B112" i="69"/>
  <c r="A112" i="69"/>
  <c r="G111" i="69"/>
  <c r="F111" i="69"/>
  <c r="E111" i="69"/>
  <c r="D111" i="69"/>
  <c r="C111" i="69"/>
  <c r="B111" i="69"/>
  <c r="A111" i="69"/>
  <c r="G110" i="69"/>
  <c r="F110" i="69"/>
  <c r="E110" i="69"/>
  <c r="D110" i="69"/>
  <c r="C110" i="69"/>
  <c r="B110" i="69"/>
  <c r="A110" i="69"/>
  <c r="G109" i="69"/>
  <c r="F109" i="69"/>
  <c r="E109" i="69"/>
  <c r="D109" i="69"/>
  <c r="C109" i="69"/>
  <c r="B109" i="69"/>
  <c r="A109" i="69"/>
  <c r="G108" i="69"/>
  <c r="F108" i="69"/>
  <c r="E108" i="69"/>
  <c r="D108" i="69"/>
  <c r="C108" i="69"/>
  <c r="B108" i="69"/>
  <c r="A108" i="69"/>
  <c r="G107" i="69"/>
  <c r="F107" i="69"/>
  <c r="E107" i="69"/>
  <c r="D107" i="69"/>
  <c r="C107" i="69"/>
  <c r="B107" i="69"/>
  <c r="A107" i="69"/>
  <c r="G106" i="69"/>
  <c r="F106" i="69"/>
  <c r="E106" i="69"/>
  <c r="D106" i="69"/>
  <c r="C106" i="69"/>
  <c r="B106" i="69"/>
  <c r="A106" i="69"/>
  <c r="G105" i="69"/>
  <c r="F105" i="69"/>
  <c r="E105" i="69"/>
  <c r="D105" i="69"/>
  <c r="C105" i="69"/>
  <c r="B105" i="69"/>
  <c r="A105" i="69"/>
  <c r="G104" i="69"/>
  <c r="F104" i="69"/>
  <c r="E104" i="69"/>
  <c r="D104" i="69"/>
  <c r="C104" i="69"/>
  <c r="B104" i="69"/>
  <c r="A104" i="69"/>
  <c r="G103" i="69"/>
  <c r="F103" i="69"/>
  <c r="E103" i="69"/>
  <c r="D103" i="69"/>
  <c r="C103" i="69"/>
  <c r="B103" i="69"/>
  <c r="A103" i="69"/>
  <c r="G102" i="69"/>
  <c r="F102" i="69"/>
  <c r="E102" i="69"/>
  <c r="D102" i="69"/>
  <c r="C102" i="69"/>
  <c r="B102" i="69"/>
  <c r="A102" i="69"/>
  <c r="G101" i="69"/>
  <c r="F101" i="69"/>
  <c r="E101" i="69"/>
  <c r="D101" i="69"/>
  <c r="C101" i="69"/>
  <c r="B101" i="69"/>
  <c r="A101" i="69"/>
  <c r="G100" i="69"/>
  <c r="F100" i="69"/>
  <c r="E100" i="69"/>
  <c r="D100" i="69"/>
  <c r="C100" i="69"/>
  <c r="B100" i="69"/>
  <c r="A100" i="69"/>
  <c r="G99" i="69"/>
  <c r="F99" i="69"/>
  <c r="E99" i="69"/>
  <c r="D99" i="69"/>
  <c r="C99" i="69"/>
  <c r="B99" i="69"/>
  <c r="A99" i="69"/>
  <c r="G98" i="69"/>
  <c r="F98" i="69"/>
  <c r="E98" i="69"/>
  <c r="D98" i="69"/>
  <c r="C98" i="69"/>
  <c r="B98" i="69"/>
  <c r="A98" i="69"/>
  <c r="G97" i="69"/>
  <c r="F97" i="69"/>
  <c r="E97" i="69"/>
  <c r="D97" i="69"/>
  <c r="C97" i="69"/>
  <c r="B97" i="69"/>
  <c r="A97" i="69"/>
  <c r="G96" i="69"/>
  <c r="F96" i="69"/>
  <c r="E96" i="69"/>
  <c r="D96" i="69"/>
  <c r="C96" i="69"/>
  <c r="B96" i="69"/>
  <c r="A96" i="69"/>
  <c r="G95" i="69"/>
  <c r="F95" i="69"/>
  <c r="E95" i="69"/>
  <c r="D95" i="69"/>
  <c r="C95" i="69"/>
  <c r="B95" i="69"/>
  <c r="A95" i="69"/>
  <c r="G94" i="69"/>
  <c r="F94" i="69"/>
  <c r="E94" i="69"/>
  <c r="D94" i="69"/>
  <c r="C94" i="69"/>
  <c r="B94" i="69"/>
  <c r="A94" i="69"/>
  <c r="G93" i="69"/>
  <c r="F93" i="69"/>
  <c r="E93" i="69"/>
  <c r="D93" i="69"/>
  <c r="C93" i="69"/>
  <c r="B93" i="69"/>
  <c r="A93" i="69"/>
  <c r="G92" i="69"/>
  <c r="F92" i="69"/>
  <c r="E92" i="69"/>
  <c r="D92" i="69"/>
  <c r="C92" i="69"/>
  <c r="B92" i="69"/>
  <c r="A92" i="69"/>
  <c r="G91" i="69"/>
  <c r="F91" i="69"/>
  <c r="E91" i="69"/>
  <c r="D91" i="69"/>
  <c r="C91" i="69"/>
  <c r="B91" i="69"/>
  <c r="A91" i="69"/>
  <c r="G90" i="69"/>
  <c r="F90" i="69"/>
  <c r="E90" i="69"/>
  <c r="D90" i="69"/>
  <c r="C90" i="69"/>
  <c r="B90" i="69"/>
  <c r="A90" i="69"/>
  <c r="G89" i="69"/>
  <c r="F89" i="69"/>
  <c r="E89" i="69"/>
  <c r="D89" i="69"/>
  <c r="C89" i="69"/>
  <c r="B89" i="69"/>
  <c r="A89" i="69"/>
  <c r="G88" i="69"/>
  <c r="F88" i="69"/>
  <c r="E88" i="69"/>
  <c r="D88" i="69"/>
  <c r="C88" i="69"/>
  <c r="B88" i="69"/>
  <c r="A88" i="69"/>
  <c r="G87" i="69"/>
  <c r="F87" i="69"/>
  <c r="E87" i="69"/>
  <c r="D87" i="69"/>
  <c r="C87" i="69"/>
  <c r="B87" i="69"/>
  <c r="A87" i="69"/>
  <c r="G86" i="69"/>
  <c r="F86" i="69"/>
  <c r="E86" i="69"/>
  <c r="D86" i="69"/>
  <c r="C86" i="69"/>
  <c r="B86" i="69"/>
  <c r="A86" i="69"/>
  <c r="G85" i="69"/>
  <c r="F85" i="69"/>
  <c r="E85" i="69"/>
  <c r="D85" i="69"/>
  <c r="C85" i="69"/>
  <c r="B85" i="69"/>
  <c r="A85" i="69"/>
  <c r="G84" i="69"/>
  <c r="F84" i="69"/>
  <c r="E84" i="69"/>
  <c r="D84" i="69"/>
  <c r="C84" i="69"/>
  <c r="B84" i="69"/>
  <c r="A84" i="69"/>
  <c r="G83" i="69"/>
  <c r="F83" i="69"/>
  <c r="E83" i="69"/>
  <c r="D83" i="69"/>
  <c r="C83" i="69"/>
  <c r="B83" i="69"/>
  <c r="A83" i="69"/>
  <c r="G82" i="69"/>
  <c r="F82" i="69"/>
  <c r="E82" i="69"/>
  <c r="D82" i="69"/>
  <c r="C82" i="69"/>
  <c r="B82" i="69"/>
  <c r="A82" i="69"/>
  <c r="G81" i="69"/>
  <c r="F81" i="69"/>
  <c r="E81" i="69"/>
  <c r="D81" i="69"/>
  <c r="C81" i="69"/>
  <c r="B81" i="69"/>
  <c r="A81" i="69"/>
  <c r="G80" i="69"/>
  <c r="F80" i="69"/>
  <c r="E80" i="69"/>
  <c r="D80" i="69"/>
  <c r="C80" i="69"/>
  <c r="B80" i="69"/>
  <c r="A80" i="69"/>
  <c r="G79" i="69"/>
  <c r="F79" i="69"/>
  <c r="E79" i="69"/>
  <c r="D79" i="69"/>
  <c r="C79" i="69"/>
  <c r="B79" i="69"/>
  <c r="A79" i="69"/>
  <c r="G78" i="69"/>
  <c r="F78" i="69"/>
  <c r="E78" i="69"/>
  <c r="D78" i="69"/>
  <c r="C78" i="69"/>
  <c r="B78" i="69"/>
  <c r="A78" i="69"/>
  <c r="G77" i="69"/>
  <c r="F77" i="69"/>
  <c r="E77" i="69"/>
  <c r="D77" i="69"/>
  <c r="C77" i="69"/>
  <c r="B77" i="69"/>
  <c r="A77" i="69"/>
  <c r="G76" i="69"/>
  <c r="F76" i="69"/>
  <c r="E76" i="69"/>
  <c r="D76" i="69"/>
  <c r="C76" i="69"/>
  <c r="B76" i="69"/>
  <c r="A76" i="69"/>
  <c r="G75" i="69"/>
  <c r="F75" i="69"/>
  <c r="E75" i="69"/>
  <c r="D75" i="69"/>
  <c r="C75" i="69"/>
  <c r="B75" i="69"/>
  <c r="A75" i="69"/>
  <c r="G74" i="69"/>
  <c r="F74" i="69"/>
  <c r="E74" i="69"/>
  <c r="D74" i="69"/>
  <c r="C74" i="69"/>
  <c r="B74" i="69"/>
  <c r="A74" i="69"/>
  <c r="G73" i="69"/>
  <c r="F73" i="69"/>
  <c r="E73" i="69"/>
  <c r="D73" i="69"/>
  <c r="C73" i="69"/>
  <c r="B73" i="69"/>
  <c r="A73" i="69"/>
  <c r="G72" i="69"/>
  <c r="F72" i="69"/>
  <c r="E72" i="69"/>
  <c r="D72" i="69"/>
  <c r="C72" i="69"/>
  <c r="B72" i="69"/>
  <c r="A72" i="69"/>
  <c r="G71" i="69"/>
  <c r="F71" i="69"/>
  <c r="E71" i="69"/>
  <c r="D71" i="69"/>
  <c r="C71" i="69"/>
  <c r="B71" i="69"/>
  <c r="A71" i="69"/>
  <c r="G70" i="69"/>
  <c r="F70" i="69"/>
  <c r="E70" i="69"/>
  <c r="D70" i="69"/>
  <c r="C70" i="69"/>
  <c r="B70" i="69"/>
  <c r="A70" i="69"/>
  <c r="G69" i="69"/>
  <c r="F69" i="69"/>
  <c r="E69" i="69"/>
  <c r="D69" i="69"/>
  <c r="C69" i="69"/>
  <c r="B69" i="69"/>
  <c r="A69" i="69"/>
  <c r="G68" i="69"/>
  <c r="F68" i="69"/>
  <c r="E68" i="69"/>
  <c r="D68" i="69"/>
  <c r="C68" i="69"/>
  <c r="B68" i="69"/>
  <c r="A68" i="69"/>
  <c r="G67" i="69"/>
  <c r="F67" i="69"/>
  <c r="E67" i="69"/>
  <c r="D67" i="69"/>
  <c r="C67" i="69"/>
  <c r="B67" i="69"/>
  <c r="A67" i="69"/>
  <c r="G66" i="69"/>
  <c r="F66" i="69"/>
  <c r="E66" i="69"/>
  <c r="D66" i="69"/>
  <c r="C66" i="69"/>
  <c r="B66" i="69"/>
  <c r="A66" i="69"/>
  <c r="G65" i="69"/>
  <c r="F65" i="69"/>
  <c r="E65" i="69"/>
  <c r="D65" i="69"/>
  <c r="C65" i="69"/>
  <c r="B65" i="69"/>
  <c r="A65" i="69"/>
  <c r="G64" i="69"/>
  <c r="F64" i="69"/>
  <c r="E64" i="69"/>
  <c r="D64" i="69"/>
  <c r="C64" i="69"/>
  <c r="B64" i="69"/>
  <c r="A64" i="69"/>
  <c r="G63" i="69"/>
  <c r="F63" i="69"/>
  <c r="E63" i="69"/>
  <c r="D63" i="69"/>
  <c r="C63" i="69"/>
  <c r="B63" i="69"/>
  <c r="A63" i="69"/>
  <c r="G62" i="69"/>
  <c r="F62" i="69"/>
  <c r="E62" i="69"/>
  <c r="D62" i="69"/>
  <c r="C62" i="69"/>
  <c r="B62" i="69"/>
  <c r="A62" i="69"/>
  <c r="G61" i="69"/>
  <c r="F61" i="69"/>
  <c r="E61" i="69"/>
  <c r="D61" i="69"/>
  <c r="C61" i="69"/>
  <c r="B61" i="69"/>
  <c r="A61" i="69"/>
  <c r="G60" i="69"/>
  <c r="F60" i="69"/>
  <c r="E60" i="69"/>
  <c r="D60" i="69"/>
  <c r="C60" i="69"/>
  <c r="B60" i="69"/>
  <c r="A60" i="69"/>
  <c r="G59" i="69"/>
  <c r="F59" i="69"/>
  <c r="E59" i="69"/>
  <c r="D59" i="69"/>
  <c r="C59" i="69"/>
  <c r="B59" i="69"/>
  <c r="A59" i="69"/>
  <c r="G58" i="69"/>
  <c r="F58" i="69"/>
  <c r="E58" i="69"/>
  <c r="D58" i="69"/>
  <c r="C58" i="69"/>
  <c r="B58" i="69"/>
  <c r="A58" i="69"/>
  <c r="G57" i="69"/>
  <c r="F57" i="69"/>
  <c r="E57" i="69"/>
  <c r="D57" i="69"/>
  <c r="C57" i="69"/>
  <c r="B57" i="69"/>
  <c r="A57" i="69"/>
  <c r="G56" i="69"/>
  <c r="F56" i="69"/>
  <c r="E56" i="69"/>
  <c r="D56" i="69"/>
  <c r="C56" i="69"/>
  <c r="B56" i="69"/>
  <c r="A56" i="69"/>
  <c r="G55" i="69"/>
  <c r="F55" i="69"/>
  <c r="E55" i="69"/>
  <c r="D55" i="69"/>
  <c r="C55" i="69"/>
  <c r="B55" i="69"/>
  <c r="A55" i="69"/>
  <c r="G54" i="69"/>
  <c r="F54" i="69"/>
  <c r="E54" i="69"/>
  <c r="D54" i="69"/>
  <c r="C54" i="69"/>
  <c r="B54" i="69"/>
  <c r="A54" i="69"/>
  <c r="G53" i="69"/>
  <c r="F53" i="69"/>
  <c r="E53" i="69"/>
  <c r="D53" i="69"/>
  <c r="C53" i="69"/>
  <c r="B53" i="69"/>
  <c r="A53" i="69"/>
  <c r="G52" i="69"/>
  <c r="F52" i="69"/>
  <c r="E52" i="69"/>
  <c r="D52" i="69"/>
  <c r="C52" i="69"/>
  <c r="B52" i="69"/>
  <c r="A52" i="69"/>
  <c r="G51" i="69"/>
  <c r="F51" i="69"/>
  <c r="E51" i="69"/>
  <c r="D51" i="69"/>
  <c r="C51" i="69"/>
  <c r="B51" i="69"/>
  <c r="A51" i="69"/>
  <c r="G50" i="69"/>
  <c r="F50" i="69"/>
  <c r="E50" i="69"/>
  <c r="D50" i="69"/>
  <c r="C50" i="69"/>
  <c r="B50" i="69"/>
  <c r="A50" i="69"/>
  <c r="G49" i="69"/>
  <c r="F49" i="69"/>
  <c r="E49" i="69"/>
  <c r="D49" i="69"/>
  <c r="C49" i="69"/>
  <c r="B49" i="69"/>
  <c r="A49" i="69"/>
  <c r="G48" i="69"/>
  <c r="F48" i="69"/>
  <c r="E48" i="69"/>
  <c r="D48" i="69"/>
  <c r="C48" i="69"/>
  <c r="B48" i="69"/>
  <c r="A48" i="69"/>
  <c r="G47" i="69"/>
  <c r="F47" i="69"/>
  <c r="E47" i="69"/>
  <c r="D47" i="69"/>
  <c r="C47" i="69"/>
  <c r="B47" i="69"/>
  <c r="A47" i="69"/>
  <c r="G46" i="69"/>
  <c r="F46" i="69"/>
  <c r="E46" i="69"/>
  <c r="D46" i="69"/>
  <c r="C46" i="69"/>
  <c r="B46" i="69"/>
  <c r="A46" i="69"/>
  <c r="G45" i="69"/>
  <c r="F45" i="69"/>
  <c r="E45" i="69"/>
  <c r="D45" i="69"/>
  <c r="C45" i="69"/>
  <c r="B45" i="69"/>
  <c r="A45" i="69"/>
  <c r="G44" i="69"/>
  <c r="F44" i="69"/>
  <c r="E44" i="69"/>
  <c r="D44" i="69"/>
  <c r="C44" i="69"/>
  <c r="B44" i="69"/>
  <c r="A44" i="69"/>
  <c r="G43" i="69"/>
  <c r="F43" i="69"/>
  <c r="E43" i="69"/>
  <c r="D43" i="69"/>
  <c r="C43" i="69"/>
  <c r="B43" i="69"/>
  <c r="A43" i="69"/>
  <c r="G42" i="69"/>
  <c r="F42" i="69"/>
  <c r="E42" i="69"/>
  <c r="D42" i="69"/>
  <c r="C42" i="69"/>
  <c r="B42" i="69"/>
  <c r="A42" i="69"/>
  <c r="G41" i="69"/>
  <c r="F41" i="69"/>
  <c r="E41" i="69"/>
  <c r="D41" i="69"/>
  <c r="C41" i="69"/>
  <c r="B41" i="69"/>
  <c r="A41" i="69"/>
  <c r="G40" i="69"/>
  <c r="F40" i="69"/>
  <c r="E40" i="69"/>
  <c r="D40" i="69"/>
  <c r="C40" i="69"/>
  <c r="B40" i="69"/>
  <c r="A40" i="69"/>
  <c r="G39" i="69"/>
  <c r="F39" i="69"/>
  <c r="E39" i="69"/>
  <c r="D39" i="69"/>
  <c r="C39" i="69"/>
  <c r="B39" i="69"/>
  <c r="A39" i="69"/>
  <c r="G38" i="69"/>
  <c r="F38" i="69"/>
  <c r="E38" i="69"/>
  <c r="D38" i="69"/>
  <c r="C38" i="69"/>
  <c r="B38" i="69"/>
  <c r="A38" i="69"/>
  <c r="G37" i="69"/>
  <c r="F37" i="69"/>
  <c r="E37" i="69"/>
  <c r="D37" i="69"/>
  <c r="C37" i="69"/>
  <c r="B37" i="69"/>
  <c r="A37" i="69"/>
  <c r="G36" i="69"/>
  <c r="F36" i="69"/>
  <c r="E36" i="69"/>
  <c r="D36" i="69"/>
  <c r="C36" i="69"/>
  <c r="B36" i="69"/>
  <c r="A36" i="69"/>
  <c r="G35" i="69"/>
  <c r="F35" i="69"/>
  <c r="E35" i="69"/>
  <c r="D35" i="69"/>
  <c r="C35" i="69"/>
  <c r="B35" i="69"/>
  <c r="A35" i="69"/>
  <c r="G34" i="69"/>
  <c r="F34" i="69"/>
  <c r="E34" i="69"/>
  <c r="D34" i="69"/>
  <c r="C34" i="69"/>
  <c r="B34" i="69"/>
  <c r="A34" i="69"/>
  <c r="G33" i="69"/>
  <c r="F33" i="69"/>
  <c r="E33" i="69"/>
  <c r="D33" i="69"/>
  <c r="C33" i="69"/>
  <c r="B33" i="69"/>
  <c r="A33" i="69"/>
  <c r="G32" i="69"/>
  <c r="F32" i="69"/>
  <c r="E32" i="69"/>
  <c r="D32" i="69"/>
  <c r="C32" i="69"/>
  <c r="B32" i="69"/>
  <c r="A32" i="69"/>
  <c r="G31" i="69"/>
  <c r="F31" i="69"/>
  <c r="E31" i="69"/>
  <c r="D31" i="69"/>
  <c r="C31" i="69"/>
  <c r="B31" i="69"/>
  <c r="A31" i="69"/>
  <c r="G30" i="69"/>
  <c r="F30" i="69"/>
  <c r="E30" i="69"/>
  <c r="D30" i="69"/>
  <c r="C30" i="69"/>
  <c r="B30" i="69"/>
  <c r="A30" i="69"/>
  <c r="G29" i="69"/>
  <c r="F29" i="69"/>
  <c r="E29" i="69"/>
  <c r="D29" i="69"/>
  <c r="C29" i="69"/>
  <c r="B29" i="69"/>
  <c r="A29" i="69"/>
  <c r="G28" i="69"/>
  <c r="F28" i="69"/>
  <c r="E28" i="69"/>
  <c r="D28" i="69"/>
  <c r="C28" i="69"/>
  <c r="B28" i="69"/>
  <c r="A28" i="69"/>
  <c r="G27" i="69"/>
  <c r="F27" i="69"/>
  <c r="E27" i="69"/>
  <c r="D27" i="69"/>
  <c r="C27" i="69"/>
  <c r="B27" i="69"/>
  <c r="A27" i="69"/>
  <c r="G26" i="69"/>
  <c r="F26" i="69"/>
  <c r="E26" i="69"/>
  <c r="D26" i="69"/>
  <c r="C26" i="69"/>
  <c r="B26" i="69"/>
  <c r="A26" i="69"/>
  <c r="G25" i="69"/>
  <c r="F25" i="69"/>
  <c r="E25" i="69"/>
  <c r="D25" i="69"/>
  <c r="C25" i="69"/>
  <c r="B25" i="69"/>
  <c r="A25" i="69"/>
  <c r="G24" i="69"/>
  <c r="F24" i="69"/>
  <c r="E24" i="69"/>
  <c r="D24" i="69"/>
  <c r="C24" i="69"/>
  <c r="B24" i="69"/>
  <c r="A24" i="69"/>
  <c r="G23" i="69"/>
  <c r="F23" i="69"/>
  <c r="E23" i="69"/>
  <c r="D23" i="69"/>
  <c r="C23" i="69"/>
  <c r="B23" i="69"/>
  <c r="A23" i="69"/>
  <c r="G22" i="69"/>
  <c r="F22" i="69"/>
  <c r="E22" i="69"/>
  <c r="D22" i="69"/>
  <c r="C22" i="69"/>
  <c r="B22" i="69"/>
  <c r="A22" i="69"/>
  <c r="G21" i="69"/>
  <c r="F21" i="69"/>
  <c r="E21" i="69"/>
  <c r="D21" i="69"/>
  <c r="C21" i="69"/>
  <c r="B21" i="69"/>
  <c r="A21" i="69"/>
  <c r="G20" i="69"/>
  <c r="F20" i="69"/>
  <c r="E20" i="69"/>
  <c r="D20" i="69"/>
  <c r="C20" i="69"/>
  <c r="B20" i="69"/>
  <c r="A20" i="69"/>
  <c r="G19" i="69"/>
  <c r="F19" i="69"/>
  <c r="E19" i="69"/>
  <c r="D19" i="69"/>
  <c r="C19" i="69"/>
  <c r="B19" i="69"/>
  <c r="A19" i="69"/>
  <c r="G18" i="69"/>
  <c r="F18" i="69"/>
  <c r="E18" i="69"/>
  <c r="D18" i="69"/>
  <c r="C18" i="69"/>
  <c r="B18" i="69"/>
  <c r="A18" i="69"/>
  <c r="G17" i="69"/>
  <c r="F17" i="69"/>
  <c r="E17" i="69"/>
  <c r="D17" i="69"/>
  <c r="C17" i="69"/>
  <c r="B17" i="69"/>
  <c r="A17" i="69"/>
  <c r="G16" i="69"/>
  <c r="F16" i="69"/>
  <c r="E16" i="69"/>
  <c r="D16" i="69"/>
  <c r="C16" i="69"/>
  <c r="B16" i="69"/>
  <c r="A16" i="69"/>
  <c r="G15" i="69"/>
  <c r="F15" i="69"/>
  <c r="E15" i="69"/>
  <c r="D15" i="69"/>
  <c r="C15" i="69"/>
  <c r="B15" i="69"/>
  <c r="A15" i="69"/>
  <c r="G14" i="69"/>
  <c r="F14" i="69"/>
  <c r="E14" i="69"/>
  <c r="D14" i="69"/>
  <c r="C14" i="69"/>
  <c r="B14" i="69"/>
  <c r="A14" i="69"/>
  <c r="G13" i="69"/>
  <c r="F13" i="69"/>
  <c r="E13" i="69"/>
  <c r="D13" i="69"/>
  <c r="C13" i="69"/>
  <c r="B13" i="69"/>
  <c r="A13" i="69"/>
  <c r="G12" i="69"/>
  <c r="F12" i="69"/>
  <c r="E12" i="69"/>
  <c r="D12" i="69"/>
  <c r="C12" i="69"/>
  <c r="B12" i="69"/>
  <c r="A12" i="69"/>
  <c r="G11" i="69"/>
  <c r="F11" i="69"/>
  <c r="E11" i="69"/>
  <c r="D11" i="69"/>
  <c r="C11" i="69"/>
  <c r="B11" i="69"/>
  <c r="A11" i="69"/>
  <c r="G10" i="69"/>
  <c r="F10" i="69"/>
  <c r="E10" i="69"/>
  <c r="D10" i="69"/>
  <c r="C10" i="69"/>
  <c r="B10" i="69"/>
  <c r="A10" i="69"/>
  <c r="G9" i="69"/>
  <c r="F9" i="69"/>
  <c r="E9" i="69"/>
  <c r="D9" i="69"/>
  <c r="C9" i="69"/>
  <c r="B9" i="69"/>
  <c r="A9" i="69"/>
  <c r="G8" i="69"/>
  <c r="F8" i="69"/>
  <c r="E8" i="69"/>
  <c r="D8" i="69"/>
  <c r="C8" i="69"/>
  <c r="B8" i="69"/>
  <c r="A8" i="69"/>
  <c r="G7" i="69"/>
  <c r="F7" i="69"/>
  <c r="E7" i="69"/>
  <c r="D7" i="69"/>
  <c r="C7" i="69"/>
  <c r="B7" i="69"/>
  <c r="A7" i="69"/>
  <c r="G6" i="69"/>
  <c r="F6" i="69"/>
  <c r="E6" i="69"/>
  <c r="D6" i="69"/>
  <c r="C6" i="69"/>
  <c r="B6" i="69"/>
  <c r="A6" i="69"/>
  <c r="G5" i="69"/>
  <c r="F5" i="69"/>
  <c r="E5" i="69"/>
  <c r="D5" i="69"/>
  <c r="C5" i="69"/>
  <c r="B5" i="69"/>
  <c r="A5" i="69"/>
  <c r="G4" i="69"/>
  <c r="F4" i="69"/>
  <c r="E4" i="69"/>
  <c r="D4" i="69"/>
  <c r="C4" i="69"/>
  <c r="B4" i="69"/>
  <c r="A4" i="69"/>
  <c r="G3" i="69"/>
  <c r="F3" i="69"/>
  <c r="E3" i="69"/>
  <c r="D3" i="69"/>
  <c r="C3" i="69"/>
  <c r="B3" i="69"/>
  <c r="A3" i="69"/>
  <c r="G2" i="69"/>
  <c r="F2" i="69"/>
  <c r="E2" i="69"/>
  <c r="D2" i="69"/>
  <c r="C2" i="69"/>
  <c r="B2" i="69"/>
  <c r="A2" i="69"/>
  <c r="G1" i="69"/>
  <c r="F1" i="69"/>
  <c r="E1" i="69"/>
  <c r="D1" i="69"/>
  <c r="C1" i="69"/>
  <c r="B1" i="69"/>
  <c r="A1" i="69"/>
  <c r="E81" i="2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J20" i="21"/>
  <c r="O15" i="21"/>
  <c r="O14" i="21"/>
  <c r="Q13" i="21"/>
  <c r="Q14" i="21" s="1"/>
  <c r="Q15" i="21" s="1"/>
  <c r="M13" i="21"/>
  <c r="M14" i="21" s="1"/>
  <c r="M15" i="21" s="1"/>
  <c r="E13" i="21"/>
  <c r="E14" i="21" s="1"/>
  <c r="E15" i="21" s="1"/>
  <c r="U12" i="21"/>
  <c r="T12" i="21"/>
  <c r="R12" i="21"/>
  <c r="G82" i="21" s="1"/>
  <c r="N12" i="21"/>
  <c r="M12" i="21"/>
  <c r="I12" i="21"/>
  <c r="F12" i="21"/>
  <c r="V11" i="21"/>
  <c r="U11" i="21"/>
  <c r="T11" i="21"/>
  <c r="S11" i="21"/>
  <c r="R11" i="21"/>
  <c r="G81" i="21" s="1"/>
  <c r="Q11" i="21"/>
  <c r="P11" i="21"/>
  <c r="O11" i="21"/>
  <c r="N11" i="21"/>
  <c r="F81" i="21" s="1"/>
  <c r="M11" i="21"/>
  <c r="L11" i="21"/>
  <c r="K11" i="21"/>
  <c r="J11" i="21"/>
  <c r="I11" i="21"/>
  <c r="H11" i="21"/>
  <c r="G11" i="21"/>
  <c r="F11" i="21"/>
  <c r="D81" i="21" s="1"/>
  <c r="V10" i="21"/>
  <c r="T10" i="21"/>
  <c r="O10" i="21"/>
  <c r="N10" i="21"/>
  <c r="U9" i="21"/>
  <c r="P9" i="21"/>
  <c r="M9" i="21"/>
  <c r="D9" i="21"/>
  <c r="C9" i="21"/>
  <c r="V7" i="21"/>
  <c r="U7" i="21"/>
  <c r="Q7" i="21"/>
  <c r="N7" i="21"/>
  <c r="M7" i="21"/>
  <c r="J7" i="21"/>
  <c r="I7" i="21"/>
  <c r="D7" i="21"/>
  <c r="V6" i="21"/>
  <c r="R6" i="21"/>
  <c r="J6" i="21"/>
  <c r="F6" i="21"/>
  <c r="G5" i="21"/>
  <c r="F5" i="21"/>
  <c r="U4" i="21"/>
  <c r="T4" i="21"/>
  <c r="I4" i="21"/>
  <c r="H4" i="21"/>
  <c r="V3" i="21"/>
  <c r="K3" i="21"/>
  <c r="J3" i="21"/>
  <c r="E1" i="21"/>
  <c r="D1" i="21"/>
  <c r="C19" i="6"/>
  <c r="B19" i="6"/>
  <c r="S17" i="6"/>
  <c r="V51" i="21" s="1"/>
  <c r="R17" i="6"/>
  <c r="U16" i="6"/>
  <c r="T16" i="6"/>
  <c r="T17" i="6" s="1"/>
  <c r="S16" i="6"/>
  <c r="V49" i="21" s="1"/>
  <c r="R16" i="6"/>
  <c r="U49" i="21" s="1"/>
  <c r="Q16" i="6"/>
  <c r="P16" i="6"/>
  <c r="S49" i="21" s="1"/>
  <c r="O16" i="6"/>
  <c r="R49" i="21" s="1"/>
  <c r="N16" i="6"/>
  <c r="Q49" i="21" s="1"/>
  <c r="C9" i="6"/>
  <c r="U6" i="6"/>
  <c r="T6" i="6"/>
  <c r="S6" i="6"/>
  <c r="R6" i="6"/>
  <c r="Q6" i="6"/>
  <c r="P6" i="6"/>
  <c r="O6" i="6"/>
  <c r="N6" i="6"/>
  <c r="M6" i="6"/>
  <c r="N3" i="21" s="1"/>
  <c r="L6" i="6"/>
  <c r="M3" i="21" s="1"/>
  <c r="K6" i="6"/>
  <c r="J6" i="6"/>
  <c r="I6" i="6"/>
  <c r="H6" i="6"/>
  <c r="G6" i="6"/>
  <c r="F6" i="6"/>
  <c r="E6" i="6"/>
  <c r="D6" i="6"/>
  <c r="E3" i="21" s="1"/>
  <c r="C6" i="6"/>
  <c r="D3" i="21" s="1"/>
  <c r="B6" i="6"/>
  <c r="C3" i="21" s="1"/>
  <c r="BJ16" i="5"/>
  <c r="BI16" i="5"/>
  <c r="BH16" i="5"/>
  <c r="BG16" i="5"/>
  <c r="BF16" i="5"/>
  <c r="BE16" i="5"/>
  <c r="BD16" i="5"/>
  <c r="BC16" i="5"/>
  <c r="BB16" i="5"/>
  <c r="AZ16" i="5"/>
  <c r="AY16" i="5"/>
  <c r="AX16" i="5"/>
  <c r="AW16" i="5"/>
  <c r="AV16" i="5"/>
  <c r="AU16" i="5"/>
  <c r="M16" i="5" s="1"/>
  <c r="AT16" i="5"/>
  <c r="AS16" i="5"/>
  <c r="AR16" i="5"/>
  <c r="AQ16" i="5"/>
  <c r="AP16" i="5"/>
  <c r="AO16" i="5"/>
  <c r="AN16" i="5"/>
  <c r="AM16" i="5"/>
  <c r="K16" i="5" s="1"/>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D15" i="5"/>
  <c r="C15" i="5"/>
  <c r="F15" i="5" s="1"/>
  <c r="B15" i="5"/>
  <c r="E15" i="5" s="1"/>
  <c r="N14" i="5"/>
  <c r="M14" i="5"/>
  <c r="K14" i="5"/>
  <c r="J14" i="5"/>
  <c r="I14" i="5"/>
  <c r="H14" i="5"/>
  <c r="G14" i="5"/>
  <c r="D14" i="5"/>
  <c r="C14" i="5"/>
  <c r="F14" i="5" s="1"/>
  <c r="B14" i="5"/>
  <c r="E14" i="5" s="1"/>
  <c r="N13" i="5"/>
  <c r="M13" i="5"/>
  <c r="K13" i="5"/>
  <c r="J13" i="5"/>
  <c r="I13" i="5"/>
  <c r="H13" i="5"/>
  <c r="G13" i="5"/>
  <c r="F13" i="5"/>
  <c r="D13" i="5"/>
  <c r="C13" i="5"/>
  <c r="B13" i="5"/>
  <c r="E13" i="5" s="1"/>
  <c r="N12" i="5"/>
  <c r="M12" i="5"/>
  <c r="K12" i="5"/>
  <c r="J12" i="5"/>
  <c r="I12" i="5"/>
  <c r="H12" i="5"/>
  <c r="G12" i="5"/>
  <c r="F12" i="5"/>
  <c r="D12" i="5"/>
  <c r="C12" i="5"/>
  <c r="B12" i="5"/>
  <c r="E12" i="5" s="1"/>
  <c r="N11" i="5"/>
  <c r="M11" i="5"/>
  <c r="K11" i="5"/>
  <c r="J11" i="5"/>
  <c r="I11" i="5"/>
  <c r="H11" i="5"/>
  <c r="G11" i="5"/>
  <c r="F11" i="5"/>
  <c r="D11" i="5"/>
  <c r="C11" i="5"/>
  <c r="B11" i="5"/>
  <c r="E11" i="5" s="1"/>
  <c r="N10" i="5"/>
  <c r="M10" i="5"/>
  <c r="V12" i="21" s="1"/>
  <c r="K10" i="5"/>
  <c r="J10" i="5"/>
  <c r="V9" i="21" s="1"/>
  <c r="I10" i="5"/>
  <c r="H10" i="5"/>
  <c r="G10" i="5"/>
  <c r="F10" i="5"/>
  <c r="V5" i="21" s="1"/>
  <c r="D10" i="5"/>
  <c r="C10" i="5"/>
  <c r="B10" i="5"/>
  <c r="E10" i="5" s="1"/>
  <c r="V4" i="21" s="1"/>
  <c r="N9" i="5"/>
  <c r="M9" i="5"/>
  <c r="S12" i="21" s="1"/>
  <c r="K9" i="5"/>
  <c r="J9" i="5"/>
  <c r="I9" i="5"/>
  <c r="H9" i="5"/>
  <c r="S7" i="21" s="1"/>
  <c r="G9" i="5"/>
  <c r="D9" i="5"/>
  <c r="C9" i="5"/>
  <c r="B9" i="5"/>
  <c r="E9" i="5" s="1"/>
  <c r="N8" i="5"/>
  <c r="M8" i="5"/>
  <c r="K8" i="5"/>
  <c r="J8" i="5"/>
  <c r="I8" i="5"/>
  <c r="H8" i="5"/>
  <c r="G8" i="5"/>
  <c r="F8" i="5"/>
  <c r="P5" i="21" s="1"/>
  <c r="E8" i="5"/>
  <c r="P4" i="21" s="1"/>
  <c r="Z18" i="59" s="1"/>
  <c r="Z24" i="59" s="1"/>
  <c r="D8" i="5"/>
  <c r="C8" i="5"/>
  <c r="Q3" i="21" s="1"/>
  <c r="B8" i="5"/>
  <c r="N7" i="5"/>
  <c r="O13" i="21" s="1"/>
  <c r="M7" i="5"/>
  <c r="K12" i="21" s="1"/>
  <c r="K7" i="5"/>
  <c r="J7" i="5"/>
  <c r="K9" i="21" s="1"/>
  <c r="I7" i="5"/>
  <c r="H7" i="5"/>
  <c r="K7" i="21" s="1"/>
  <c r="G7" i="5"/>
  <c r="D7" i="5"/>
  <c r="C7" i="5"/>
  <c r="F7" i="5" s="1"/>
  <c r="B7" i="5"/>
  <c r="N6" i="5"/>
  <c r="I13" i="21" s="1"/>
  <c r="I14" i="21" s="1"/>
  <c r="I15" i="21" s="1"/>
  <c r="M6" i="5"/>
  <c r="K6" i="5"/>
  <c r="I10" i="21" s="1"/>
  <c r="J6" i="5"/>
  <c r="I9" i="21" s="1"/>
  <c r="I6" i="5"/>
  <c r="H6" i="5"/>
  <c r="G6" i="5"/>
  <c r="I6" i="21" s="1"/>
  <c r="F6" i="5"/>
  <c r="E6" i="5"/>
  <c r="D6" i="5"/>
  <c r="C6" i="5"/>
  <c r="H3" i="21" s="1"/>
  <c r="B6" i="5"/>
  <c r="N5" i="5"/>
  <c r="M5" i="5"/>
  <c r="C12" i="21" s="1"/>
  <c r="L5" i="5"/>
  <c r="K5" i="5"/>
  <c r="C10" i="21" s="1"/>
  <c r="J5" i="5"/>
  <c r="I5" i="5"/>
  <c r="C8" i="21" s="1"/>
  <c r="H5" i="5"/>
  <c r="G5" i="5"/>
  <c r="D5" i="5"/>
  <c r="D16" i="5" s="1"/>
  <c r="C5" i="5"/>
  <c r="B5" i="5"/>
  <c r="F17" i="27"/>
  <c r="F16" i="27"/>
  <c r="F15" i="27"/>
  <c r="F14" i="27"/>
  <c r="F13" i="27"/>
  <c r="F12" i="27"/>
  <c r="F11" i="27"/>
  <c r="F9" i="27"/>
  <c r="F8" i="27"/>
  <c r="F7" i="27"/>
  <c r="F6" i="27"/>
  <c r="F5" i="27"/>
  <c r="B3" i="27"/>
  <c r="J193" i="65"/>
  <c r="K193" i="65" s="1"/>
  <c r="L193" i="65" s="1"/>
  <c r="K192" i="65"/>
  <c r="L192" i="65" s="1"/>
  <c r="M192" i="65" s="1"/>
  <c r="J192" i="65"/>
  <c r="J191" i="65"/>
  <c r="I191" i="65"/>
  <c r="W27" i="59" s="1"/>
  <c r="J190" i="65"/>
  <c r="K190" i="65" s="1"/>
  <c r="L190" i="65" s="1"/>
  <c r="M190" i="65" s="1"/>
  <c r="O188" i="65"/>
  <c r="N188" i="65"/>
  <c r="J188" i="65"/>
  <c r="K188" i="65" s="1"/>
  <c r="L188" i="65" s="1"/>
  <c r="M188" i="65" s="1"/>
  <c r="F188" i="65"/>
  <c r="G188" i="65" s="1"/>
  <c r="H188" i="65" s="1"/>
  <c r="I188" i="65" s="1"/>
  <c r="E188" i="65"/>
  <c r="D188" i="65"/>
  <c r="F186" i="65"/>
  <c r="G186" i="65" s="1"/>
  <c r="H186" i="65" s="1"/>
  <c r="I186" i="65" s="1"/>
  <c r="N184" i="65"/>
  <c r="O184" i="65" s="1"/>
  <c r="F184" i="65"/>
  <c r="G184" i="65" s="1"/>
  <c r="H184" i="65" s="1"/>
  <c r="I184" i="65" s="1"/>
  <c r="E184" i="65"/>
  <c r="N179" i="65"/>
  <c r="K179" i="65"/>
  <c r="F179" i="65"/>
  <c r="J194" i="65" s="1"/>
  <c r="K194" i="65" s="1"/>
  <c r="L194" i="65" s="1"/>
  <c r="O178" i="65"/>
  <c r="K178" i="65"/>
  <c r="F178" i="65"/>
  <c r="E178" i="65"/>
  <c r="F193" i="65" s="1"/>
  <c r="G193" i="65" s="1"/>
  <c r="H193" i="65" s="1"/>
  <c r="I193" i="65" s="1"/>
  <c r="O177" i="65"/>
  <c r="N177" i="65"/>
  <c r="J177" i="65"/>
  <c r="F177" i="65"/>
  <c r="O176" i="65"/>
  <c r="N176" i="65"/>
  <c r="K176" i="65"/>
  <c r="J176" i="65"/>
  <c r="O175" i="65"/>
  <c r="N175" i="65"/>
  <c r="J175" i="65"/>
  <c r="N174" i="65"/>
  <c r="M174" i="65"/>
  <c r="K174" i="65"/>
  <c r="J174" i="65"/>
  <c r="O172" i="65"/>
  <c r="N172" i="65"/>
  <c r="G172" i="65"/>
  <c r="N187" i="65" s="1"/>
  <c r="O187" i="65" s="1"/>
  <c r="N171" i="65"/>
  <c r="M171" i="65"/>
  <c r="J171" i="65"/>
  <c r="D171" i="65"/>
  <c r="D186" i="65" s="1"/>
  <c r="E186" i="65" s="1"/>
  <c r="O170" i="65"/>
  <c r="N170" i="65"/>
  <c r="H170" i="65"/>
  <c r="G170" i="65"/>
  <c r="N185" i="65" s="1"/>
  <c r="O185" i="65" s="1"/>
  <c r="F170" i="65"/>
  <c r="J185" i="65" s="1"/>
  <c r="K185" i="65" s="1"/>
  <c r="L185" i="65" s="1"/>
  <c r="M185" i="65" s="1"/>
  <c r="O169" i="65"/>
  <c r="N169" i="65"/>
  <c r="M169" i="65"/>
  <c r="L169" i="65"/>
  <c r="K169" i="65"/>
  <c r="J169" i="65"/>
  <c r="I169" i="65"/>
  <c r="H169" i="65"/>
  <c r="G169" i="65"/>
  <c r="F169" i="65"/>
  <c r="J184" i="65" s="1"/>
  <c r="K184" i="65" s="1"/>
  <c r="L184" i="65" s="1"/>
  <c r="M184" i="65" s="1"/>
  <c r="E169" i="65"/>
  <c r="D169" i="65"/>
  <c r="D184" i="65" s="1"/>
  <c r="O85" i="65"/>
  <c r="N85" i="65"/>
  <c r="N178" i="65" s="1"/>
  <c r="M85" i="65"/>
  <c r="M178" i="65" s="1"/>
  <c r="L85" i="65"/>
  <c r="L178" i="65" s="1"/>
  <c r="K85" i="65"/>
  <c r="J85" i="65"/>
  <c r="J178" i="65" s="1"/>
  <c r="I85" i="65"/>
  <c r="I178" i="65" s="1"/>
  <c r="H85" i="65"/>
  <c r="H178" i="65" s="1"/>
  <c r="G85" i="65"/>
  <c r="G178" i="65" s="1"/>
  <c r="N193" i="65" s="1"/>
  <c r="O193" i="65" s="1"/>
  <c r="F85" i="65"/>
  <c r="E85" i="65"/>
  <c r="D85" i="65"/>
  <c r="D178" i="65" s="1"/>
  <c r="D193" i="65" s="1"/>
  <c r="E193" i="65" s="1"/>
  <c r="O84" i="65"/>
  <c r="N84" i="65"/>
  <c r="M84" i="65"/>
  <c r="M177" i="65" s="1"/>
  <c r="L84" i="65"/>
  <c r="L177" i="65" s="1"/>
  <c r="K84" i="65"/>
  <c r="K177" i="65" s="1"/>
  <c r="J84" i="65"/>
  <c r="I84" i="65"/>
  <c r="I177" i="65" s="1"/>
  <c r="H84" i="65"/>
  <c r="H177" i="65" s="1"/>
  <c r="G84" i="65"/>
  <c r="G177" i="65" s="1"/>
  <c r="N192" i="65" s="1"/>
  <c r="F84" i="65"/>
  <c r="E84" i="65"/>
  <c r="E177" i="65" s="1"/>
  <c r="F192" i="65" s="1"/>
  <c r="D84" i="65"/>
  <c r="D177" i="65" s="1"/>
  <c r="D192" i="65" s="1"/>
  <c r="E192" i="65" s="1"/>
  <c r="O83" i="65"/>
  <c r="O179" i="65" s="1"/>
  <c r="N83" i="65"/>
  <c r="M83" i="65"/>
  <c r="M179" i="65" s="1"/>
  <c r="L83" i="65"/>
  <c r="L179" i="65" s="1"/>
  <c r="K83" i="65"/>
  <c r="J83" i="65"/>
  <c r="J179" i="65" s="1"/>
  <c r="I83" i="65"/>
  <c r="I179" i="65" s="1"/>
  <c r="H83" i="65"/>
  <c r="H179" i="65" s="1"/>
  <c r="G83" i="65"/>
  <c r="G179" i="65" s="1"/>
  <c r="N194" i="65" s="1"/>
  <c r="O194" i="65" s="1"/>
  <c r="F83" i="65"/>
  <c r="E83" i="65"/>
  <c r="E179" i="65" s="1"/>
  <c r="F194" i="65" s="1"/>
  <c r="G194" i="65" s="1"/>
  <c r="H194" i="65" s="1"/>
  <c r="I194" i="65" s="1"/>
  <c r="D83" i="65"/>
  <c r="D179" i="65" s="1"/>
  <c r="D194" i="65" s="1"/>
  <c r="E194" i="65" s="1"/>
  <c r="S19" i="48" s="1"/>
  <c r="O74" i="65"/>
  <c r="N74" i="65"/>
  <c r="M74" i="65"/>
  <c r="M172" i="65" s="1"/>
  <c r="L74" i="65"/>
  <c r="L172" i="65" s="1"/>
  <c r="K74" i="65"/>
  <c r="K172" i="65" s="1"/>
  <c r="J74" i="65"/>
  <c r="J172" i="65" s="1"/>
  <c r="I74" i="65"/>
  <c r="I172" i="65" s="1"/>
  <c r="H74" i="65"/>
  <c r="H172" i="65" s="1"/>
  <c r="G74" i="65"/>
  <c r="F74" i="65"/>
  <c r="F172" i="65" s="1"/>
  <c r="J187" i="65" s="1"/>
  <c r="K187" i="65" s="1"/>
  <c r="L187" i="65" s="1"/>
  <c r="M187" i="65" s="1"/>
  <c r="E74" i="65"/>
  <c r="E172" i="65" s="1"/>
  <c r="F187" i="65" s="1"/>
  <c r="G187" i="65" s="1"/>
  <c r="H187" i="65" s="1"/>
  <c r="I187" i="65" s="1"/>
  <c r="D74" i="65"/>
  <c r="D172" i="65" s="1"/>
  <c r="D187" i="65" s="1"/>
  <c r="E187" i="65" s="1"/>
  <c r="O73" i="65"/>
  <c r="N73" i="65"/>
  <c r="M73" i="65"/>
  <c r="M176" i="65" s="1"/>
  <c r="L73" i="65"/>
  <c r="L176" i="65" s="1"/>
  <c r="K73" i="65"/>
  <c r="J73" i="65"/>
  <c r="I73" i="65"/>
  <c r="I176" i="65" s="1"/>
  <c r="H73" i="65"/>
  <c r="H176" i="65" s="1"/>
  <c r="G73" i="65"/>
  <c r="G176" i="65" s="1"/>
  <c r="N191" i="65" s="1"/>
  <c r="O191" i="65" s="1"/>
  <c r="F73" i="65"/>
  <c r="F176" i="65" s="1"/>
  <c r="E73" i="65"/>
  <c r="E176" i="65" s="1"/>
  <c r="F191" i="65" s="1"/>
  <c r="G191" i="65" s="1"/>
  <c r="H191" i="65" s="1"/>
  <c r="D73" i="65"/>
  <c r="D176" i="65" s="1"/>
  <c r="D191" i="65" s="1"/>
  <c r="E191" i="65" s="1"/>
  <c r="O72" i="65"/>
  <c r="N72" i="65"/>
  <c r="M72" i="65"/>
  <c r="M175" i="65" s="1"/>
  <c r="L72" i="65"/>
  <c r="L175" i="65" s="1"/>
  <c r="K72" i="65"/>
  <c r="K175" i="65" s="1"/>
  <c r="J72" i="65"/>
  <c r="I72" i="65"/>
  <c r="I175" i="65" s="1"/>
  <c r="H72" i="65"/>
  <c r="H175" i="65" s="1"/>
  <c r="G72" i="65"/>
  <c r="G175" i="65" s="1"/>
  <c r="N190" i="65" s="1"/>
  <c r="O190" i="65" s="1"/>
  <c r="F72" i="65"/>
  <c r="F175" i="65" s="1"/>
  <c r="E72" i="65"/>
  <c r="E175" i="65" s="1"/>
  <c r="F190" i="65" s="1"/>
  <c r="G190" i="65" s="1"/>
  <c r="H190" i="65" s="1"/>
  <c r="I190" i="65" s="1"/>
  <c r="D72" i="65"/>
  <c r="D175" i="65" s="1"/>
  <c r="D190" i="65" s="1"/>
  <c r="E190" i="65" s="1"/>
  <c r="O71" i="65"/>
  <c r="O174" i="65" s="1"/>
  <c r="N71" i="65"/>
  <c r="M71" i="65"/>
  <c r="L71" i="65"/>
  <c r="L174" i="65" s="1"/>
  <c r="K71" i="65"/>
  <c r="J71" i="65"/>
  <c r="I71" i="65"/>
  <c r="I174" i="65" s="1"/>
  <c r="H71" i="65"/>
  <c r="H174" i="65" s="1"/>
  <c r="G71" i="65"/>
  <c r="G174" i="65" s="1"/>
  <c r="N189" i="65" s="1"/>
  <c r="O189" i="65" s="1"/>
  <c r="F71" i="65"/>
  <c r="F174" i="65" s="1"/>
  <c r="J189" i="65" s="1"/>
  <c r="K189" i="65" s="1"/>
  <c r="L189" i="65" s="1"/>
  <c r="M189" i="65" s="1"/>
  <c r="E71" i="65"/>
  <c r="E174" i="65" s="1"/>
  <c r="F189" i="65" s="1"/>
  <c r="G189" i="65" s="1"/>
  <c r="H189" i="65" s="1"/>
  <c r="I189" i="65" s="1"/>
  <c r="D71" i="65"/>
  <c r="D174" i="65" s="1"/>
  <c r="D189" i="65" s="1"/>
  <c r="E189" i="65" s="1"/>
  <c r="O70" i="65"/>
  <c r="N70" i="65"/>
  <c r="M70" i="65"/>
  <c r="M170" i="65" s="1"/>
  <c r="L70" i="65"/>
  <c r="L170" i="65" s="1"/>
  <c r="K70" i="65"/>
  <c r="K170" i="65" s="1"/>
  <c r="J70" i="65"/>
  <c r="J170" i="65" s="1"/>
  <c r="I70" i="65"/>
  <c r="I170" i="65" s="1"/>
  <c r="H70" i="65"/>
  <c r="G70" i="65"/>
  <c r="F70" i="65"/>
  <c r="E70" i="65"/>
  <c r="E170" i="65" s="1"/>
  <c r="F185" i="65" s="1"/>
  <c r="G185" i="65" s="1"/>
  <c r="H185" i="65" s="1"/>
  <c r="I185" i="65" s="1"/>
  <c r="D70" i="65"/>
  <c r="D170" i="65" s="1"/>
  <c r="D185" i="65" s="1"/>
  <c r="E185" i="65" s="1"/>
  <c r="O69" i="65"/>
  <c r="O171" i="65" s="1"/>
  <c r="N69" i="65"/>
  <c r="M69" i="65"/>
  <c r="L69" i="65"/>
  <c r="L171" i="65" s="1"/>
  <c r="K69" i="65"/>
  <c r="K171" i="65" s="1"/>
  <c r="J69" i="65"/>
  <c r="I69" i="65"/>
  <c r="I171" i="65" s="1"/>
  <c r="H69" i="65"/>
  <c r="H171" i="65" s="1"/>
  <c r="G69" i="65"/>
  <c r="G171" i="65" s="1"/>
  <c r="N186" i="65" s="1"/>
  <c r="O186" i="65" s="1"/>
  <c r="F69" i="65"/>
  <c r="F171" i="65" s="1"/>
  <c r="J186" i="65" s="1"/>
  <c r="K186" i="65" s="1"/>
  <c r="L186" i="65" s="1"/>
  <c r="M186" i="65" s="1"/>
  <c r="E69" i="65"/>
  <c r="E171" i="65" s="1"/>
  <c r="D69" i="65"/>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O139" i="48"/>
  <c r="G139" i="48"/>
  <c r="K137" i="48"/>
  <c r="J132" i="48"/>
  <c r="I132" i="48"/>
  <c r="R131" i="48"/>
  <c r="I131" i="48"/>
  <c r="Y129" i="48"/>
  <c r="Z129" i="48" s="1"/>
  <c r="S127" i="48"/>
  <c r="S143" i="48" s="1"/>
  <c r="R127" i="48"/>
  <c r="R143" i="48" s="1"/>
  <c r="Q127" i="48"/>
  <c r="P127" i="48"/>
  <c r="P143" i="48" s="1"/>
  <c r="O127" i="48"/>
  <c r="O143" i="48" s="1"/>
  <c r="N127" i="48"/>
  <c r="N143" i="48" s="1"/>
  <c r="M127" i="48"/>
  <c r="M143" i="48" s="1"/>
  <c r="L127" i="48"/>
  <c r="L143" i="48" s="1"/>
  <c r="K127" i="48"/>
  <c r="K143" i="48" s="1"/>
  <c r="J127" i="48"/>
  <c r="J143" i="48" s="1"/>
  <c r="I127" i="48"/>
  <c r="H127" i="48"/>
  <c r="H143" i="48" s="1"/>
  <c r="G127" i="48"/>
  <c r="G143" i="48" s="1"/>
  <c r="F127" i="48"/>
  <c r="F143" i="48" s="1"/>
  <c r="S126" i="48"/>
  <c r="S142" i="48" s="1"/>
  <c r="R126" i="48"/>
  <c r="R142" i="48" s="1"/>
  <c r="Q126" i="48"/>
  <c r="Q142" i="48" s="1"/>
  <c r="P126" i="48"/>
  <c r="P142" i="48" s="1"/>
  <c r="O126" i="48"/>
  <c r="N126" i="48"/>
  <c r="N142" i="48" s="1"/>
  <c r="M126" i="48"/>
  <c r="M142" i="48" s="1"/>
  <c r="L126" i="48"/>
  <c r="L142" i="48" s="1"/>
  <c r="K126" i="48"/>
  <c r="K142" i="48" s="1"/>
  <c r="J126" i="48"/>
  <c r="J142" i="48" s="1"/>
  <c r="I126" i="48"/>
  <c r="I142" i="48" s="1"/>
  <c r="H126" i="48"/>
  <c r="H142" i="48" s="1"/>
  <c r="G126" i="48"/>
  <c r="F126" i="48"/>
  <c r="F142" i="48" s="1"/>
  <c r="S125" i="48"/>
  <c r="K125" i="48"/>
  <c r="S124" i="48"/>
  <c r="R124" i="48"/>
  <c r="R120" i="48" s="1"/>
  <c r="R129" i="48" s="1"/>
  <c r="Q124" i="48"/>
  <c r="Q140" i="48" s="1"/>
  <c r="P124" i="48"/>
  <c r="P140" i="48" s="1"/>
  <c r="O124" i="48"/>
  <c r="O140" i="48" s="1"/>
  <c r="N124" i="48"/>
  <c r="N140" i="48" s="1"/>
  <c r="M124" i="48"/>
  <c r="M140" i="48" s="1"/>
  <c r="L124" i="48"/>
  <c r="L140" i="48" s="1"/>
  <c r="K124" i="48"/>
  <c r="J124" i="48"/>
  <c r="I124" i="48"/>
  <c r="I140" i="48" s="1"/>
  <c r="H124" i="48"/>
  <c r="H140" i="48" s="1"/>
  <c r="G124" i="48"/>
  <c r="G140" i="48" s="1"/>
  <c r="F124" i="48"/>
  <c r="F140" i="48" s="1"/>
  <c r="S123" i="48"/>
  <c r="S139" i="48" s="1"/>
  <c r="R123" i="48"/>
  <c r="R139" i="48" s="1"/>
  <c r="Q123" i="48"/>
  <c r="P123" i="48"/>
  <c r="P139" i="48" s="1"/>
  <c r="O123" i="48"/>
  <c r="N123" i="48"/>
  <c r="N139" i="48" s="1"/>
  <c r="M123" i="48"/>
  <c r="M139" i="48" s="1"/>
  <c r="L123" i="48"/>
  <c r="L139" i="48" s="1"/>
  <c r="K123" i="48"/>
  <c r="K139" i="48" s="1"/>
  <c r="J123" i="48"/>
  <c r="J139" i="48" s="1"/>
  <c r="I123" i="48"/>
  <c r="H123" i="48"/>
  <c r="H139" i="48" s="1"/>
  <c r="G123" i="48"/>
  <c r="F123" i="48"/>
  <c r="F139" i="48" s="1"/>
  <c r="S122" i="48"/>
  <c r="S138" i="48" s="1"/>
  <c r="R122" i="48"/>
  <c r="R138" i="48" s="1"/>
  <c r="Q122" i="48"/>
  <c r="Q138" i="48" s="1"/>
  <c r="P122" i="48"/>
  <c r="P138" i="48" s="1"/>
  <c r="O122" i="48"/>
  <c r="N122" i="48"/>
  <c r="M122" i="48"/>
  <c r="M138" i="48" s="1"/>
  <c r="L122" i="48"/>
  <c r="K122" i="48"/>
  <c r="K138" i="48" s="1"/>
  <c r="J122" i="48"/>
  <c r="J138" i="48" s="1"/>
  <c r="I122" i="48"/>
  <c r="I138" i="48" s="1"/>
  <c r="H122" i="48"/>
  <c r="H138" i="48" s="1"/>
  <c r="G122" i="48"/>
  <c r="F122" i="48"/>
  <c r="S121" i="48"/>
  <c r="S120" i="48" s="1"/>
  <c r="R121" i="48"/>
  <c r="Q121" i="48"/>
  <c r="P121" i="48"/>
  <c r="O121" i="48"/>
  <c r="O137" i="48" s="1"/>
  <c r="N121" i="48"/>
  <c r="N137" i="48" s="1"/>
  <c r="M121" i="48"/>
  <c r="M120" i="48" s="1"/>
  <c r="L121" i="48"/>
  <c r="K121" i="48"/>
  <c r="J121" i="48"/>
  <c r="I121" i="48"/>
  <c r="H121" i="48"/>
  <c r="G121" i="48"/>
  <c r="G137" i="48" s="1"/>
  <c r="F121" i="48"/>
  <c r="F137" i="48" s="1"/>
  <c r="O120" i="48"/>
  <c r="G120" i="48"/>
  <c r="Z117" i="48"/>
  <c r="AA117" i="48" s="1"/>
  <c r="AB117" i="48" s="1"/>
  <c r="AC117" i="48" s="1"/>
  <c r="Y117" i="48"/>
  <c r="R117" i="48"/>
  <c r="J117" i="48"/>
  <c r="I117" i="48"/>
  <c r="O116" i="48"/>
  <c r="M116" i="48"/>
  <c r="L116" i="48"/>
  <c r="W115" i="48"/>
  <c r="X115" i="48" s="1"/>
  <c r="Y115" i="48" s="1"/>
  <c r="Z115" i="48" s="1"/>
  <c r="AA115" i="48" s="1"/>
  <c r="AB115" i="48" s="1"/>
  <c r="AC115" i="48" s="1"/>
  <c r="S115" i="48"/>
  <c r="T115" i="48" s="1"/>
  <c r="U115" i="48" s="1"/>
  <c r="V115" i="48" s="1"/>
  <c r="AC113" i="48"/>
  <c r="AB113" i="48"/>
  <c r="S113" i="48"/>
  <c r="T113" i="48" s="1"/>
  <c r="U113" i="48" s="1"/>
  <c r="V113" i="48" s="1"/>
  <c r="W113" i="48" s="1"/>
  <c r="X113" i="48" s="1"/>
  <c r="Y113" i="48" s="1"/>
  <c r="Z113" i="48" s="1"/>
  <c r="AA113" i="48" s="1"/>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AC104" i="48"/>
  <c r="AB104" i="48"/>
  <c r="AA104" i="48"/>
  <c r="Z104" i="48"/>
  <c r="Y104" i="48"/>
  <c r="X104" i="48"/>
  <c r="W104" i="48"/>
  <c r="V104" i="48"/>
  <c r="U104" i="48"/>
  <c r="T104" i="48"/>
  <c r="T96" i="48" s="1"/>
  <c r="U96" i="48" s="1"/>
  <c r="V96" i="48" s="1"/>
  <c r="W96" i="48" s="1"/>
  <c r="X96" i="48" s="1"/>
  <c r="S104" i="48"/>
  <c r="R104" i="48"/>
  <c r="Q104" i="48"/>
  <c r="P104" i="48"/>
  <c r="O104" i="48"/>
  <c r="N104" i="48"/>
  <c r="M104" i="48"/>
  <c r="L104" i="48"/>
  <c r="K104" i="48"/>
  <c r="J104" i="48"/>
  <c r="I104" i="48"/>
  <c r="H104" i="48"/>
  <c r="G104"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T97" i="48"/>
  <c r="U97" i="48" s="1"/>
  <c r="V97" i="48" s="1"/>
  <c r="W97" i="48" s="1"/>
  <c r="X97" i="48" s="1"/>
  <c r="Y97" i="48" s="1"/>
  <c r="Z97" i="48" s="1"/>
  <c r="AA97" i="48" s="1"/>
  <c r="AB97" i="48" s="1"/>
  <c r="AC97" i="48" s="1"/>
  <c r="Y96" i="48"/>
  <c r="Z96" i="48" s="1"/>
  <c r="AA96" i="48" s="1"/>
  <c r="AB96" i="48" s="1"/>
  <c r="AC96" i="48" s="1"/>
  <c r="T95" i="48"/>
  <c r="U95" i="48" s="1"/>
  <c r="V95" i="48" s="1"/>
  <c r="W95" i="48" s="1"/>
  <c r="X95" i="48" s="1"/>
  <c r="Y95" i="48" s="1"/>
  <c r="Z95" i="48" s="1"/>
  <c r="AA95" i="48" s="1"/>
  <c r="AB95" i="48" s="1"/>
  <c r="AC95" i="48" s="1"/>
  <c r="T94" i="48"/>
  <c r="U94" i="48" s="1"/>
  <c r="T93" i="48"/>
  <c r="S93" i="48"/>
  <c r="R93" i="48"/>
  <c r="Q93" i="48"/>
  <c r="P93" i="48"/>
  <c r="O93" i="48"/>
  <c r="N93" i="48"/>
  <c r="M93" i="48"/>
  <c r="L93" i="48"/>
  <c r="K93" i="48"/>
  <c r="J93" i="48"/>
  <c r="I93" i="48"/>
  <c r="H93" i="48"/>
  <c r="G93" i="48"/>
  <c r="F93" i="48"/>
  <c r="E85" i="48"/>
  <c r="E84" i="48"/>
  <c r="J79" i="48"/>
  <c r="I79" i="48"/>
  <c r="H79" i="48"/>
  <c r="G79" i="48"/>
  <c r="F79" i="48"/>
  <c r="E79" i="48"/>
  <c r="K78" i="48"/>
  <c r="L77" i="48"/>
  <c r="K77" i="48"/>
  <c r="J77" i="48"/>
  <c r="I77" i="48"/>
  <c r="H77" i="48"/>
  <c r="G77" i="48"/>
  <c r="F77" i="48"/>
  <c r="F85" i="48" s="1"/>
  <c r="E77" i="48"/>
  <c r="L76" i="48"/>
  <c r="K76" i="48"/>
  <c r="J76" i="48"/>
  <c r="I76" i="48"/>
  <c r="H76" i="48"/>
  <c r="G76" i="48"/>
  <c r="F76" i="48"/>
  <c r="F84" i="48" s="1"/>
  <c r="E76" i="48"/>
  <c r="H64" i="48"/>
  <c r="F64" i="48"/>
  <c r="F87" i="48" s="1"/>
  <c r="E64" i="48"/>
  <c r="E87" i="48" s="1"/>
  <c r="F62" i="48"/>
  <c r="E62" i="48"/>
  <c r="F61" i="48"/>
  <c r="E61" i="48"/>
  <c r="H57" i="48"/>
  <c r="I56" i="48"/>
  <c r="I63" i="48" s="1"/>
  <c r="H56" i="48"/>
  <c r="H63" i="48" s="1"/>
  <c r="H55" i="48"/>
  <c r="H62" i="48" s="1"/>
  <c r="H54" i="48"/>
  <c r="H61" i="48" s="1"/>
  <c r="L51" i="48"/>
  <c r="L79" i="48" s="1"/>
  <c r="K51" i="48"/>
  <c r="K79" i="48" s="1"/>
  <c r="L49" i="48"/>
  <c r="L48" i="48" s="1"/>
  <c r="L78" i="48" s="1"/>
  <c r="K49" i="48"/>
  <c r="K48" i="48" s="1"/>
  <c r="J48" i="48"/>
  <c r="J78" i="48" s="1"/>
  <c r="I48" i="48"/>
  <c r="I78" i="48" s="1"/>
  <c r="H48" i="48"/>
  <c r="H78" i="48" s="1"/>
  <c r="G48" i="48"/>
  <c r="G78" i="48" s="1"/>
  <c r="F48" i="48"/>
  <c r="F63" i="48" s="1"/>
  <c r="E48" i="48"/>
  <c r="I36" i="48"/>
  <c r="I35" i="48"/>
  <c r="I34" i="48"/>
  <c r="J33" i="48"/>
  <c r="I33" i="48"/>
  <c r="I37" i="48" s="1"/>
  <c r="X26" i="48"/>
  <c r="W26" i="48"/>
  <c r="V26" i="48"/>
  <c r="T26" i="48"/>
  <c r="S26" i="48"/>
  <c r="S132" i="48" s="1"/>
  <c r="T132" i="48" s="1"/>
  <c r="U132" i="48" s="1"/>
  <c r="V132" i="48" s="1"/>
  <c r="W132" i="48" s="1"/>
  <c r="X132" i="48" s="1"/>
  <c r="Y132" i="48" s="1"/>
  <c r="R26" i="48"/>
  <c r="R132" i="48" s="1"/>
  <c r="Q26" i="48"/>
  <c r="Q132" i="48" s="1"/>
  <c r="P26" i="48"/>
  <c r="O26" i="48"/>
  <c r="O132" i="48" s="1"/>
  <c r="N26" i="48"/>
  <c r="N132" i="48" s="1"/>
  <c r="M26" i="48"/>
  <c r="M132" i="48" s="1"/>
  <c r="L26" i="48"/>
  <c r="L132" i="48" s="1"/>
  <c r="K26" i="48"/>
  <c r="K132" i="48" s="1"/>
  <c r="J26" i="48"/>
  <c r="I26" i="48"/>
  <c r="H26" i="48"/>
  <c r="G26" i="48"/>
  <c r="G132" i="48" s="1"/>
  <c r="F26" i="48"/>
  <c r="F132" i="48" s="1"/>
  <c r="X25" i="48"/>
  <c r="W25" i="48"/>
  <c r="V25" i="48"/>
  <c r="T25" i="48"/>
  <c r="S25" i="48"/>
  <c r="S131" i="48" s="1"/>
  <c r="T131" i="48" s="1"/>
  <c r="U131" i="48" s="1"/>
  <c r="V131" i="48" s="1"/>
  <c r="W131" i="48" s="1"/>
  <c r="X131" i="48" s="1"/>
  <c r="Y131" i="48" s="1"/>
  <c r="R25" i="48"/>
  <c r="Q25" i="48"/>
  <c r="Q131" i="48" s="1"/>
  <c r="P25" i="48"/>
  <c r="P131" i="48" s="1"/>
  <c r="O25" i="48"/>
  <c r="O131" i="48" s="1"/>
  <c r="N25" i="48"/>
  <c r="N131" i="48" s="1"/>
  <c r="M25" i="48"/>
  <c r="L25" i="48"/>
  <c r="L131" i="48" s="1"/>
  <c r="K25" i="48"/>
  <c r="K131" i="48" s="1"/>
  <c r="J25" i="48"/>
  <c r="J131" i="48" s="1"/>
  <c r="I25" i="48"/>
  <c r="H25" i="48"/>
  <c r="H131" i="48" s="1"/>
  <c r="G25" i="48"/>
  <c r="G131" i="48" s="1"/>
  <c r="F25" i="48"/>
  <c r="F131" i="48" s="1"/>
  <c r="S24" i="48"/>
  <c r="R24" i="48"/>
  <c r="Q24" i="48"/>
  <c r="P24" i="48"/>
  <c r="O24" i="48"/>
  <c r="N24" i="48"/>
  <c r="M24" i="48"/>
  <c r="L24" i="48"/>
  <c r="K24" i="48"/>
  <c r="J24" i="48"/>
  <c r="I24" i="48"/>
  <c r="H24" i="48"/>
  <c r="G24" i="48"/>
  <c r="F24" i="48"/>
  <c r="Y23" i="48"/>
  <c r="X23" i="48"/>
  <c r="W23" i="48"/>
  <c r="V23" i="48"/>
  <c r="T23" i="48"/>
  <c r="S23" i="48"/>
  <c r="S129" i="48" s="1"/>
  <c r="T129" i="48" s="1"/>
  <c r="U129" i="48" s="1"/>
  <c r="V129" i="48" s="1"/>
  <c r="W129" i="48" s="1"/>
  <c r="X129" i="48" s="1"/>
  <c r="R23" i="48"/>
  <c r="Q23" i="48"/>
  <c r="P23" i="48"/>
  <c r="O23" i="48"/>
  <c r="O129" i="48" s="1"/>
  <c r="N23" i="48"/>
  <c r="M23" i="48"/>
  <c r="M129" i="48" s="1"/>
  <c r="L23" i="48"/>
  <c r="K23" i="48"/>
  <c r="J23" i="48"/>
  <c r="I23" i="48"/>
  <c r="H23" i="48"/>
  <c r="G23" i="48"/>
  <c r="F23" i="48"/>
  <c r="S21" i="48"/>
  <c r="R21" i="48"/>
  <c r="Q21" i="48"/>
  <c r="M21" i="48"/>
  <c r="K21" i="48"/>
  <c r="J21" i="48"/>
  <c r="I21" i="48"/>
  <c r="AC19" i="48"/>
  <c r="AB19" i="48"/>
  <c r="Y19" i="48"/>
  <c r="X19" i="48"/>
  <c r="W19" i="48"/>
  <c r="V19" i="48"/>
  <c r="U19" i="48"/>
  <c r="T19" i="48"/>
  <c r="S17" i="48"/>
  <c r="S117" i="48" s="1"/>
  <c r="T117" i="48" s="1"/>
  <c r="U117" i="48" s="1"/>
  <c r="V117" i="48" s="1"/>
  <c r="W117" i="48" s="1"/>
  <c r="X117" i="48" s="1"/>
  <c r="R17" i="48"/>
  <c r="Q17" i="48"/>
  <c r="Q117" i="48" s="1"/>
  <c r="P17" i="48"/>
  <c r="O17" i="48"/>
  <c r="O117" i="48" s="1"/>
  <c r="N17" i="48"/>
  <c r="N117" i="48" s="1"/>
  <c r="I87" i="48" s="1"/>
  <c r="J87" i="48" s="1"/>
  <c r="K87" i="48" s="1"/>
  <c r="L87" i="48" s="1"/>
  <c r="M17" i="48"/>
  <c r="M117" i="48" s="1"/>
  <c r="H87" i="48" s="1"/>
  <c r="L17" i="48"/>
  <c r="L117" i="48" s="1"/>
  <c r="K17" i="48"/>
  <c r="K117" i="48" s="1"/>
  <c r="J17" i="48"/>
  <c r="I17" i="48"/>
  <c r="H17" i="48"/>
  <c r="G17" i="48"/>
  <c r="F17" i="48"/>
  <c r="AC16" i="48"/>
  <c r="AB16" i="48"/>
  <c r="Y16" i="48"/>
  <c r="X16" i="48"/>
  <c r="W16" i="48"/>
  <c r="V16" i="48"/>
  <c r="U16" i="48"/>
  <c r="T16" i="48"/>
  <c r="S16" i="48"/>
  <c r="S14" i="48"/>
  <c r="S116" i="48" s="1"/>
  <c r="T116" i="48" s="1"/>
  <c r="U116" i="48" s="1"/>
  <c r="V116" i="48" s="1"/>
  <c r="W116" i="48" s="1"/>
  <c r="X116" i="48" s="1"/>
  <c r="Y116" i="48" s="1"/>
  <c r="Z116" i="48" s="1"/>
  <c r="AA116" i="48" s="1"/>
  <c r="AB116" i="48" s="1"/>
  <c r="AC116" i="48" s="1"/>
  <c r="R14" i="48"/>
  <c r="R116" i="48" s="1"/>
  <c r="Q14" i="48"/>
  <c r="Q116" i="48" s="1"/>
  <c r="P14" i="48"/>
  <c r="P116" i="48" s="1"/>
  <c r="O14" i="48"/>
  <c r="N14" i="48"/>
  <c r="M14" i="48"/>
  <c r="L14" i="48"/>
  <c r="K14" i="48"/>
  <c r="K116" i="48" s="1"/>
  <c r="J14" i="48"/>
  <c r="J116" i="48" s="1"/>
  <c r="I14" i="48"/>
  <c r="I116" i="48" s="1"/>
  <c r="H14" i="48"/>
  <c r="G14" i="48"/>
  <c r="F14" i="48"/>
  <c r="S13" i="48"/>
  <c r="R13" i="48"/>
  <c r="Q13" i="48"/>
  <c r="P13" i="48"/>
  <c r="O13" i="48"/>
  <c r="N13" i="48"/>
  <c r="M13" i="48"/>
  <c r="L13" i="48"/>
  <c r="K13" i="48"/>
  <c r="J13" i="48"/>
  <c r="I13" i="48"/>
  <c r="H13" i="48"/>
  <c r="G13" i="48"/>
  <c r="F13" i="48"/>
  <c r="AA12" i="48"/>
  <c r="Z12" i="48"/>
  <c r="Y12" i="48"/>
  <c r="X12" i="48"/>
  <c r="S12" i="48"/>
  <c r="S10" i="48"/>
  <c r="R10" i="48"/>
  <c r="Q10" i="48"/>
  <c r="P10" i="48"/>
  <c r="O10" i="48"/>
  <c r="O113" i="48" s="1"/>
  <c r="N10" i="48"/>
  <c r="M10" i="48"/>
  <c r="L10" i="48"/>
  <c r="K10" i="48"/>
  <c r="J10" i="48"/>
  <c r="I10" i="48"/>
  <c r="H10" i="48"/>
  <c r="G10" i="48"/>
  <c r="F10" i="48"/>
  <c r="O9" i="48"/>
  <c r="N9" i="48"/>
  <c r="L9" i="48"/>
  <c r="G9" i="48"/>
  <c r="F9" i="48"/>
  <c r="G82" i="59"/>
  <c r="F82" i="59"/>
  <c r="S78" i="59"/>
  <c r="T78" i="59" s="1"/>
  <c r="U78" i="59" s="1"/>
  <c r="V78" i="59" s="1"/>
  <c r="W78" i="59" s="1"/>
  <c r="X78" i="59" s="1"/>
  <c r="Y78" i="59" s="1"/>
  <c r="Z78" i="59" s="1"/>
  <c r="AA78" i="59" s="1"/>
  <c r="AB78" i="59" s="1"/>
  <c r="AC78" i="59" s="1"/>
  <c r="R78" i="59"/>
  <c r="Q78" i="59"/>
  <c r="P78" i="59"/>
  <c r="O78" i="59"/>
  <c r="N78" i="59"/>
  <c r="M78" i="59"/>
  <c r="L78" i="59"/>
  <c r="K78" i="59"/>
  <c r="J78" i="59"/>
  <c r="I78" i="59"/>
  <c r="H78" i="59"/>
  <c r="G78" i="59"/>
  <c r="F78" i="59"/>
  <c r="E78" i="59"/>
  <c r="D78" i="59"/>
  <c r="S74" i="59"/>
  <c r="R74" i="59"/>
  <c r="Q74" i="59"/>
  <c r="P74" i="59"/>
  <c r="O74" i="59"/>
  <c r="N74" i="59"/>
  <c r="M74" i="59"/>
  <c r="L74" i="59"/>
  <c r="K74" i="59"/>
  <c r="J74" i="59"/>
  <c r="I74" i="59"/>
  <c r="H74" i="59"/>
  <c r="G74" i="59"/>
  <c r="F74" i="59"/>
  <c r="E74" i="59"/>
  <c r="D74" i="59"/>
  <c r="S65" i="59"/>
  <c r="P65" i="59"/>
  <c r="L65" i="59"/>
  <c r="K65" i="59"/>
  <c r="S64" i="59"/>
  <c r="R64" i="59"/>
  <c r="Q64" i="59"/>
  <c r="Q65" i="59" s="1"/>
  <c r="P64" i="59"/>
  <c r="O64" i="59"/>
  <c r="O65" i="59" s="1"/>
  <c r="N64" i="59"/>
  <c r="M64" i="59"/>
  <c r="L64" i="59"/>
  <c r="K64" i="59"/>
  <c r="J64" i="59"/>
  <c r="I64" i="59"/>
  <c r="H64" i="59"/>
  <c r="G64" i="59"/>
  <c r="F64" i="59"/>
  <c r="E64" i="59"/>
  <c r="L63" i="59" s="1"/>
  <c r="L20" i="59" s="1"/>
  <c r="D64" i="59"/>
  <c r="S63" i="59"/>
  <c r="T63" i="59" s="1"/>
  <c r="P63" i="59"/>
  <c r="P20" i="59" s="1"/>
  <c r="O63" i="59"/>
  <c r="O20" i="59" s="1"/>
  <c r="S30" i="59"/>
  <c r="R30" i="59"/>
  <c r="Q30" i="59"/>
  <c r="P30" i="59"/>
  <c r="O30" i="59"/>
  <c r="N30" i="59"/>
  <c r="M30" i="59"/>
  <c r="L30" i="59"/>
  <c r="K30" i="59"/>
  <c r="J30" i="59"/>
  <c r="I30" i="59"/>
  <c r="H30" i="59"/>
  <c r="G30" i="59"/>
  <c r="F30" i="59"/>
  <c r="E30" i="59"/>
  <c r="D30" i="59"/>
  <c r="AC27" i="59"/>
  <c r="AB27" i="59"/>
  <c r="V27" i="59"/>
  <c r="U27" i="59"/>
  <c r="T27" i="59"/>
  <c r="S27" i="59"/>
  <c r="AC22" i="59"/>
  <c r="AB22" i="59"/>
  <c r="AA22" i="59"/>
  <c r="Z22" i="59"/>
  <c r="Y22" i="59"/>
  <c r="X22" i="59"/>
  <c r="W22" i="59"/>
  <c r="V22" i="59"/>
  <c r="U22" i="59"/>
  <c r="T22" i="59"/>
  <c r="S22" i="59"/>
  <c r="R22" i="59"/>
  <c r="Q22" i="59"/>
  <c r="S21" i="59"/>
  <c r="T21" i="59" s="1"/>
  <c r="R21" i="59"/>
  <c r="Q21" i="59"/>
  <c r="P21" i="59"/>
  <c r="O21" i="59"/>
  <c r="N21" i="59"/>
  <c r="M21" i="59"/>
  <c r="S20" i="59"/>
  <c r="H20" i="59"/>
  <c r="G20" i="59"/>
  <c r="F20" i="59"/>
  <c r="E20" i="59"/>
  <c r="D20" i="59"/>
  <c r="AC19" i="59"/>
  <c r="AB19" i="59"/>
  <c r="AA19" i="59"/>
  <c r="Z19" i="59"/>
  <c r="Y19" i="59"/>
  <c r="X19" i="59"/>
  <c r="W19" i="59"/>
  <c r="V19" i="59"/>
  <c r="U19" i="59"/>
  <c r="L19" i="59"/>
  <c r="L24" i="59" s="1"/>
  <c r="E5" i="50" s="1"/>
  <c r="I19" i="59"/>
  <c r="I24" i="59" s="1"/>
  <c r="H19" i="59"/>
  <c r="H24" i="59" s="1"/>
  <c r="G19" i="59"/>
  <c r="G24" i="59" s="1"/>
  <c r="F19" i="59"/>
  <c r="F24" i="59" s="1"/>
  <c r="E19" i="59"/>
  <c r="E24" i="59" s="1"/>
  <c r="D19" i="59"/>
  <c r="D24" i="59" s="1"/>
  <c r="S18" i="59"/>
  <c r="S24" i="59" s="1"/>
  <c r="R18" i="59"/>
  <c r="Z17" i="59"/>
  <c r="Q17" i="59"/>
  <c r="P17" i="59"/>
  <c r="I4" i="50" s="1"/>
  <c r="AC16" i="59"/>
  <c r="AB16" i="59"/>
  <c r="AA16" i="59"/>
  <c r="Z16" i="59"/>
  <c r="Y16" i="59"/>
  <c r="X16" i="59"/>
  <c r="W16" i="59"/>
  <c r="V16" i="59"/>
  <c r="U16" i="59"/>
  <c r="T16" i="59"/>
  <c r="Q16" i="59"/>
  <c r="I16" i="59"/>
  <c r="H16" i="59"/>
  <c r="O15" i="59"/>
  <c r="G15" i="59"/>
  <c r="S12" i="59"/>
  <c r="R12" i="59"/>
  <c r="Q12" i="59"/>
  <c r="P12" i="59"/>
  <c r="O12" i="59"/>
  <c r="N12" i="59"/>
  <c r="M12" i="59"/>
  <c r="L12" i="59"/>
  <c r="D85" i="59" s="1"/>
  <c r="D89" i="59" s="1"/>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F23" i="35" s="1"/>
  <c r="U11" i="67"/>
  <c r="T11" i="67"/>
  <c r="S11" i="67"/>
  <c r="R11" i="67"/>
  <c r="M11" i="29"/>
  <c r="K11" i="29"/>
  <c r="K16" i="59" s="1"/>
  <c r="J11" i="29"/>
  <c r="J16" i="59" s="1"/>
  <c r="R10" i="29"/>
  <c r="Q10" i="29"/>
  <c r="R16" i="59" s="1"/>
  <c r="O10" i="29"/>
  <c r="O16" i="59" s="1"/>
  <c r="M10" i="29"/>
  <c r="M16" i="59" s="1"/>
  <c r="S9" i="29"/>
  <c r="S10" i="29" s="1"/>
  <c r="S16" i="59" s="1"/>
  <c r="R9" i="29"/>
  <c r="Q9" i="29"/>
  <c r="P9" i="29"/>
  <c r="P10" i="29" s="1"/>
  <c r="P16" i="59" s="1"/>
  <c r="O9" i="29"/>
  <c r="N9" i="29"/>
  <c r="N10" i="29" s="1"/>
  <c r="N16" i="59" s="1"/>
  <c r="M9" i="29"/>
  <c r="L9" i="29"/>
  <c r="L11" i="29" s="1"/>
  <c r="L16" i="59" s="1"/>
  <c r="K9" i="29"/>
  <c r="J9" i="29"/>
  <c r="D23" i="33"/>
  <c r="G22" i="33"/>
  <c r="G24" i="33" s="1"/>
  <c r="F22" i="33"/>
  <c r="E22" i="33"/>
  <c r="F24" i="33" s="1"/>
  <c r="J21" i="33"/>
  <c r="I21" i="33"/>
  <c r="I22" i="33" s="1"/>
  <c r="H21" i="33"/>
  <c r="H22" i="33" s="1"/>
  <c r="G21" i="33"/>
  <c r="J20" i="33"/>
  <c r="E19" i="33"/>
  <c r="AC12" i="33"/>
  <c r="AB12" i="33"/>
  <c r="AA12" i="33"/>
  <c r="Z12" i="33"/>
  <c r="Y12" i="33"/>
  <c r="X12" i="33"/>
  <c r="U12" i="33"/>
  <c r="O12" i="33"/>
  <c r="N12" i="33"/>
  <c r="Z11" i="33"/>
  <c r="S11" i="33"/>
  <c r="T11" i="33" s="1"/>
  <c r="U11" i="33" s="1"/>
  <c r="V11" i="33" s="1"/>
  <c r="W11" i="33" s="1"/>
  <c r="X11" i="33" s="1"/>
  <c r="Y11" i="33" s="1"/>
  <c r="R11" i="33"/>
  <c r="Q11" i="33"/>
  <c r="P11" i="33"/>
  <c r="O11" i="33"/>
  <c r="N11" i="33"/>
  <c r="M11" i="33"/>
  <c r="L11" i="33"/>
  <c r="K11" i="33"/>
  <c r="J11" i="33"/>
  <c r="S10" i="33"/>
  <c r="R10" i="33"/>
  <c r="R15" i="59" s="1"/>
  <c r="Q10" i="33"/>
  <c r="Q15" i="59" s="1"/>
  <c r="P10" i="33"/>
  <c r="O10" i="33"/>
  <c r="N10" i="33"/>
  <c r="N15" i="59" s="1"/>
  <c r="M10" i="33"/>
  <c r="M15" i="59" s="1"/>
  <c r="L10" i="33"/>
  <c r="K10" i="33"/>
  <c r="K15" i="59" s="1"/>
  <c r="J10" i="33"/>
  <c r="J15" i="59" s="1"/>
  <c r="I10" i="33"/>
  <c r="I15" i="59" s="1"/>
  <c r="H10" i="33"/>
  <c r="H15" i="59" s="1"/>
  <c r="G10" i="33"/>
  <c r="F10" i="33"/>
  <c r="F15" i="59" s="1"/>
  <c r="E10" i="33"/>
  <c r="E15" i="59" s="1"/>
  <c r="D10" i="33"/>
  <c r="D15" i="59" s="1"/>
  <c r="L53" i="49"/>
  <c r="K53" i="49"/>
  <c r="J53" i="49"/>
  <c r="P52" i="49"/>
  <c r="O52" i="49"/>
  <c r="N52" i="49"/>
  <c r="M52" i="49"/>
  <c r="L52" i="49"/>
  <c r="K52" i="49"/>
  <c r="J52" i="49"/>
  <c r="I52" i="49"/>
  <c r="H52" i="49"/>
  <c r="G52" i="49"/>
  <c r="F52" i="49"/>
  <c r="P51" i="49"/>
  <c r="O51" i="49"/>
  <c r="N51" i="49"/>
  <c r="M51" i="49"/>
  <c r="L51" i="49"/>
  <c r="K51" i="49"/>
  <c r="J51" i="49"/>
  <c r="I51" i="49"/>
  <c r="H51" i="49"/>
  <c r="G51" i="49"/>
  <c r="F51" i="49"/>
  <c r="J32" i="49"/>
  <c r="I32" i="49"/>
  <c r="G23" i="49"/>
  <c r="G22" i="49" s="1"/>
  <c r="F23" i="49"/>
  <c r="F22" i="49" s="1"/>
  <c r="F12" i="49"/>
  <c r="S11" i="49"/>
  <c r="R11" i="49"/>
  <c r="Q11" i="49"/>
  <c r="P11" i="49"/>
  <c r="O11" i="49"/>
  <c r="N11" i="49"/>
  <c r="N12" i="49" s="1"/>
  <c r="M11" i="49"/>
  <c r="L11" i="49"/>
  <c r="L12" i="49" s="1"/>
  <c r="K11" i="49"/>
  <c r="J11" i="49"/>
  <c r="I11" i="49"/>
  <c r="H11" i="49"/>
  <c r="G11" i="49"/>
  <c r="F11" i="49"/>
  <c r="E11" i="49"/>
  <c r="D11" i="49"/>
  <c r="S10" i="49"/>
  <c r="S32" i="49" s="1"/>
  <c r="C11" i="35" s="1"/>
  <c r="D13" i="55" s="1"/>
  <c r="D88" i="55" s="1"/>
  <c r="R10" i="49"/>
  <c r="R32" i="49" s="1"/>
  <c r="Q10" i="49"/>
  <c r="Q32" i="49" s="1"/>
  <c r="P10" i="49"/>
  <c r="P32" i="49" s="1"/>
  <c r="O10" i="49"/>
  <c r="O32" i="49" s="1"/>
  <c r="N10" i="49"/>
  <c r="M10" i="49"/>
  <c r="L10" i="49"/>
  <c r="L32" i="49" s="1"/>
  <c r="L31" i="59" s="1"/>
  <c r="L32" i="59" s="1"/>
  <c r="K10" i="49"/>
  <c r="J10" i="49"/>
  <c r="I10" i="49"/>
  <c r="H10" i="49"/>
  <c r="H32" i="49" s="1"/>
  <c r="G10" i="49"/>
  <c r="G32" i="49" s="1"/>
  <c r="F10" i="49"/>
  <c r="E10" i="49"/>
  <c r="D10" i="49"/>
  <c r="D32" i="49" s="1"/>
  <c r="D31" i="59" s="1"/>
  <c r="D32" i="59" s="1"/>
  <c r="P46" i="30"/>
  <c r="H46" i="30"/>
  <c r="G46" i="30"/>
  <c r="F46" i="30"/>
  <c r="AB45" i="30"/>
  <c r="T45" i="30"/>
  <c r="S45" i="30"/>
  <c r="P45" i="30"/>
  <c r="AC43" i="30"/>
  <c r="AB43" i="30"/>
  <c r="AC41" i="30"/>
  <c r="AC24" i="30" s="1"/>
  <c r="AB41" i="30"/>
  <c r="AB24" i="30" s="1"/>
  <c r="AC40" i="30"/>
  <c r="AB40" i="30"/>
  <c r="AA40" i="30"/>
  <c r="Z40" i="30"/>
  <c r="Y40" i="30"/>
  <c r="X40" i="30"/>
  <c r="M40" i="30"/>
  <c r="AC39" i="30"/>
  <c r="AB39" i="30"/>
  <c r="AA39" i="30"/>
  <c r="Z39" i="30"/>
  <c r="Y39" i="30"/>
  <c r="X39" i="30"/>
  <c r="AC38" i="30"/>
  <c r="AB38" i="30"/>
  <c r="AA38" i="30"/>
  <c r="Z38" i="30"/>
  <c r="Y38" i="30"/>
  <c r="X38" i="30"/>
  <c r="T38" i="30"/>
  <c r="AC37" i="30"/>
  <c r="AB37" i="30"/>
  <c r="AA37" i="30"/>
  <c r="AA20" i="30" s="1"/>
  <c r="Z37" i="30"/>
  <c r="Y37" i="30"/>
  <c r="Y20" i="30" s="1"/>
  <c r="AC36" i="30"/>
  <c r="AB36" i="30"/>
  <c r="AA36" i="30"/>
  <c r="Z36" i="30"/>
  <c r="Y36" i="30"/>
  <c r="X36" i="30"/>
  <c r="O34" i="30"/>
  <c r="O25" i="30" s="1"/>
  <c r="N34" i="30"/>
  <c r="O33" i="30"/>
  <c r="O30" i="30"/>
  <c r="O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T23" i="30"/>
  <c r="U23" i="30" s="1"/>
  <c r="V23" i="30" s="1"/>
  <c r="W23" i="30" s="1"/>
  <c r="X23" i="30" s="1"/>
  <c r="Y23" i="30" s="1"/>
  <c r="Z23" i="30" s="1"/>
  <c r="AA23" i="30" s="1"/>
  <c r="AB23" i="30" s="1"/>
  <c r="AC23" i="30" s="1"/>
  <c r="S23" i="30"/>
  <c r="R23" i="30"/>
  <c r="Q23" i="30"/>
  <c r="P23" i="30"/>
  <c r="O23" i="30"/>
  <c r="N23" i="30"/>
  <c r="S22" i="30"/>
  <c r="R22" i="30"/>
  <c r="Q22" i="30"/>
  <c r="P22" i="30"/>
  <c r="O22" i="30"/>
  <c r="N22" i="30"/>
  <c r="X21" i="30"/>
  <c r="Y21" i="30" s="1"/>
  <c r="Z21" i="30" s="1"/>
  <c r="AA21" i="30" s="1"/>
  <c r="AB21" i="30" s="1"/>
  <c r="AC21" i="30" s="1"/>
  <c r="W21" i="30"/>
  <c r="T21" i="30"/>
  <c r="U21" i="30" s="1"/>
  <c r="V21" i="30" s="1"/>
  <c r="S21" i="30"/>
  <c r="R21" i="30"/>
  <c r="Q21" i="30"/>
  <c r="P21" i="30"/>
  <c r="O21" i="30"/>
  <c r="N21" i="30"/>
  <c r="M21" i="30"/>
  <c r="L21" i="30"/>
  <c r="K21" i="30"/>
  <c r="J21" i="30"/>
  <c r="I21" i="30"/>
  <c r="H21" i="30"/>
  <c r="H15" i="30" s="1"/>
  <c r="AC20" i="30"/>
  <c r="AB20" i="30"/>
  <c r="Z20" i="30"/>
  <c r="S20" i="30"/>
  <c r="R20" i="30"/>
  <c r="Q20" i="30"/>
  <c r="P20" i="30"/>
  <c r="O20" i="30"/>
  <c r="N20" i="30"/>
  <c r="M20" i="30"/>
  <c r="M15" i="30" s="1"/>
  <c r="L20" i="30"/>
  <c r="K20" i="30"/>
  <c r="J20" i="30"/>
  <c r="I20" i="30"/>
  <c r="H20"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N30" i="30" s="1"/>
  <c r="N29" i="30" s="1"/>
  <c r="L18" i="30"/>
  <c r="K18" i="30"/>
  <c r="J18" i="30"/>
  <c r="I18" i="30"/>
  <c r="H18" i="30"/>
  <c r="S17" i="30"/>
  <c r="T17" i="30" s="1"/>
  <c r="R17" i="30"/>
  <c r="Q17" i="30"/>
  <c r="P17" i="30"/>
  <c r="O17" i="30"/>
  <c r="N17" i="30"/>
  <c r="N15" i="30" s="1"/>
  <c r="M17" i="30"/>
  <c r="L17" i="30"/>
  <c r="K17" i="30"/>
  <c r="J17" i="30"/>
  <c r="I17" i="30"/>
  <c r="H17" i="30"/>
  <c r="S16" i="30"/>
  <c r="R16" i="30"/>
  <c r="Q16" i="30"/>
  <c r="P16" i="30"/>
  <c r="O16" i="30"/>
  <c r="N16" i="30"/>
  <c r="M16" i="30"/>
  <c r="L16" i="30"/>
  <c r="L15" i="30" s="1"/>
  <c r="K16" i="30"/>
  <c r="K15" i="30" s="1"/>
  <c r="J16" i="30"/>
  <c r="J15" i="30" s="1"/>
  <c r="I16" i="30"/>
  <c r="H16" i="30"/>
  <c r="I15" i="30"/>
  <c r="S14" i="30"/>
  <c r="R14" i="30"/>
  <c r="Q14" i="30"/>
  <c r="P14" i="30"/>
  <c r="O14" i="30"/>
  <c r="N14" i="30"/>
  <c r="N13" i="30" s="1"/>
  <c r="M14" i="30"/>
  <c r="M13" i="30" s="1"/>
  <c r="L14" i="30"/>
  <c r="L13" i="30" s="1"/>
  <c r="K14" i="30"/>
  <c r="J14" i="30"/>
  <c r="I14" i="30"/>
  <c r="H14" i="30"/>
  <c r="K13" i="30"/>
  <c r="J13" i="30"/>
  <c r="Y12" i="30"/>
  <c r="X12" i="30"/>
  <c r="G12" i="30"/>
  <c r="F12" i="30"/>
  <c r="S11" i="30"/>
  <c r="S46" i="30" s="1"/>
  <c r="R11" i="30"/>
  <c r="Q11" i="30"/>
  <c r="P11" i="30"/>
  <c r="O11" i="30"/>
  <c r="N11" i="30"/>
  <c r="M11" i="30"/>
  <c r="L11" i="30"/>
  <c r="L46" i="30" s="1"/>
  <c r="K11" i="30"/>
  <c r="K46" i="30" s="1"/>
  <c r="J11" i="30"/>
  <c r="J46" i="30" s="1"/>
  <c r="I11" i="30"/>
  <c r="I46" i="30" s="1"/>
  <c r="H11" i="30"/>
  <c r="AT71" i="20"/>
  <c r="AS71" i="20"/>
  <c r="AR71" i="20"/>
  <c r="AQ71" i="20"/>
  <c r="AP71" i="20"/>
  <c r="AO71" i="20"/>
  <c r="K63" i="20"/>
  <c r="J63" i="20"/>
  <c r="Y51" i="20"/>
  <c r="U51" i="20"/>
  <c r="R51" i="20"/>
  <c r="Q51" i="20"/>
  <c r="P51" i="20"/>
  <c r="O51" i="20"/>
  <c r="N51" i="20"/>
  <c r="M51" i="20"/>
  <c r="L51" i="20"/>
  <c r="K51" i="20"/>
  <c r="J51" i="20"/>
  <c r="I51" i="20"/>
  <c r="H51" i="20"/>
  <c r="G51" i="20"/>
  <c r="F51" i="20"/>
  <c r="E51" i="20"/>
  <c r="D51" i="20"/>
  <c r="V50" i="20"/>
  <c r="U50" i="20"/>
  <c r="T50" i="20"/>
  <c r="S50" i="20"/>
  <c r="R50" i="20"/>
  <c r="Q50" i="20"/>
  <c r="P50" i="20"/>
  <c r="O50" i="20"/>
  <c r="N50" i="20"/>
  <c r="M50" i="20"/>
  <c r="L50" i="20"/>
  <c r="K50" i="20"/>
  <c r="J50" i="20"/>
  <c r="I50" i="20"/>
  <c r="H50" i="20"/>
  <c r="G50" i="20"/>
  <c r="F50" i="20"/>
  <c r="E50" i="20"/>
  <c r="D50" i="20"/>
  <c r="V49" i="20"/>
  <c r="U49" i="20"/>
  <c r="T49" i="20"/>
  <c r="S49" i="20"/>
  <c r="R49" i="20"/>
  <c r="Q49" i="20"/>
  <c r="P49" i="20"/>
  <c r="O49" i="20"/>
  <c r="N49" i="20"/>
  <c r="M49" i="20"/>
  <c r="L49" i="20"/>
  <c r="K49" i="20"/>
  <c r="J49" i="20"/>
  <c r="I49" i="20"/>
  <c r="H49" i="20"/>
  <c r="G49" i="20"/>
  <c r="F49" i="20"/>
  <c r="E49" i="20"/>
  <c r="D49" i="20"/>
  <c r="P35" i="20"/>
  <c r="P34" i="20" s="1"/>
  <c r="AW71" i="20" s="1"/>
  <c r="N35" i="20"/>
  <c r="M35" i="20"/>
  <c r="M34" i="20" s="1"/>
  <c r="H35" i="20"/>
  <c r="AB34" i="20"/>
  <c r="AA34" i="20"/>
  <c r="Z34" i="20"/>
  <c r="Y34" i="20"/>
  <c r="X34" i="20"/>
  <c r="W34" i="20"/>
  <c r="V34" i="20"/>
  <c r="U34" i="20"/>
  <c r="BB71" i="20" s="1"/>
  <c r="T34" i="20"/>
  <c r="BA71" i="20" s="1"/>
  <c r="S32" i="20"/>
  <c r="S35" i="20" s="1"/>
  <c r="R32" i="20"/>
  <c r="R35" i="20" s="1"/>
  <c r="Q32" i="20"/>
  <c r="Q35" i="20" s="1"/>
  <c r="P32" i="20"/>
  <c r="O32" i="20"/>
  <c r="O35" i="20" s="1"/>
  <c r="N32" i="20"/>
  <c r="M32" i="20"/>
  <c r="L32" i="20"/>
  <c r="L35" i="20" s="1"/>
  <c r="K32" i="20"/>
  <c r="K35" i="20" s="1"/>
  <c r="J32" i="20"/>
  <c r="I32" i="20"/>
  <c r="H32" i="20"/>
  <c r="S13" i="20"/>
  <c r="R13" i="20"/>
  <c r="Q13" i="20"/>
  <c r="P13" i="20"/>
  <c r="O13" i="20"/>
  <c r="N13" i="20"/>
  <c r="M13" i="20"/>
  <c r="L13" i="20"/>
  <c r="K13" i="20"/>
  <c r="J13" i="20"/>
  <c r="I13" i="20"/>
  <c r="H13" i="20"/>
  <c r="S12" i="20"/>
  <c r="R12" i="20"/>
  <c r="Q12" i="20"/>
  <c r="P12" i="20"/>
  <c r="O12" i="20"/>
  <c r="N12" i="20"/>
  <c r="M12" i="20"/>
  <c r="L12" i="20"/>
  <c r="K12" i="20"/>
  <c r="J12" i="20"/>
  <c r="I12" i="20"/>
  <c r="H12" i="20"/>
  <c r="AC10" i="20"/>
  <c r="AB10" i="20"/>
  <c r="AA10" i="20"/>
  <c r="Z10" i="20"/>
  <c r="Y10" i="20"/>
  <c r="X10" i="20"/>
  <c r="W10" i="20"/>
  <c r="V10" i="20"/>
  <c r="U10" i="20"/>
  <c r="T10" i="20"/>
  <c r="S10" i="20"/>
  <c r="S9" i="20"/>
  <c r="T12" i="20" s="1"/>
  <c r="AC117" i="26"/>
  <c r="AB117" i="26"/>
  <c r="AA117" i="26"/>
  <c r="Z117" i="26"/>
  <c r="Y117" i="26"/>
  <c r="X117" i="26"/>
  <c r="W117" i="26"/>
  <c r="V117" i="26"/>
  <c r="U117" i="26"/>
  <c r="T117" i="26"/>
  <c r="S117" i="26"/>
  <c r="Q116" i="26"/>
  <c r="Q63" i="20" s="1"/>
  <c r="P116" i="26"/>
  <c r="P63" i="20" s="1"/>
  <c r="O116" i="26"/>
  <c r="O63" i="20" s="1"/>
  <c r="N116" i="26"/>
  <c r="N63" i="20" s="1"/>
  <c r="M116" i="26"/>
  <c r="M63" i="20" s="1"/>
  <c r="L116" i="26"/>
  <c r="L63" i="20" s="1"/>
  <c r="K116" i="26"/>
  <c r="J116" i="26"/>
  <c r="I116" i="26"/>
  <c r="I63" i="20" s="1"/>
  <c r="I65" i="20" s="1"/>
  <c r="H116" i="26"/>
  <c r="AD94" i="26"/>
  <c r="P93" i="26"/>
  <c r="AC91" i="26"/>
  <c r="AB91" i="26"/>
  <c r="AA91" i="26"/>
  <c r="Z91" i="26"/>
  <c r="Y91" i="26"/>
  <c r="X91" i="26"/>
  <c r="W91" i="26"/>
  <c r="V91" i="26"/>
  <c r="U91" i="26"/>
  <c r="T91" i="26"/>
  <c r="S91" i="26"/>
  <c r="AB89" i="26"/>
  <c r="AC88" i="26"/>
  <c r="AB88" i="26"/>
  <c r="AA88" i="26"/>
  <c r="Z88" i="26"/>
  <c r="Y88" i="26"/>
  <c r="W87" i="26"/>
  <c r="O87" i="26"/>
  <c r="C79" i="26"/>
  <c r="C61" i="26" s="1"/>
  <c r="C78" i="26"/>
  <c r="C77" i="26"/>
  <c r="C76" i="26"/>
  <c r="C75" i="26"/>
  <c r="C74" i="26" s="1"/>
  <c r="C73" i="26"/>
  <c r="C72" i="26"/>
  <c r="C71" i="26"/>
  <c r="C58" i="26" s="1"/>
  <c r="C70" i="26"/>
  <c r="C69" i="26"/>
  <c r="C64" i="26"/>
  <c r="C57" i="26"/>
  <c r="C56" i="26"/>
  <c r="Y49" i="26"/>
  <c r="Y17" i="26" s="1"/>
  <c r="X49" i="26"/>
  <c r="S49" i="26"/>
  <c r="AA48" i="26"/>
  <c r="Y48" i="26"/>
  <c r="W48" i="26"/>
  <c r="S48" i="26"/>
  <c r="O48" i="26"/>
  <c r="Z47" i="26"/>
  <c r="W47" i="26"/>
  <c r="W13" i="26" s="1"/>
  <c r="U47" i="26"/>
  <c r="S47" i="26"/>
  <c r="N47" i="26"/>
  <c r="Q46" i="26"/>
  <c r="S45" i="26"/>
  <c r="X44" i="26"/>
  <c r="W44" i="26"/>
  <c r="V44" i="26"/>
  <c r="U44" i="26"/>
  <c r="T44" i="26"/>
  <c r="T16" i="26" s="1"/>
  <c r="T89" i="26" s="1"/>
  <c r="S44" i="26"/>
  <c r="R44" i="26"/>
  <c r="R16" i="26" s="1"/>
  <c r="R89" i="26" s="1"/>
  <c r="Q44" i="26"/>
  <c r="Q16" i="26" s="1"/>
  <c r="Q89" i="26" s="1"/>
  <c r="P44" i="26"/>
  <c r="O44" i="26"/>
  <c r="N44" i="26"/>
  <c r="M44" i="26"/>
  <c r="X43" i="26"/>
  <c r="W43" i="26"/>
  <c r="V43" i="26"/>
  <c r="V16" i="26" s="1"/>
  <c r="V89" i="26" s="1"/>
  <c r="U43" i="26"/>
  <c r="T43" i="26"/>
  <c r="S43" i="26"/>
  <c r="R43" i="26"/>
  <c r="Q43" i="26"/>
  <c r="P43" i="26"/>
  <c r="O43" i="26"/>
  <c r="N43" i="26"/>
  <c r="N16" i="26" s="1"/>
  <c r="N89" i="26" s="1"/>
  <c r="M43" i="26"/>
  <c r="AD43" i="26" s="1"/>
  <c r="W42" i="26"/>
  <c r="V42" i="26"/>
  <c r="T42" i="26"/>
  <c r="S42" i="26"/>
  <c r="R42" i="26"/>
  <c r="Q42" i="26"/>
  <c r="O42" i="26"/>
  <c r="N42" i="26"/>
  <c r="N41" i="26"/>
  <c r="AD41" i="26" s="1"/>
  <c r="M41" i="26"/>
  <c r="AC39" i="26"/>
  <c r="AB39" i="26"/>
  <c r="AA39" i="26"/>
  <c r="Z39" i="26"/>
  <c r="Y39" i="26"/>
  <c r="AD38" i="26"/>
  <c r="AD37" i="26"/>
  <c r="J36" i="26"/>
  <c r="AD36" i="26" s="1"/>
  <c r="AE12" i="26" s="1"/>
  <c r="P35" i="26"/>
  <c r="O35" i="26"/>
  <c r="N35" i="26"/>
  <c r="M35" i="26"/>
  <c r="L35" i="26"/>
  <c r="K35" i="26"/>
  <c r="J35" i="26"/>
  <c r="J20" i="26"/>
  <c r="J90" i="26" s="1"/>
  <c r="J85" i="26" s="1"/>
  <c r="AC19" i="26"/>
  <c r="AB19" i="26"/>
  <c r="AA19" i="26"/>
  <c r="Z19" i="26"/>
  <c r="Y19" i="26"/>
  <c r="X19" i="26"/>
  <c r="W19" i="26"/>
  <c r="V19" i="26"/>
  <c r="U19" i="26"/>
  <c r="T19" i="26"/>
  <c r="S19" i="26"/>
  <c r="R19" i="26"/>
  <c r="Q19" i="26"/>
  <c r="P19" i="26"/>
  <c r="O19" i="26"/>
  <c r="N19" i="26"/>
  <c r="AD19" i="26" s="1"/>
  <c r="M19" i="26"/>
  <c r="L19" i="26"/>
  <c r="K19" i="26"/>
  <c r="S18" i="26"/>
  <c r="Q18" i="26"/>
  <c r="P18" i="26"/>
  <c r="X17" i="26"/>
  <c r="S17" i="26"/>
  <c r="AC16" i="26"/>
  <c r="AC89" i="26" s="1"/>
  <c r="AB16" i="26"/>
  <c r="AA16" i="26"/>
  <c r="AA89" i="26" s="1"/>
  <c r="Z16" i="26"/>
  <c r="Z89" i="26" s="1"/>
  <c r="Y16" i="26"/>
  <c r="Y89" i="26" s="1"/>
  <c r="X16" i="26"/>
  <c r="X89" i="26" s="1"/>
  <c r="W16" i="26"/>
  <c r="W89" i="26" s="1"/>
  <c r="U16" i="26"/>
  <c r="U89" i="26" s="1"/>
  <c r="S16" i="26"/>
  <c r="S89" i="26" s="1"/>
  <c r="P16" i="26"/>
  <c r="P89" i="26" s="1"/>
  <c r="O16" i="26"/>
  <c r="O89" i="26" s="1"/>
  <c r="M16" i="26"/>
  <c r="AD16" i="26" s="1"/>
  <c r="AC15" i="26"/>
  <c r="AB15" i="26"/>
  <c r="AA15" i="26"/>
  <c r="Z15" i="26"/>
  <c r="Y15" i="26"/>
  <c r="AC14" i="26"/>
  <c r="AC87" i="26" s="1"/>
  <c r="AB14" i="26"/>
  <c r="AB87" i="26" s="1"/>
  <c r="AA14" i="26"/>
  <c r="AA87" i="26" s="1"/>
  <c r="Z14" i="26"/>
  <c r="Z87" i="26" s="1"/>
  <c r="Y14" i="26"/>
  <c r="Y87" i="26" s="1"/>
  <c r="X14" i="26"/>
  <c r="X87" i="26" s="1"/>
  <c r="W14" i="26"/>
  <c r="V14" i="26"/>
  <c r="V87" i="26" s="1"/>
  <c r="U14" i="26"/>
  <c r="U87" i="26" s="1"/>
  <c r="T14" i="26"/>
  <c r="T87" i="26" s="1"/>
  <c r="S14" i="26"/>
  <c r="S87" i="26" s="1"/>
  <c r="R14" i="26"/>
  <c r="R87" i="26" s="1"/>
  <c r="Q14" i="26"/>
  <c r="Q87" i="26" s="1"/>
  <c r="P14" i="26"/>
  <c r="P87" i="26" s="1"/>
  <c r="O14" i="26"/>
  <c r="N14" i="26"/>
  <c r="N87" i="26" s="1"/>
  <c r="M14" i="26"/>
  <c r="L14" i="26"/>
  <c r="L87" i="26" s="1"/>
  <c r="K14" i="26"/>
  <c r="K87" i="26" s="1"/>
  <c r="J14" i="26"/>
  <c r="J87" i="26" s="1"/>
  <c r="U13" i="26"/>
  <c r="S13" i="26"/>
  <c r="S93" i="26" s="1"/>
  <c r="R13" i="26"/>
  <c r="R93" i="26" s="1"/>
  <c r="Q13" i="26"/>
  <c r="Q93" i="26" s="1"/>
  <c r="P13" i="26"/>
  <c r="O13" i="26"/>
  <c r="O93" i="26" s="1"/>
  <c r="N13" i="26"/>
  <c r="N93" i="26" s="1"/>
  <c r="M13" i="26"/>
  <c r="M93" i="26" s="1"/>
  <c r="L13" i="26"/>
  <c r="L93" i="26" s="1"/>
  <c r="K13" i="26"/>
  <c r="K93" i="26" s="1"/>
  <c r="J13" i="26"/>
  <c r="J93" i="26" s="1"/>
  <c r="AD12" i="26"/>
  <c r="J12" i="26"/>
  <c r="D56" i="26" s="1"/>
  <c r="S11" i="26"/>
  <c r="R11" i="26"/>
  <c r="Q11" i="26"/>
  <c r="L11" i="26"/>
  <c r="K11" i="26"/>
  <c r="K20" i="26" s="1"/>
  <c r="K90" i="26" s="1"/>
  <c r="K85" i="26" s="1"/>
  <c r="J11" i="26"/>
  <c r="I11" i="26"/>
  <c r="I20" i="26" s="1"/>
  <c r="I90" i="26" s="1"/>
  <c r="I85" i="26" s="1"/>
  <c r="I64" i="20" s="1"/>
  <c r="D11" i="26"/>
  <c r="D20" i="26" s="1"/>
  <c r="S10" i="26"/>
  <c r="R10" i="26"/>
  <c r="Q10" i="26"/>
  <c r="P10" i="26"/>
  <c r="O10" i="26"/>
  <c r="N10" i="26"/>
  <c r="M10" i="26"/>
  <c r="L10" i="26"/>
  <c r="K10" i="26"/>
  <c r="J10" i="26"/>
  <c r="I10" i="26"/>
  <c r="H10" i="26"/>
  <c r="G10" i="26"/>
  <c r="F10" i="26"/>
  <c r="E10" i="26"/>
  <c r="D10" i="26"/>
  <c r="S9" i="26"/>
  <c r="R9" i="26"/>
  <c r="Q9" i="26"/>
  <c r="P9" i="26"/>
  <c r="P11" i="26" s="1"/>
  <c r="O9" i="26"/>
  <c r="O11" i="26" s="1"/>
  <c r="N9" i="26"/>
  <c r="M9" i="26"/>
  <c r="L9" i="26"/>
  <c r="K9" i="26"/>
  <c r="J9" i="26"/>
  <c r="I9" i="26"/>
  <c r="H9" i="26"/>
  <c r="H11" i="26" s="1"/>
  <c r="H20" i="26" s="1"/>
  <c r="H90" i="26" s="1"/>
  <c r="H85" i="26" s="1"/>
  <c r="H64" i="20" s="1"/>
  <c r="G9" i="26"/>
  <c r="G11" i="26" s="1"/>
  <c r="G20" i="26" s="1"/>
  <c r="F9" i="26"/>
  <c r="E9" i="26"/>
  <c r="D9" i="26"/>
  <c r="D54" i="25"/>
  <c r="D51" i="25"/>
  <c r="D48" i="25"/>
  <c r="D45" i="25"/>
  <c r="Q22" i="25" s="1"/>
  <c r="D42" i="25"/>
  <c r="P22" i="25" s="1"/>
  <c r="D39" i="25"/>
  <c r="D36" i="25"/>
  <c r="N22" i="25" s="1"/>
  <c r="D33" i="25"/>
  <c r="S22" i="25"/>
  <c r="R22" i="25"/>
  <c r="O22" i="25"/>
  <c r="M22" i="25"/>
  <c r="P20" i="25"/>
  <c r="H20" i="25"/>
  <c r="F20" i="25"/>
  <c r="F19" i="25"/>
  <c r="S18" i="25"/>
  <c r="R18" i="25"/>
  <c r="Q18" i="25"/>
  <c r="P18" i="25"/>
  <c r="O18" i="25"/>
  <c r="N18" i="25"/>
  <c r="M18" i="25"/>
  <c r="L18" i="25"/>
  <c r="K18" i="25"/>
  <c r="J18" i="25"/>
  <c r="I18" i="25"/>
  <c r="H18" i="25"/>
  <c r="G18" i="25"/>
  <c r="F18" i="25"/>
  <c r="E18" i="25"/>
  <c r="D18" i="25"/>
  <c r="S17" i="25"/>
  <c r="T17" i="25" s="1"/>
  <c r="U17" i="25" s="1"/>
  <c r="V17" i="25" s="1"/>
  <c r="W17" i="25" s="1"/>
  <c r="X17" i="25" s="1"/>
  <c r="Y17" i="25" s="1"/>
  <c r="Z17" i="25" s="1"/>
  <c r="AA17" i="25" s="1"/>
  <c r="AB17" i="25" s="1"/>
  <c r="AC17" i="25" s="1"/>
  <c r="R17" i="25"/>
  <c r="R13" i="25" s="1"/>
  <c r="Q17" i="25"/>
  <c r="P17" i="25"/>
  <c r="O17" i="25"/>
  <c r="N17" i="25"/>
  <c r="M17" i="25"/>
  <c r="L17" i="25"/>
  <c r="K17" i="25"/>
  <c r="K13" i="25" s="1"/>
  <c r="J17" i="25"/>
  <c r="I17" i="25"/>
  <c r="H17" i="25"/>
  <c r="G17" i="25"/>
  <c r="F17" i="25"/>
  <c r="E17" i="25"/>
  <c r="D17" i="25"/>
  <c r="U16" i="25"/>
  <c r="V16" i="25" s="1"/>
  <c r="W16" i="25" s="1"/>
  <c r="X16" i="25" s="1"/>
  <c r="Y16" i="25" s="1"/>
  <c r="Z16" i="25" s="1"/>
  <c r="AA16" i="25" s="1"/>
  <c r="AB16" i="25" s="1"/>
  <c r="AC16" i="25" s="1"/>
  <c r="T16" i="25"/>
  <c r="S16" i="25"/>
  <c r="R16" i="25"/>
  <c r="Q16" i="25"/>
  <c r="P16" i="25"/>
  <c r="O16" i="25"/>
  <c r="N16" i="25"/>
  <c r="M16" i="25"/>
  <c r="M13" i="25" s="1"/>
  <c r="L16" i="25"/>
  <c r="K16" i="25"/>
  <c r="J16" i="25"/>
  <c r="I16" i="25"/>
  <c r="H16" i="25"/>
  <c r="G16" i="25"/>
  <c r="F16" i="25"/>
  <c r="E16" i="25"/>
  <c r="D16" i="25"/>
  <c r="T15" i="25"/>
  <c r="U15" i="25" s="1"/>
  <c r="V15" i="25" s="1"/>
  <c r="W15" i="25" s="1"/>
  <c r="X15" i="25" s="1"/>
  <c r="Y15" i="25" s="1"/>
  <c r="Z15" i="25" s="1"/>
  <c r="AA15" i="25" s="1"/>
  <c r="AB15" i="25" s="1"/>
  <c r="AC15" i="25" s="1"/>
  <c r="S15" i="25"/>
  <c r="R15" i="25"/>
  <c r="Q15" i="25"/>
  <c r="P15" i="25"/>
  <c r="O15" i="25"/>
  <c r="O13" i="25" s="1"/>
  <c r="N15" i="25"/>
  <c r="M15" i="25"/>
  <c r="L15" i="25"/>
  <c r="L13" i="25" s="1"/>
  <c r="K15" i="25"/>
  <c r="J15" i="25"/>
  <c r="I15" i="25"/>
  <c r="H15" i="25"/>
  <c r="G15" i="25"/>
  <c r="F15" i="25"/>
  <c r="E15" i="25"/>
  <c r="D15" i="25"/>
  <c r="S14" i="25"/>
  <c r="R14" i="25"/>
  <c r="Q14" i="25"/>
  <c r="P14" i="25"/>
  <c r="P13" i="25" s="1"/>
  <c r="O14" i="25"/>
  <c r="N14" i="25"/>
  <c r="N13" i="25" s="1"/>
  <c r="N20" i="25" s="1"/>
  <c r="M14" i="25"/>
  <c r="L14" i="25"/>
  <c r="K14" i="25"/>
  <c r="J14" i="25"/>
  <c r="I14" i="25"/>
  <c r="H14" i="25"/>
  <c r="H13" i="25" s="1"/>
  <c r="G14" i="25"/>
  <c r="F14" i="25"/>
  <c r="E14" i="25"/>
  <c r="D14" i="25"/>
  <c r="S13" i="25"/>
  <c r="I13" i="25"/>
  <c r="S12" i="25"/>
  <c r="T12" i="25" s="1"/>
  <c r="R12" i="25"/>
  <c r="Q12" i="25"/>
  <c r="P12" i="25"/>
  <c r="O12" i="25"/>
  <c r="N12" i="25"/>
  <c r="M12" i="25"/>
  <c r="L12" i="25"/>
  <c r="K12" i="25"/>
  <c r="J12" i="25"/>
  <c r="I12" i="25"/>
  <c r="H12" i="25"/>
  <c r="G12" i="25"/>
  <c r="F12" i="25"/>
  <c r="E12" i="25"/>
  <c r="D12" i="25"/>
  <c r="S11" i="25"/>
  <c r="R11" i="25"/>
  <c r="Q11" i="25"/>
  <c r="Q20" i="25" s="1"/>
  <c r="P11" i="25"/>
  <c r="O11" i="25"/>
  <c r="N11" i="25"/>
  <c r="M11" i="25"/>
  <c r="M20" i="25" s="1"/>
  <c r="L11" i="25"/>
  <c r="K11" i="25"/>
  <c r="J11" i="25"/>
  <c r="I11" i="25"/>
  <c r="H11" i="25"/>
  <c r="G11" i="25"/>
  <c r="G20" i="25" s="1"/>
  <c r="F11" i="25"/>
  <c r="E11" i="25"/>
  <c r="E20" i="25" s="1"/>
  <c r="D11" i="25"/>
  <c r="D20" i="25" s="1"/>
  <c r="O14" i="56"/>
  <c r="O13" i="56"/>
  <c r="O12" i="56"/>
  <c r="O11" i="56"/>
  <c r="O10" i="56"/>
  <c r="O9" i="56"/>
  <c r="O8" i="56"/>
  <c r="O7" i="56"/>
  <c r="O6" i="56"/>
  <c r="O5" i="56"/>
  <c r="O4" i="56"/>
  <c r="E2" i="56"/>
  <c r="F2" i="56" s="1"/>
  <c r="G2" i="56" s="1"/>
  <c r="H2" i="56" s="1"/>
  <c r="I2" i="56" s="1"/>
  <c r="J2" i="56" s="1"/>
  <c r="K2" i="56" s="1"/>
  <c r="L2" i="56" s="1"/>
  <c r="M2" i="56" s="1"/>
  <c r="N2" i="56" s="1"/>
  <c r="D2" i="56"/>
  <c r="Q17" i="40"/>
  <c r="Q16" i="40"/>
  <c r="O14" i="40"/>
  <c r="O16" i="40" s="1"/>
  <c r="N14" i="40"/>
  <c r="S13" i="40"/>
  <c r="R13" i="40"/>
  <c r="Q13" i="40"/>
  <c r="Q14" i="40" s="1"/>
  <c r="Q15" i="40" s="1"/>
  <c r="P13" i="40"/>
  <c r="O13" i="40"/>
  <c r="N13" i="40"/>
  <c r="M13" i="40"/>
  <c r="L13" i="40"/>
  <c r="K13" i="40"/>
  <c r="J13" i="40"/>
  <c r="S12" i="40"/>
  <c r="R12" i="40"/>
  <c r="Q12" i="40"/>
  <c r="P12" i="40"/>
  <c r="O12" i="40"/>
  <c r="N12" i="40"/>
  <c r="N16" i="40" s="1"/>
  <c r="M12" i="40"/>
  <c r="L12" i="40"/>
  <c r="K12" i="40"/>
  <c r="J12" i="40"/>
  <c r="T11" i="40"/>
  <c r="T19" i="59" s="1"/>
  <c r="S11" i="40"/>
  <c r="S19" i="59" s="1"/>
  <c r="R11" i="40"/>
  <c r="R19" i="59" s="1"/>
  <c r="R24" i="59" s="1"/>
  <c r="Q11" i="40"/>
  <c r="Q19" i="59" s="1"/>
  <c r="P11" i="40"/>
  <c r="P19" i="59" s="1"/>
  <c r="O11" i="40"/>
  <c r="N11" i="40"/>
  <c r="M11" i="40"/>
  <c r="M19" i="59" s="1"/>
  <c r="L11" i="40"/>
  <c r="K11" i="40"/>
  <c r="K19" i="59" s="1"/>
  <c r="K24" i="59" s="1"/>
  <c r="D5" i="50" s="1"/>
  <c r="J11" i="40"/>
  <c r="J19" i="59" s="1"/>
  <c r="J24" i="59" s="1"/>
  <c r="L69" i="38"/>
  <c r="L66" i="38"/>
  <c r="L71" i="38" s="1"/>
  <c r="L65" i="38"/>
  <c r="L64" i="38"/>
  <c r="L67" i="38" s="1"/>
  <c r="P54" i="38"/>
  <c r="P55" i="38" s="1"/>
  <c r="P56" i="38" s="1"/>
  <c r="O54" i="38"/>
  <c r="N54" i="38"/>
  <c r="N55" i="38" s="1"/>
  <c r="M54" i="38"/>
  <c r="L54" i="38"/>
  <c r="L55" i="38" s="1"/>
  <c r="N48" i="38" s="1"/>
  <c r="K54" i="38"/>
  <c r="J54" i="38"/>
  <c r="J55" i="38" s="1"/>
  <c r="J56" i="38" s="1"/>
  <c r="P53" i="38"/>
  <c r="P22" i="59" s="1"/>
  <c r="O53" i="38"/>
  <c r="N53" i="38"/>
  <c r="M53" i="38"/>
  <c r="L53" i="38"/>
  <c r="L22" i="59" s="1"/>
  <c r="K53" i="38"/>
  <c r="K22" i="59" s="1"/>
  <c r="J53" i="38"/>
  <c r="J22" i="59" s="1"/>
  <c r="Q45" i="38"/>
  <c r="J45" i="38"/>
  <c r="Q44" i="38"/>
  <c r="J44" i="38"/>
  <c r="J43" i="38"/>
  <c r="J42" i="38"/>
  <c r="Q42" i="38" s="1"/>
  <c r="S41" i="38"/>
  <c r="S42" i="38" s="1"/>
  <c r="S43" i="38" s="1"/>
  <c r="S44" i="38" s="1"/>
  <c r="S45" i="38" s="1"/>
  <c r="Q41" i="38"/>
  <c r="J41" i="38"/>
  <c r="Q40" i="38"/>
  <c r="J40" i="38"/>
  <c r="J39" i="38"/>
  <c r="T38" i="38"/>
  <c r="S38" i="38"/>
  <c r="S39" i="38" s="1"/>
  <c r="S40" i="38" s="1"/>
  <c r="J38" i="38"/>
  <c r="Q38" i="38" s="1"/>
  <c r="Q37" i="38"/>
  <c r="R37" i="38" s="1"/>
  <c r="P37" i="38"/>
  <c r="J37" i="38"/>
  <c r="J36" i="38"/>
  <c r="J35" i="38"/>
  <c r="P35" i="38" s="1"/>
  <c r="P34" i="38"/>
  <c r="J34" i="38"/>
  <c r="P33" i="38"/>
  <c r="J33" i="38"/>
  <c r="J32" i="38"/>
  <c r="J31" i="38"/>
  <c r="P31" i="38" s="1"/>
  <c r="T30" i="38"/>
  <c r="T31" i="38" s="1"/>
  <c r="T32" i="38" s="1"/>
  <c r="T33" i="38" s="1"/>
  <c r="T34" i="38" s="1"/>
  <c r="T35" i="38" s="1"/>
  <c r="T36" i="38" s="1"/>
  <c r="S30" i="38"/>
  <c r="P30" i="38"/>
  <c r="J30" i="38"/>
  <c r="S29" i="38"/>
  <c r="P29" i="38"/>
  <c r="Q29" i="38" s="1"/>
  <c r="O29" i="38"/>
  <c r="J29" i="38"/>
  <c r="T28" i="38"/>
  <c r="T29" i="38" s="1"/>
  <c r="S28" i="38"/>
  <c r="O28" i="38"/>
  <c r="J28" i="38"/>
  <c r="Q27" i="38"/>
  <c r="P27" i="38"/>
  <c r="O27" i="38"/>
  <c r="J27" i="38"/>
  <c r="J26" i="38"/>
  <c r="J25" i="38"/>
  <c r="N25" i="38" s="1"/>
  <c r="S24" i="38"/>
  <c r="N24" i="38"/>
  <c r="J24" i="38"/>
  <c r="S23" i="38"/>
  <c r="J23" i="38"/>
  <c r="J22" i="38"/>
  <c r="M22" i="38" s="1"/>
  <c r="N22" i="38" s="1"/>
  <c r="J21" i="38"/>
  <c r="M20" i="38"/>
  <c r="J20" i="38"/>
  <c r="J19" i="38"/>
  <c r="M18" i="38"/>
  <c r="J18" i="38"/>
  <c r="M17" i="38"/>
  <c r="J17" i="38"/>
  <c r="J16" i="38"/>
  <c r="S15" i="38"/>
  <c r="M15" i="38"/>
  <c r="J15" i="38"/>
  <c r="S14" i="38"/>
  <c r="M14" i="38"/>
  <c r="L14" i="38"/>
  <c r="J14" i="38"/>
  <c r="M13" i="38"/>
  <c r="J13" i="38"/>
  <c r="L13" i="38" s="1"/>
  <c r="N13" i="38" s="1"/>
  <c r="M12" i="38"/>
  <c r="J12" i="38"/>
  <c r="M11" i="38"/>
  <c r="J11" i="38"/>
  <c r="L11" i="38" s="1"/>
  <c r="J9" i="50"/>
  <c r="H9" i="50"/>
  <c r="G9" i="50"/>
  <c r="F9" i="50"/>
  <c r="E9" i="50"/>
  <c r="D9" i="50"/>
  <c r="C9" i="50"/>
  <c r="L7" i="50"/>
  <c r="L6" i="50"/>
  <c r="I6" i="50"/>
  <c r="E6" i="50"/>
  <c r="D6" i="50"/>
  <c r="C6" i="50"/>
  <c r="K5" i="50"/>
  <c r="C5" i="50"/>
  <c r="J4" i="50"/>
  <c r="E4" i="50"/>
  <c r="D4" i="50"/>
  <c r="C4" i="50"/>
  <c r="N51" i="62"/>
  <c r="M46" i="62"/>
  <c r="M42" i="62"/>
  <c r="M23" i="35"/>
  <c r="L23" i="35"/>
  <c r="K23" i="35"/>
  <c r="J23" i="35"/>
  <c r="I23" i="35"/>
  <c r="J25" i="55" s="1"/>
  <c r="J100" i="55" s="1"/>
  <c r="H23" i="35"/>
  <c r="I25" i="55" s="1"/>
  <c r="G23" i="35"/>
  <c r="H25" i="55" s="1"/>
  <c r="E23" i="35"/>
  <c r="D23" i="35"/>
  <c r="C23" i="35"/>
  <c r="H22" i="35"/>
  <c r="G22" i="35"/>
  <c r="F22" i="35"/>
  <c r="D22" i="35"/>
  <c r="C22" i="35"/>
  <c r="L8" i="50" s="1"/>
  <c r="C21" i="35"/>
  <c r="C20" i="35"/>
  <c r="J16" i="35"/>
  <c r="J15" i="35"/>
  <c r="M14" i="35"/>
  <c r="L14" i="35"/>
  <c r="K14" i="35"/>
  <c r="L16" i="55" s="1"/>
  <c r="J14" i="35"/>
  <c r="K16" i="55" s="1"/>
  <c r="I14" i="35"/>
  <c r="H14" i="35"/>
  <c r="G14" i="35"/>
  <c r="F14" i="35"/>
  <c r="E14" i="35"/>
  <c r="D14" i="35"/>
  <c r="C14" i="35"/>
  <c r="D16" i="55" s="1"/>
  <c r="M13" i="35"/>
  <c r="L13" i="35"/>
  <c r="K13" i="35"/>
  <c r="J13" i="35"/>
  <c r="I13" i="35"/>
  <c r="H13" i="35"/>
  <c r="G13" i="35"/>
  <c r="F13" i="35"/>
  <c r="E13" i="35"/>
  <c r="D13" i="35"/>
  <c r="C13" i="35"/>
  <c r="C12" i="35"/>
  <c r="M8" i="35"/>
  <c r="N10" i="55" s="1"/>
  <c r="L8" i="35"/>
  <c r="K8" i="35"/>
  <c r="J8" i="35"/>
  <c r="K10" i="55" s="1"/>
  <c r="I8" i="35"/>
  <c r="H8" i="35"/>
  <c r="G8" i="35"/>
  <c r="F8" i="35"/>
  <c r="E8" i="35"/>
  <c r="F10" i="55" s="1"/>
  <c r="D8" i="35"/>
  <c r="L7" i="35"/>
  <c r="D7" i="35"/>
  <c r="C7" i="35"/>
  <c r="C6" i="35"/>
  <c r="C4" i="35"/>
  <c r="K100" i="55"/>
  <c r="K92" i="55"/>
  <c r="N91" i="55"/>
  <c r="G91" i="55"/>
  <c r="F91" i="55"/>
  <c r="I90" i="55"/>
  <c r="M85" i="55"/>
  <c r="D83" i="55"/>
  <c r="N75" i="55"/>
  <c r="K75" i="55"/>
  <c r="J75" i="55"/>
  <c r="G75" i="55"/>
  <c r="F75" i="55"/>
  <c r="G74" i="55"/>
  <c r="E74" i="55"/>
  <c r="D73" i="55"/>
  <c r="K67" i="55"/>
  <c r="N66" i="55"/>
  <c r="M66" i="55"/>
  <c r="G66" i="55"/>
  <c r="F66" i="55"/>
  <c r="E66" i="55"/>
  <c r="M65" i="55"/>
  <c r="L65" i="55"/>
  <c r="I65" i="55"/>
  <c r="H65" i="55"/>
  <c r="D65" i="55"/>
  <c r="D56" i="55"/>
  <c r="N25" i="55"/>
  <c r="N100" i="55" s="1"/>
  <c r="M25" i="55"/>
  <c r="L25" i="55"/>
  <c r="K25" i="55"/>
  <c r="G25" i="55"/>
  <c r="G100" i="55" s="1"/>
  <c r="F25" i="55"/>
  <c r="F100" i="55" s="1"/>
  <c r="E25" i="55"/>
  <c r="D25" i="55"/>
  <c r="C25" i="55"/>
  <c r="B25" i="55"/>
  <c r="I24" i="55"/>
  <c r="H24" i="55"/>
  <c r="H99" i="55" s="1"/>
  <c r="G24" i="55"/>
  <c r="G99" i="55" s="1"/>
  <c r="E24" i="55"/>
  <c r="E99" i="55" s="1"/>
  <c r="D24" i="55"/>
  <c r="D99" i="55" s="1"/>
  <c r="C24" i="55"/>
  <c r="B24" i="55"/>
  <c r="D23" i="55"/>
  <c r="D98" i="55" s="1"/>
  <c r="C23" i="55"/>
  <c r="B23" i="55"/>
  <c r="D22" i="55"/>
  <c r="D72" i="55" s="1"/>
  <c r="C22" i="55"/>
  <c r="B22" i="55"/>
  <c r="C21" i="55"/>
  <c r="B21" i="55"/>
  <c r="C20" i="55"/>
  <c r="B20" i="55"/>
  <c r="C19" i="55"/>
  <c r="B19" i="55"/>
  <c r="K18" i="55"/>
  <c r="K93" i="55" s="1"/>
  <c r="C18" i="55"/>
  <c r="B18" i="55"/>
  <c r="K17" i="55"/>
  <c r="C17" i="55"/>
  <c r="B17" i="55"/>
  <c r="N16" i="55"/>
  <c r="M16" i="55"/>
  <c r="M91" i="55" s="1"/>
  <c r="J16" i="55"/>
  <c r="I16" i="55"/>
  <c r="H16" i="55"/>
  <c r="H91" i="55" s="1"/>
  <c r="G16" i="55"/>
  <c r="F16" i="55"/>
  <c r="E16" i="55"/>
  <c r="E91" i="55" s="1"/>
  <c r="C16" i="55"/>
  <c r="B16" i="55"/>
  <c r="N15" i="55"/>
  <c r="M15" i="55"/>
  <c r="M90" i="55" s="1"/>
  <c r="L15" i="55"/>
  <c r="L90" i="55" s="1"/>
  <c r="K15" i="55"/>
  <c r="K90" i="55" s="1"/>
  <c r="J15" i="55"/>
  <c r="J90" i="55" s="1"/>
  <c r="I15" i="55"/>
  <c r="H15" i="55"/>
  <c r="H90" i="55" s="1"/>
  <c r="G15" i="55"/>
  <c r="F15" i="55"/>
  <c r="E15" i="55"/>
  <c r="E90" i="55" s="1"/>
  <c r="D15" i="55"/>
  <c r="D90" i="55" s="1"/>
  <c r="C15" i="55"/>
  <c r="B15" i="55"/>
  <c r="D14" i="55"/>
  <c r="D89" i="55" s="1"/>
  <c r="C14" i="55"/>
  <c r="B14" i="55"/>
  <c r="C13" i="55"/>
  <c r="B13" i="55"/>
  <c r="C12" i="55"/>
  <c r="B12" i="55"/>
  <c r="C11" i="55"/>
  <c r="B11" i="55"/>
  <c r="M10" i="55"/>
  <c r="M60" i="55" s="1"/>
  <c r="L10" i="55"/>
  <c r="L85" i="55" s="1"/>
  <c r="J10" i="55"/>
  <c r="J85" i="55" s="1"/>
  <c r="I10" i="55"/>
  <c r="I85" i="55" s="1"/>
  <c r="H10" i="55"/>
  <c r="H85" i="55" s="1"/>
  <c r="G10" i="55"/>
  <c r="G85" i="55" s="1"/>
  <c r="E10" i="55"/>
  <c r="E60" i="55" s="1"/>
  <c r="C10" i="55"/>
  <c r="B10" i="55"/>
  <c r="M9" i="55"/>
  <c r="E9" i="55"/>
  <c r="D9" i="55"/>
  <c r="C9" i="55"/>
  <c r="B9" i="55"/>
  <c r="D8" i="55"/>
  <c r="D58" i="55" s="1"/>
  <c r="C8" i="55"/>
  <c r="B8" i="55"/>
  <c r="C7" i="55"/>
  <c r="B7" i="55"/>
  <c r="D6" i="55"/>
  <c r="D81" i="55" s="1"/>
  <c r="C6" i="55"/>
  <c r="B6" i="55"/>
  <c r="C5" i="55"/>
  <c r="B5" i="55"/>
  <c r="C4" i="55"/>
  <c r="B4" i="55"/>
  <c r="K3"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F75" i="46"/>
  <c r="G75" i="46" s="1"/>
  <c r="E75" i="46"/>
  <c r="C75" i="46"/>
  <c r="E74" i="46"/>
  <c r="F74" i="46" s="1"/>
  <c r="G74" i="46" s="1"/>
  <c r="C74" i="46"/>
  <c r="F73" i="46"/>
  <c r="G73" i="46" s="1"/>
  <c r="E73" i="46"/>
  <c r="C73" i="46"/>
  <c r="E72" i="46"/>
  <c r="F72" i="46" s="1"/>
  <c r="G72" i="46" s="1"/>
  <c r="C72" i="46"/>
  <c r="E71" i="46"/>
  <c r="F71" i="46" s="1"/>
  <c r="G71" i="46" s="1"/>
  <c r="C71" i="46"/>
  <c r="E70" i="46"/>
  <c r="F70" i="46" s="1"/>
  <c r="G70" i="46" s="1"/>
  <c r="C70" i="46"/>
  <c r="F69" i="46"/>
  <c r="G69" i="46" s="1"/>
  <c r="E69" i="46"/>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F59" i="46"/>
  <c r="G59" i="46" s="1"/>
  <c r="E59" i="46"/>
  <c r="C59" i="46"/>
  <c r="E58" i="46"/>
  <c r="F58" i="46" s="1"/>
  <c r="G58" i="46" s="1"/>
  <c r="C58" i="46"/>
  <c r="E57" i="46"/>
  <c r="F57" i="46" s="1"/>
  <c r="C57" i="46"/>
  <c r="E56" i="46"/>
  <c r="F56" i="46" s="1"/>
  <c r="G56" i="46" s="1"/>
  <c r="C56" i="46"/>
  <c r="E55" i="46"/>
  <c r="F55" i="46" s="1"/>
  <c r="G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F28" i="46"/>
  <c r="G28" i="46" s="1"/>
  <c r="E28" i="46"/>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K12" i="49" l="1"/>
  <c r="K34" i="49" s="1"/>
  <c r="S12" i="49"/>
  <c r="E12" i="49"/>
  <c r="M12" i="49"/>
  <c r="D12" i="49"/>
  <c r="D34" i="49" s="1"/>
  <c r="G12" i="49"/>
  <c r="G34" i="49" s="1"/>
  <c r="G35" i="49" s="1"/>
  <c r="O12" i="49"/>
  <c r="O34" i="49" s="1"/>
  <c r="O35" i="49" s="1"/>
  <c r="H12" i="49"/>
  <c r="H34" i="49" s="1"/>
  <c r="P12" i="49"/>
  <c r="P34" i="49" s="1"/>
  <c r="I12" i="49"/>
  <c r="I34" i="49" s="1"/>
  <c r="Q12" i="49"/>
  <c r="Q34" i="49" s="1"/>
  <c r="J12" i="49"/>
  <c r="J34" i="49" s="1"/>
  <c r="J35" i="49" s="1"/>
  <c r="R12" i="49"/>
  <c r="E24" i="49" s="1"/>
  <c r="E25" i="49" s="1"/>
  <c r="E26" i="49" s="1"/>
  <c r="G90" i="55"/>
  <c r="G65" i="55"/>
  <c r="K66" i="55"/>
  <c r="K91" i="55"/>
  <c r="G60" i="55"/>
  <c r="N19" i="25"/>
  <c r="N14" i="59" s="1"/>
  <c r="J64" i="20"/>
  <c r="J65" i="20" s="1"/>
  <c r="C2" i="50"/>
  <c r="D84" i="55"/>
  <c r="D59" i="55"/>
  <c r="E100" i="55"/>
  <c r="E75" i="55"/>
  <c r="H60" i="55"/>
  <c r="D97" i="55"/>
  <c r="H75" i="55"/>
  <c r="H100" i="55"/>
  <c r="I32" i="59"/>
  <c r="Q14" i="59"/>
  <c r="Q75" i="59" s="1"/>
  <c r="Q76" i="59" s="1"/>
  <c r="D91" i="55"/>
  <c r="D66" i="55"/>
  <c r="O23" i="38"/>
  <c r="N23" i="38"/>
  <c r="M23" i="38"/>
  <c r="E84" i="55"/>
  <c r="E59" i="55"/>
  <c r="I100" i="55"/>
  <c r="I75" i="55"/>
  <c r="O22" i="59"/>
  <c r="K65" i="38"/>
  <c r="O55" i="38"/>
  <c r="K67" i="38" s="1"/>
  <c r="J35" i="20"/>
  <c r="AC35" i="20"/>
  <c r="R34" i="20"/>
  <c r="AY71" i="20" s="1"/>
  <c r="F85" i="55"/>
  <c r="F60" i="55"/>
  <c r="L91" i="55"/>
  <c r="L66" i="55"/>
  <c r="N11" i="38"/>
  <c r="D64" i="55"/>
  <c r="E14" i="59"/>
  <c r="E75" i="59" s="1"/>
  <c r="E76" i="59" s="1"/>
  <c r="M14" i="59"/>
  <c r="I19" i="25"/>
  <c r="M84" i="55"/>
  <c r="M59" i="55"/>
  <c r="I99" i="55"/>
  <c r="I74" i="55"/>
  <c r="J16" i="40"/>
  <c r="R16" i="40"/>
  <c r="J13" i="25"/>
  <c r="Q19" i="25"/>
  <c r="K85" i="55"/>
  <c r="K60" i="55"/>
  <c r="M87" i="26"/>
  <c r="AD14" i="26"/>
  <c r="D58" i="26"/>
  <c r="E58" i="26" s="1"/>
  <c r="D100" i="55"/>
  <c r="D75" i="55"/>
  <c r="N85" i="55"/>
  <c r="N60" i="55"/>
  <c r="K64" i="20"/>
  <c r="K65" i="20" s="1"/>
  <c r="D2" i="50"/>
  <c r="I91" i="55"/>
  <c r="I66" i="55"/>
  <c r="L100" i="55"/>
  <c r="L75" i="55"/>
  <c r="F65" i="55"/>
  <c r="F90" i="55"/>
  <c r="N90" i="55"/>
  <c r="N65" i="55"/>
  <c r="J91" i="55"/>
  <c r="J66" i="55"/>
  <c r="M100" i="55"/>
  <c r="M75" i="55"/>
  <c r="N26" i="38"/>
  <c r="W116" i="26"/>
  <c r="H63" i="20"/>
  <c r="H65" i="20" s="1"/>
  <c r="AB116" i="26"/>
  <c r="T116" i="26"/>
  <c r="AA116" i="26"/>
  <c r="S116" i="26"/>
  <c r="R116" i="26"/>
  <c r="Y116" i="26"/>
  <c r="X116" i="26"/>
  <c r="I60" i="55"/>
  <c r="J65" i="55"/>
  <c r="R38" i="38"/>
  <c r="Q43" i="38"/>
  <c r="N17" i="40"/>
  <c r="P14" i="40"/>
  <c r="P15" i="40" s="1"/>
  <c r="O20" i="25"/>
  <c r="H14" i="59"/>
  <c r="H75" i="59" s="1"/>
  <c r="H76" i="59" s="1"/>
  <c r="H79" i="59" s="1"/>
  <c r="H23" i="59" s="1"/>
  <c r="AP77" i="20"/>
  <c r="AP78" i="20"/>
  <c r="AP79" i="20"/>
  <c r="T35" i="20"/>
  <c r="S34" i="20"/>
  <c r="AZ71" i="20" s="1"/>
  <c r="J60" i="55"/>
  <c r="K65" i="55"/>
  <c r="H66" i="55"/>
  <c r="H74" i="55"/>
  <c r="E85" i="55"/>
  <c r="L12" i="38"/>
  <c r="S31" i="38"/>
  <c r="O30" i="38"/>
  <c r="Q30" i="38" s="1"/>
  <c r="I20" i="25"/>
  <c r="AD35" i="26"/>
  <c r="Z13" i="26"/>
  <c r="U12" i="25"/>
  <c r="T14" i="25"/>
  <c r="T13" i="25" s="1"/>
  <c r="K68" i="55"/>
  <c r="P36" i="38"/>
  <c r="T39" i="38"/>
  <c r="P38" i="38"/>
  <c r="O17" i="40"/>
  <c r="AD44" i="26"/>
  <c r="C16" i="35"/>
  <c r="D18" i="55" s="1"/>
  <c r="L5" i="50"/>
  <c r="Z131" i="48"/>
  <c r="Y25" i="48"/>
  <c r="L60" i="55"/>
  <c r="E65" i="55"/>
  <c r="I9" i="50"/>
  <c r="N21" i="38"/>
  <c r="Q39" i="38"/>
  <c r="N19" i="59"/>
  <c r="N15" i="40"/>
  <c r="M15" i="40"/>
  <c r="J20" i="25"/>
  <c r="R20" i="25"/>
  <c r="R19" i="25"/>
  <c r="H19" i="25"/>
  <c r="T12" i="33"/>
  <c r="T10" i="33" s="1"/>
  <c r="W12" i="33"/>
  <c r="V12" i="33"/>
  <c r="D63" i="55"/>
  <c r="S16" i="38"/>
  <c r="L15" i="38"/>
  <c r="N15" i="38" s="1"/>
  <c r="S25" i="38"/>
  <c r="M24" i="38"/>
  <c r="O24" i="38" s="1"/>
  <c r="M22" i="59"/>
  <c r="M55" i="38"/>
  <c r="M56" i="38"/>
  <c r="P48" i="38"/>
  <c r="J67" i="38"/>
  <c r="I65" i="38"/>
  <c r="O19" i="59"/>
  <c r="O15" i="40"/>
  <c r="L14" i="40"/>
  <c r="L15" i="40" s="1"/>
  <c r="L16" i="40"/>
  <c r="J14" i="40"/>
  <c r="J17" i="40" s="1"/>
  <c r="R14" i="40"/>
  <c r="R15" i="40" s="1"/>
  <c r="R17" i="40"/>
  <c r="K20" i="25"/>
  <c r="K19" i="25"/>
  <c r="S20" i="25"/>
  <c r="S19" i="25"/>
  <c r="C8" i="35" s="1"/>
  <c r="D10" i="55" s="1"/>
  <c r="E11" i="26"/>
  <c r="E20" i="26" s="1"/>
  <c r="M11" i="26"/>
  <c r="L20" i="26"/>
  <c r="L90" i="26" s="1"/>
  <c r="T13" i="20"/>
  <c r="U12" i="20"/>
  <c r="F21" i="48"/>
  <c r="N129" i="48"/>
  <c r="N21" i="48"/>
  <c r="D74" i="55"/>
  <c r="C5" i="35"/>
  <c r="D7" i="55" s="1"/>
  <c r="N14" i="38"/>
  <c r="M16" i="38"/>
  <c r="M19" i="38"/>
  <c r="P28" i="38"/>
  <c r="P32" i="38"/>
  <c r="N22" i="59"/>
  <c r="N56" i="38"/>
  <c r="J65" i="38"/>
  <c r="J70" i="38" s="1"/>
  <c r="L70" i="38"/>
  <c r="M14" i="40"/>
  <c r="M17" i="40" s="1"/>
  <c r="K14" i="40"/>
  <c r="S14" i="40"/>
  <c r="S15" i="40" s="1"/>
  <c r="L20" i="25"/>
  <c r="P19" i="25"/>
  <c r="P14" i="59" s="1"/>
  <c r="F11" i="26"/>
  <c r="F20" i="26" s="1"/>
  <c r="N11" i="26"/>
  <c r="U63" i="59"/>
  <c r="T20" i="59"/>
  <c r="J65" i="59"/>
  <c r="J63" i="59"/>
  <c r="J20" i="59" s="1"/>
  <c r="R65" i="59"/>
  <c r="R63" i="59"/>
  <c r="R20" i="59" s="1"/>
  <c r="M42" i="26"/>
  <c r="AD42" i="26" s="1"/>
  <c r="U42" i="26"/>
  <c r="N46" i="26"/>
  <c r="C60" i="26"/>
  <c r="E60" i="26" s="1"/>
  <c r="W12" i="30"/>
  <c r="V12" i="30"/>
  <c r="AC12" i="30"/>
  <c r="U12" i="30"/>
  <c r="AB12" i="30"/>
  <c r="T12" i="30"/>
  <c r="AA12" i="30"/>
  <c r="Z12" i="30"/>
  <c r="H12" i="30"/>
  <c r="H13" i="30"/>
  <c r="S31" i="59"/>
  <c r="S32" i="59" s="1"/>
  <c r="S34" i="49"/>
  <c r="C10" i="35" s="1"/>
  <c r="D12" i="55" s="1"/>
  <c r="E23" i="33"/>
  <c r="C23" i="33"/>
  <c r="G129" i="48"/>
  <c r="G21" i="48"/>
  <c r="L21" i="48"/>
  <c r="M89" i="26"/>
  <c r="Z116" i="26"/>
  <c r="I14" i="20"/>
  <c r="I12" i="30"/>
  <c r="S15" i="30"/>
  <c r="D24" i="49"/>
  <c r="D25" i="49" s="1"/>
  <c r="D26" i="49" s="1"/>
  <c r="L34" i="49"/>
  <c r="L35" i="49" s="1"/>
  <c r="I31" i="59"/>
  <c r="I35" i="49"/>
  <c r="M21" i="38"/>
  <c r="K55" i="38"/>
  <c r="M48" i="38" s="1"/>
  <c r="L56" i="38"/>
  <c r="M16" i="40"/>
  <c r="K17" i="40"/>
  <c r="S17" i="40"/>
  <c r="D19" i="25"/>
  <c r="D14" i="59" s="1"/>
  <c r="L19" i="25"/>
  <c r="AF13" i="26"/>
  <c r="E34" i="49"/>
  <c r="E32" i="49"/>
  <c r="M34" i="49"/>
  <c r="M32" i="49"/>
  <c r="J31" i="59"/>
  <c r="J32" i="59" s="1"/>
  <c r="J34" i="59" s="1"/>
  <c r="H9" i="48"/>
  <c r="H113" i="48"/>
  <c r="P113" i="48"/>
  <c r="P9" i="48"/>
  <c r="K115" i="48"/>
  <c r="K9" i="48"/>
  <c r="I40" i="48"/>
  <c r="J36" i="48"/>
  <c r="I57" i="48"/>
  <c r="I64" i="48" s="1"/>
  <c r="K141" i="48"/>
  <c r="E19" i="25"/>
  <c r="M19" i="25"/>
  <c r="P42" i="26"/>
  <c r="X42" i="26"/>
  <c r="E56" i="26"/>
  <c r="C68" i="26"/>
  <c r="C63" i="26" s="1"/>
  <c r="O34" i="20"/>
  <c r="AV71" i="20" s="1"/>
  <c r="I13" i="30"/>
  <c r="F34" i="49"/>
  <c r="F32" i="49"/>
  <c r="N34" i="49"/>
  <c r="N32" i="49"/>
  <c r="J24" i="33"/>
  <c r="I24" i="33"/>
  <c r="O21" i="48"/>
  <c r="F14" i="59"/>
  <c r="E57" i="26"/>
  <c r="U116" i="26"/>
  <c r="AC116" i="26"/>
  <c r="G31" i="59"/>
  <c r="G32" i="59" s="1"/>
  <c r="O31" i="59"/>
  <c r="O32" i="59" s="1"/>
  <c r="Q35" i="49"/>
  <c r="Q31" i="59"/>
  <c r="Q32" i="59" s="1"/>
  <c r="Q34" i="59" s="1"/>
  <c r="O34" i="21"/>
  <c r="T34" i="21"/>
  <c r="L34" i="21"/>
  <c r="S34" i="21"/>
  <c r="K34" i="21"/>
  <c r="R34" i="21"/>
  <c r="N34" i="21"/>
  <c r="M34" i="21"/>
  <c r="V34" i="21"/>
  <c r="U34" i="21"/>
  <c r="Q34" i="21"/>
  <c r="P34" i="21"/>
  <c r="J34" i="21"/>
  <c r="I34" i="21"/>
  <c r="G19" i="25"/>
  <c r="G14" i="59" s="1"/>
  <c r="O19" i="25"/>
  <c r="L85" i="26"/>
  <c r="D57" i="26"/>
  <c r="V116" i="26"/>
  <c r="I35" i="20"/>
  <c r="I36" i="20"/>
  <c r="Q34" i="20"/>
  <c r="AX71" i="20" s="1"/>
  <c r="N34" i="20"/>
  <c r="AU71" i="20" s="1"/>
  <c r="Q13" i="30"/>
  <c r="Q12" i="30" s="1"/>
  <c r="U17" i="30"/>
  <c r="H31" i="59"/>
  <c r="H32" i="59" s="1"/>
  <c r="H35" i="49"/>
  <c r="P31" i="59"/>
  <c r="P32" i="59" s="1"/>
  <c r="P35" i="49"/>
  <c r="C24" i="49"/>
  <c r="C25" i="49" s="1"/>
  <c r="R31" i="59"/>
  <c r="R32" i="59" s="1"/>
  <c r="S12" i="33"/>
  <c r="R12" i="33"/>
  <c r="Q12" i="33"/>
  <c r="P12" i="33"/>
  <c r="E85" i="59"/>
  <c r="E89" i="59" s="1"/>
  <c r="G33" i="48"/>
  <c r="E63" i="48"/>
  <c r="E78" i="48"/>
  <c r="E86" i="48" s="1"/>
  <c r="C59" i="26"/>
  <c r="J12" i="30"/>
  <c r="K32" i="49"/>
  <c r="E86" i="59"/>
  <c r="F19" i="33"/>
  <c r="P15" i="59"/>
  <c r="Q63" i="59"/>
  <c r="Q20" i="59" s="1"/>
  <c r="E83" i="59"/>
  <c r="E84" i="59" s="1"/>
  <c r="H129" i="48"/>
  <c r="H21" i="48"/>
  <c r="P129" i="48"/>
  <c r="P21" i="48"/>
  <c r="K12" i="30"/>
  <c r="M63" i="59"/>
  <c r="M20" i="59" s="1"/>
  <c r="J54" i="48"/>
  <c r="J61" i="48" s="1"/>
  <c r="J37" i="48"/>
  <c r="K33" i="48"/>
  <c r="I137" i="48"/>
  <c r="I125" i="48"/>
  <c r="I141" i="48" s="1"/>
  <c r="I120" i="48"/>
  <c r="I113" i="48" s="1"/>
  <c r="Q137" i="48"/>
  <c r="Q125" i="48"/>
  <c r="L12" i="30"/>
  <c r="N63" i="59"/>
  <c r="N20" i="59" s="1"/>
  <c r="N65" i="59"/>
  <c r="M65" i="59"/>
  <c r="T11" i="48"/>
  <c r="Z132" i="48"/>
  <c r="Y26" i="48"/>
  <c r="I22" i="35" s="1"/>
  <c r="J24" i="55" s="1"/>
  <c r="J34" i="48"/>
  <c r="I55" i="48"/>
  <c r="I62" i="48" s="1"/>
  <c r="I38" i="48"/>
  <c r="I54" i="48"/>
  <c r="I61" i="48" s="1"/>
  <c r="R140" i="48"/>
  <c r="K191" i="65"/>
  <c r="X27" i="59"/>
  <c r="M12" i="30"/>
  <c r="S15" i="59"/>
  <c r="I63" i="59"/>
  <c r="I20" i="59" s="1"/>
  <c r="G34" i="48"/>
  <c r="Z19" i="48"/>
  <c r="M194" i="65"/>
  <c r="AA19" i="48" s="1"/>
  <c r="N12" i="30"/>
  <c r="D86" i="59"/>
  <c r="D83" i="59"/>
  <c r="D84" i="59" s="1"/>
  <c r="H77" i="59"/>
  <c r="H25" i="59" s="1"/>
  <c r="L15" i="59"/>
  <c r="K63" i="59"/>
  <c r="K20" i="59" s="1"/>
  <c r="M113" i="48"/>
  <c r="M9" i="48"/>
  <c r="I39" i="48"/>
  <c r="J35" i="48"/>
  <c r="F78" i="48"/>
  <c r="F86" i="48" s="1"/>
  <c r="L120" i="48"/>
  <c r="L137" i="48"/>
  <c r="L125" i="48"/>
  <c r="L141" i="48" s="1"/>
  <c r="F120" i="48"/>
  <c r="F136" i="48" s="1"/>
  <c r="F138" i="48"/>
  <c r="N120" i="48"/>
  <c r="N136" i="48" s="1"/>
  <c r="N138" i="48"/>
  <c r="J140" i="48"/>
  <c r="J120" i="48"/>
  <c r="D35" i="49"/>
  <c r="H116" i="48"/>
  <c r="G35" i="48"/>
  <c r="V94" i="48"/>
  <c r="W94" i="48" s="1"/>
  <c r="X94" i="48" s="1"/>
  <c r="Y94" i="48" s="1"/>
  <c r="Z94" i="48" s="1"/>
  <c r="AA94" i="48" s="1"/>
  <c r="AB94" i="48" s="1"/>
  <c r="AC94" i="48" s="1"/>
  <c r="Q120" i="48"/>
  <c r="S9" i="48"/>
  <c r="C19" i="35" s="1"/>
  <c r="D21" i="55" s="1"/>
  <c r="N115" i="48"/>
  <c r="H85" i="48" s="1"/>
  <c r="I85" i="48" s="1"/>
  <c r="J85" i="48" s="1"/>
  <c r="K85" i="48" s="1"/>
  <c r="L85" i="48" s="1"/>
  <c r="I129" i="48"/>
  <c r="H120" i="48"/>
  <c r="H136" i="48" s="1"/>
  <c r="P120" i="48"/>
  <c r="P136" i="48" s="1"/>
  <c r="AA129" i="48"/>
  <c r="Z23" i="48"/>
  <c r="L13" i="21"/>
  <c r="L14" i="21" s="1"/>
  <c r="L3" i="21"/>
  <c r="T3" i="21"/>
  <c r="T13" i="21"/>
  <c r="T14" i="21" s="1"/>
  <c r="T15" i="21" s="1"/>
  <c r="C79" i="21"/>
  <c r="G192" i="65"/>
  <c r="T12" i="48"/>
  <c r="M193" i="65"/>
  <c r="AA16" i="48" s="1"/>
  <c r="Z16" i="48"/>
  <c r="I21" i="21"/>
  <c r="D75" i="21"/>
  <c r="I115" i="48"/>
  <c r="I9" i="48"/>
  <c r="Q9" i="48"/>
  <c r="N116" i="48"/>
  <c r="H86" i="48" s="1"/>
  <c r="L129" i="48"/>
  <c r="H132" i="48"/>
  <c r="P132" i="48"/>
  <c r="G136" i="48"/>
  <c r="J9" i="48"/>
  <c r="R9" i="48"/>
  <c r="Q130" i="48"/>
  <c r="U93" i="48"/>
  <c r="V93" i="48" s="1"/>
  <c r="W93" i="48" s="1"/>
  <c r="X93" i="48" s="1"/>
  <c r="Y93" i="48" s="1"/>
  <c r="Z93" i="48" s="1"/>
  <c r="AA93" i="48" s="1"/>
  <c r="AB93" i="48" s="1"/>
  <c r="AC93" i="48" s="1"/>
  <c r="O192" i="65"/>
  <c r="AC12" i="48" s="1"/>
  <c r="AB12" i="48"/>
  <c r="L24" i="21"/>
  <c r="F21" i="21"/>
  <c r="L115" i="48"/>
  <c r="J137" i="48"/>
  <c r="R137" i="48"/>
  <c r="L138" i="48"/>
  <c r="G142" i="48"/>
  <c r="O142" i="48"/>
  <c r="I143" i="48"/>
  <c r="Q143" i="48"/>
  <c r="V36" i="21"/>
  <c r="N36" i="21"/>
  <c r="R36" i="21"/>
  <c r="O36" i="21"/>
  <c r="M36" i="21"/>
  <c r="U36" i="21"/>
  <c r="Q36" i="21"/>
  <c r="J113" i="48"/>
  <c r="R113" i="48"/>
  <c r="H117" i="48"/>
  <c r="P117" i="48"/>
  <c r="K129" i="48"/>
  <c r="K130" i="48"/>
  <c r="S130" i="48"/>
  <c r="T130" i="48" s="1"/>
  <c r="K120" i="48"/>
  <c r="K136" i="48" s="1"/>
  <c r="S136" i="48"/>
  <c r="S137" i="48"/>
  <c r="J16" i="5"/>
  <c r="M10" i="21"/>
  <c r="W49" i="26" s="1"/>
  <c r="W17" i="26" s="1"/>
  <c r="J10" i="21"/>
  <c r="L10" i="21"/>
  <c r="V49" i="26" s="1"/>
  <c r="V17" i="26" s="1"/>
  <c r="K10" i="21"/>
  <c r="U49" i="26" s="1"/>
  <c r="U17" i="26" s="1"/>
  <c r="P6" i="21"/>
  <c r="Z45" i="30" s="1"/>
  <c r="J7" i="35" s="1"/>
  <c r="K9" i="55" s="1"/>
  <c r="N24" i="21"/>
  <c r="P24" i="21"/>
  <c r="N23" i="21"/>
  <c r="X41" i="30" s="1"/>
  <c r="X24" i="30" s="1"/>
  <c r="O6" i="21"/>
  <c r="Y45" i="30" s="1"/>
  <c r="I7" i="35" s="1"/>
  <c r="J9" i="55" s="1"/>
  <c r="N6" i="21"/>
  <c r="N19" i="21" s="1"/>
  <c r="O23" i="21"/>
  <c r="O24" i="21"/>
  <c r="Q6" i="21"/>
  <c r="AA45" i="30" s="1"/>
  <c r="K7" i="35" s="1"/>
  <c r="L9" i="55" s="1"/>
  <c r="U3" i="21"/>
  <c r="F9" i="5"/>
  <c r="I5" i="21"/>
  <c r="S17" i="59" s="1"/>
  <c r="H5" i="21"/>
  <c r="R17" i="59" s="1"/>
  <c r="K4" i="50" s="1"/>
  <c r="L19" i="21"/>
  <c r="V37" i="30" s="1"/>
  <c r="V20" i="30" s="1"/>
  <c r="E7" i="5"/>
  <c r="J19" i="21"/>
  <c r="T37" i="30" s="1"/>
  <c r="T20" i="30" s="1"/>
  <c r="T15" i="30" s="1"/>
  <c r="C16" i="5"/>
  <c r="U23" i="48"/>
  <c r="M130" i="48"/>
  <c r="M131" i="48"/>
  <c r="U25" i="48"/>
  <c r="U26" i="48"/>
  <c r="E22" i="35" s="1"/>
  <c r="F24" i="55" s="1"/>
  <c r="G36" i="48"/>
  <c r="M136" i="48"/>
  <c r="G138" i="48"/>
  <c r="O138" i="48"/>
  <c r="I139" i="48"/>
  <c r="Q139" i="48"/>
  <c r="K140" i="48"/>
  <c r="S140" i="48"/>
  <c r="D8" i="21"/>
  <c r="E5" i="5"/>
  <c r="B16" i="5"/>
  <c r="L16" i="5"/>
  <c r="C11" i="21"/>
  <c r="I24" i="21"/>
  <c r="G18" i="21"/>
  <c r="H6" i="21"/>
  <c r="F24" i="21"/>
  <c r="I19" i="21"/>
  <c r="S37" i="30" s="1"/>
  <c r="F23" i="21"/>
  <c r="P41" i="30" s="1"/>
  <c r="P24" i="30" s="1"/>
  <c r="P13" i="30" s="1"/>
  <c r="P12" i="30" s="1"/>
  <c r="I18" i="21"/>
  <c r="G6" i="21"/>
  <c r="G20" i="21"/>
  <c r="Q38" i="30" s="1"/>
  <c r="F19" i="21"/>
  <c r="P37" i="30" s="1"/>
  <c r="F20" i="21"/>
  <c r="P38" i="30" s="1"/>
  <c r="I20" i="21"/>
  <c r="S38" i="30" s="1"/>
  <c r="F18" i="21"/>
  <c r="I23" i="21"/>
  <c r="S41" i="30" s="1"/>
  <c r="S24" i="30" s="1"/>
  <c r="S13" i="30" s="1"/>
  <c r="S12" i="30" s="1"/>
  <c r="G23" i="21"/>
  <c r="Q41" i="30" s="1"/>
  <c r="Q24" i="30" s="1"/>
  <c r="Q15" i="30" s="1"/>
  <c r="G19" i="21"/>
  <c r="Q37" i="30" s="1"/>
  <c r="M5" i="21"/>
  <c r="W17" i="59" s="1"/>
  <c r="G15" i="35" s="1"/>
  <c r="H17" i="55" s="1"/>
  <c r="J5" i="21"/>
  <c r="K5" i="21"/>
  <c r="U17" i="59" s="1"/>
  <c r="E15" i="35" s="1"/>
  <c r="F17" i="55" s="1"/>
  <c r="L5" i="21"/>
  <c r="V17" i="59" s="1"/>
  <c r="F15" i="35" s="1"/>
  <c r="G17" i="55" s="1"/>
  <c r="G16" i="5"/>
  <c r="Q17" i="6"/>
  <c r="T49" i="21"/>
  <c r="F82" i="21"/>
  <c r="M125" i="48"/>
  <c r="M115" i="48" s="1"/>
  <c r="M137" i="48"/>
  <c r="F5" i="5"/>
  <c r="F3" i="21"/>
  <c r="J21" i="21"/>
  <c r="E77" i="21"/>
  <c r="T29" i="21"/>
  <c r="S29" i="21"/>
  <c r="K29" i="21"/>
  <c r="V29" i="21"/>
  <c r="E29" i="21"/>
  <c r="F10" i="21"/>
  <c r="M29" i="21"/>
  <c r="V50" i="21"/>
  <c r="F125" i="48"/>
  <c r="F141" i="48" s="1"/>
  <c r="N125" i="48"/>
  <c r="N141" i="48" s="1"/>
  <c r="O9" i="21"/>
  <c r="N9" i="21"/>
  <c r="U6" i="21"/>
  <c r="T6" i="21"/>
  <c r="S6" i="21"/>
  <c r="AC45" i="30" s="1"/>
  <c r="M7" i="35" s="1"/>
  <c r="N9" i="55" s="1"/>
  <c r="O3" i="21"/>
  <c r="D6" i="21"/>
  <c r="D20" i="21" s="1"/>
  <c r="N38" i="30" s="1"/>
  <c r="E10" i="21"/>
  <c r="O49" i="26" s="1"/>
  <c r="O17" i="26" s="1"/>
  <c r="E11" i="21"/>
  <c r="E9" i="21"/>
  <c r="E7" i="21"/>
  <c r="P3" i="21"/>
  <c r="N5" i="21"/>
  <c r="K6" i="21"/>
  <c r="K19" i="21" s="1"/>
  <c r="U37" i="30" s="1"/>
  <c r="U20" i="30" s="1"/>
  <c r="G10" i="21"/>
  <c r="Q49" i="26" s="1"/>
  <c r="Q17" i="26" s="1"/>
  <c r="N29" i="21"/>
  <c r="G125" i="48"/>
  <c r="O125" i="48"/>
  <c r="E23" i="21"/>
  <c r="O41" i="30" s="1"/>
  <c r="E20" i="21"/>
  <c r="O38" i="30" s="1"/>
  <c r="E18" i="21"/>
  <c r="E19" i="21"/>
  <c r="O37" i="30" s="1"/>
  <c r="G9" i="21"/>
  <c r="F9" i="21"/>
  <c r="H9" i="21"/>
  <c r="L18" i="21"/>
  <c r="M6" i="21"/>
  <c r="M24" i="21"/>
  <c r="L23" i="21"/>
  <c r="V41" i="30" s="1"/>
  <c r="V24" i="30" s="1"/>
  <c r="L20" i="21"/>
  <c r="V38" i="30" s="1"/>
  <c r="K18" i="21"/>
  <c r="L6" i="21"/>
  <c r="K20" i="21"/>
  <c r="U38" i="30" s="1"/>
  <c r="K24" i="21"/>
  <c r="J24" i="21"/>
  <c r="K23" i="21"/>
  <c r="U41" i="30" s="1"/>
  <c r="U24" i="30" s="1"/>
  <c r="Q10" i="21"/>
  <c r="AA49" i="26" s="1"/>
  <c r="AA17" i="26" s="1"/>
  <c r="P10" i="21"/>
  <c r="Z49" i="26" s="1"/>
  <c r="Z17" i="26" s="1"/>
  <c r="D9" i="6"/>
  <c r="E6" i="21" s="1"/>
  <c r="H10" i="21"/>
  <c r="R49" i="26" s="1"/>
  <c r="R17" i="26" s="1"/>
  <c r="E12" i="21"/>
  <c r="R29" i="21"/>
  <c r="H125" i="48"/>
  <c r="H141" i="48" s="1"/>
  <c r="P125" i="48"/>
  <c r="P141" i="48" s="1"/>
  <c r="H137" i="48"/>
  <c r="P137" i="48"/>
  <c r="C7" i="21"/>
  <c r="H16" i="5"/>
  <c r="I3" i="21"/>
  <c r="G76" i="21"/>
  <c r="Q38" i="21"/>
  <c r="V38" i="21"/>
  <c r="F80" i="21"/>
  <c r="D82" i="21"/>
  <c r="G13" i="21"/>
  <c r="G14" i="21" s="1"/>
  <c r="J23" i="21"/>
  <c r="T41" i="30" s="1"/>
  <c r="T24" i="30" s="1"/>
  <c r="U29" i="21"/>
  <c r="O4" i="21"/>
  <c r="Y18" i="59" s="1"/>
  <c r="Y24" i="59" s="1"/>
  <c r="N4" i="21"/>
  <c r="Q4" i="21"/>
  <c r="AA18" i="59" s="1"/>
  <c r="AA24" i="59" s="1"/>
  <c r="R9" i="21"/>
  <c r="T9" i="21"/>
  <c r="S9" i="21"/>
  <c r="R3" i="21"/>
  <c r="U51" i="21"/>
  <c r="U50" i="21"/>
  <c r="G3" i="21"/>
  <c r="W3" i="21" s="1"/>
  <c r="Q41" i="21"/>
  <c r="V41" i="21"/>
  <c r="T41" i="21"/>
  <c r="S41" i="21"/>
  <c r="P41" i="21"/>
  <c r="J125" i="48"/>
  <c r="R125" i="48"/>
  <c r="R115" i="48" s="1"/>
  <c r="G4" i="21"/>
  <c r="Q18" i="59" s="1"/>
  <c r="Q24" i="59" s="1"/>
  <c r="J5" i="50" s="1"/>
  <c r="F4" i="21"/>
  <c r="F13" i="21"/>
  <c r="H13" i="21"/>
  <c r="H14" i="21" s="1"/>
  <c r="J9" i="21"/>
  <c r="L9" i="21"/>
  <c r="Q5" i="21"/>
  <c r="AA17" i="59" s="1"/>
  <c r="K15" i="35" s="1"/>
  <c r="L17" i="55" s="1"/>
  <c r="O5" i="21"/>
  <c r="Y17" i="59" s="1"/>
  <c r="I15" i="35" s="1"/>
  <c r="J17" i="55" s="1"/>
  <c r="R4" i="21"/>
  <c r="S4" i="21"/>
  <c r="AC18" i="59" s="1"/>
  <c r="AC24" i="59" s="1"/>
  <c r="U10" i="21"/>
  <c r="R10" i="21"/>
  <c r="S3" i="21"/>
  <c r="C6" i="21"/>
  <c r="C20" i="21" s="1"/>
  <c r="M38" i="30" s="1"/>
  <c r="Q9" i="21"/>
  <c r="S10" i="21"/>
  <c r="AC49" i="26" s="1"/>
  <c r="AC17" i="26" s="1"/>
  <c r="J18" i="21"/>
  <c r="R41" i="21"/>
  <c r="H7" i="21"/>
  <c r="G7" i="21"/>
  <c r="P7" i="21"/>
  <c r="O7" i="21"/>
  <c r="R7" i="21"/>
  <c r="G77" i="21" s="1"/>
  <c r="J12" i="21"/>
  <c r="C13" i="21"/>
  <c r="V13" i="21"/>
  <c r="V14" i="21" s="1"/>
  <c r="V15" i="21" s="1"/>
  <c r="N13" i="21"/>
  <c r="S13" i="21"/>
  <c r="S14" i="21" s="1"/>
  <c r="K13" i="21"/>
  <c r="K14" i="21" s="1"/>
  <c r="R13" i="21"/>
  <c r="J13" i="21"/>
  <c r="I16" i="5"/>
  <c r="F7" i="21"/>
  <c r="T7" i="21"/>
  <c r="L12" i="21"/>
  <c r="D13" i="21"/>
  <c r="D14" i="21" s="1"/>
  <c r="P13" i="21"/>
  <c r="P14" i="21" s="1"/>
  <c r="H12" i="21"/>
  <c r="G12" i="21"/>
  <c r="P12" i="21"/>
  <c r="O12" i="21"/>
  <c r="V16" i="6"/>
  <c r="D11" i="21"/>
  <c r="L7" i="21"/>
  <c r="D10" i="21"/>
  <c r="C80" i="21" s="1"/>
  <c r="D12" i="21"/>
  <c r="C82" i="21" s="1"/>
  <c r="Q12" i="21"/>
  <c r="U13" i="21"/>
  <c r="U14" i="21" s="1"/>
  <c r="U15" i="21" s="1"/>
  <c r="H34" i="59" l="1"/>
  <c r="R34" i="49"/>
  <c r="R35" i="49" s="1"/>
  <c r="R34" i="59"/>
  <c r="U10" i="33"/>
  <c r="T15" i="59"/>
  <c r="D12" i="35"/>
  <c r="E14" i="55" s="1"/>
  <c r="AR78" i="20"/>
  <c r="AR79" i="20"/>
  <c r="AR77" i="20"/>
  <c r="K14" i="20"/>
  <c r="K36" i="20"/>
  <c r="N25" i="21"/>
  <c r="X43" i="30" s="1"/>
  <c r="X37" i="30"/>
  <c r="X20" i="30" s="1"/>
  <c r="AQ78" i="20"/>
  <c r="AQ79" i="20"/>
  <c r="AQ77" i="20"/>
  <c r="J14" i="20"/>
  <c r="J36" i="20"/>
  <c r="G75" i="59"/>
  <c r="G76" i="59" s="1"/>
  <c r="G77" i="59"/>
  <c r="G25" i="59" s="1"/>
  <c r="D75" i="59"/>
  <c r="D76" i="59" s="1"/>
  <c r="D79" i="59" s="1"/>
  <c r="D23" i="59" s="1"/>
  <c r="D77" i="59"/>
  <c r="D25" i="59" s="1"/>
  <c r="D28" i="59" s="1"/>
  <c r="K15" i="21"/>
  <c r="U48" i="26"/>
  <c r="U45" i="26" s="1"/>
  <c r="G15" i="21"/>
  <c r="Q48" i="26"/>
  <c r="U5" i="21"/>
  <c r="R5" i="21"/>
  <c r="T5" i="21"/>
  <c r="S5" i="21"/>
  <c r="AC17" i="59" s="1"/>
  <c r="M15" i="35" s="1"/>
  <c r="N17" i="55" s="1"/>
  <c r="P130" i="48"/>
  <c r="F31" i="59"/>
  <c r="F32" i="59" s="1"/>
  <c r="F35" i="49"/>
  <c r="E31" i="59"/>
  <c r="E32" i="59" s="1"/>
  <c r="E34" i="59" s="1"/>
  <c r="E35" i="49"/>
  <c r="P15" i="21"/>
  <c r="Z48" i="26"/>
  <c r="Z45" i="26" s="1"/>
  <c r="H92" i="55"/>
  <c r="H67" i="55"/>
  <c r="T63" i="20"/>
  <c r="D3" i="35"/>
  <c r="E5" i="55" s="1"/>
  <c r="S15" i="21"/>
  <c r="AC48" i="26"/>
  <c r="K16" i="35"/>
  <c r="L18" i="55" s="1"/>
  <c r="M21" i="21"/>
  <c r="M18" i="21"/>
  <c r="W45" i="30"/>
  <c r="G7" i="35" s="1"/>
  <c r="H9" i="55" s="1"/>
  <c r="J22" i="21"/>
  <c r="T40" i="30" s="1"/>
  <c r="T39" i="30"/>
  <c r="H21" i="21"/>
  <c r="R45" i="30"/>
  <c r="C4" i="21"/>
  <c r="E16" i="5"/>
  <c r="H115" i="48"/>
  <c r="T13" i="30"/>
  <c r="T11" i="30" s="1"/>
  <c r="T46" i="30" s="1"/>
  <c r="D6" i="35" s="1"/>
  <c r="E8" i="55" s="1"/>
  <c r="K14" i="59"/>
  <c r="K75" i="59" s="1"/>
  <c r="K76" i="59" s="1"/>
  <c r="N84" i="55"/>
  <c r="N59" i="55"/>
  <c r="E76" i="21"/>
  <c r="H24" i="21"/>
  <c r="Q36" i="30"/>
  <c r="G57" i="48"/>
  <c r="G64" i="48" s="1"/>
  <c r="G87" i="48" s="1"/>
  <c r="H40" i="48"/>
  <c r="O38" i="21"/>
  <c r="I22" i="21"/>
  <c r="S40" i="30" s="1"/>
  <c r="S39" i="30"/>
  <c r="G56" i="48"/>
  <c r="G63" i="48" s="1"/>
  <c r="H39" i="48"/>
  <c r="K31" i="59"/>
  <c r="K32" i="59" s="1"/>
  <c r="K35" i="49"/>
  <c r="C55" i="26"/>
  <c r="D87" i="55"/>
  <c r="D62" i="55"/>
  <c r="AD46" i="26"/>
  <c r="AE19" i="26" s="1"/>
  <c r="P16" i="40"/>
  <c r="I16" i="35"/>
  <c r="J18" i="55" s="1"/>
  <c r="R38" i="21"/>
  <c r="M20" i="21"/>
  <c r="W38" i="30" s="1"/>
  <c r="O141" i="48"/>
  <c r="O115" i="48"/>
  <c r="U30" i="21"/>
  <c r="M30" i="21"/>
  <c r="E30" i="21"/>
  <c r="R30" i="21"/>
  <c r="J30" i="21"/>
  <c r="Q30" i="21"/>
  <c r="I30" i="21"/>
  <c r="P30" i="21"/>
  <c r="L30" i="21"/>
  <c r="K30" i="21"/>
  <c r="K28" i="21" s="1"/>
  <c r="U93" i="26" s="1"/>
  <c r="G30" i="21"/>
  <c r="F30" i="21"/>
  <c r="V30" i="21"/>
  <c r="T30" i="21"/>
  <c r="S30" i="21"/>
  <c r="O30" i="21"/>
  <c r="N30" i="21"/>
  <c r="H30" i="21"/>
  <c r="O47" i="26"/>
  <c r="D80" i="21"/>
  <c r="P49" i="26"/>
  <c r="P17" i="26" s="1"/>
  <c r="D29" i="21"/>
  <c r="D28" i="21" s="1"/>
  <c r="D4" i="21"/>
  <c r="N18" i="59" s="1"/>
  <c r="N24" i="59" s="1"/>
  <c r="G5" i="50" s="1"/>
  <c r="G21" i="21"/>
  <c r="G24" i="21"/>
  <c r="Q45" i="30"/>
  <c r="H20" i="21"/>
  <c r="R38" i="30" s="1"/>
  <c r="F99" i="55"/>
  <c r="F74" i="55"/>
  <c r="J4" i="21"/>
  <c r="K4" i="21"/>
  <c r="U18" i="59" s="1"/>
  <c r="U24" i="59" s="1"/>
  <c r="M4" i="21"/>
  <c r="W18" i="59" s="1"/>
  <c r="W24" i="59" s="1"/>
  <c r="L4" i="21"/>
  <c r="V18" i="59" s="1"/>
  <c r="V24" i="59" s="1"/>
  <c r="K84" i="55"/>
  <c r="K59" i="55"/>
  <c r="D76" i="21"/>
  <c r="L191" i="65"/>
  <c r="Y27" i="59"/>
  <c r="O130" i="48"/>
  <c r="K37" i="48"/>
  <c r="L33" i="48"/>
  <c r="K54" i="48"/>
  <c r="K61" i="48" s="1"/>
  <c r="E77" i="59"/>
  <c r="E25" i="59" s="1"/>
  <c r="U15" i="30"/>
  <c r="U13" i="30"/>
  <c r="V17" i="30"/>
  <c r="C23" i="21"/>
  <c r="M41" i="30" s="1"/>
  <c r="G34" i="59"/>
  <c r="K56" i="38"/>
  <c r="S35" i="49"/>
  <c r="W45" i="26"/>
  <c r="F129" i="48"/>
  <c r="J69" i="38"/>
  <c r="J66" i="38"/>
  <c r="S17" i="38"/>
  <c r="L16" i="38"/>
  <c r="N16" i="38" s="1"/>
  <c r="X63" i="20"/>
  <c r="H3" i="35"/>
  <c r="I5" i="55" s="1"/>
  <c r="W63" i="20"/>
  <c r="G3" i="35"/>
  <c r="H5" i="55" s="1"/>
  <c r="S16" i="40"/>
  <c r="K70" i="38"/>
  <c r="V43" i="21"/>
  <c r="S43" i="21"/>
  <c r="R43" i="21"/>
  <c r="U43" i="21"/>
  <c r="G79" i="21"/>
  <c r="T43" i="21"/>
  <c r="AB47" i="26"/>
  <c r="E80" i="21"/>
  <c r="T49" i="26"/>
  <c r="T17" i="26" s="1"/>
  <c r="W9" i="21"/>
  <c r="J55" i="48"/>
  <c r="J62" i="48" s="1"/>
  <c r="J38" i="48"/>
  <c r="T13" i="48" s="1"/>
  <c r="K34" i="48"/>
  <c r="G54" i="48"/>
  <c r="G61" i="48" s="1"/>
  <c r="G84" i="48" s="1"/>
  <c r="H37" i="48"/>
  <c r="S141" i="48"/>
  <c r="D4" i="35"/>
  <c r="E6" i="55" s="1"/>
  <c r="D15" i="21"/>
  <c r="N48" i="26"/>
  <c r="N45" i="26" s="1"/>
  <c r="S42" i="21"/>
  <c r="T42" i="21"/>
  <c r="V42" i="21"/>
  <c r="U42" i="21"/>
  <c r="R42" i="21"/>
  <c r="Q42" i="21"/>
  <c r="AA47" i="26"/>
  <c r="J99" i="55"/>
  <c r="J74" i="55"/>
  <c r="S32" i="38"/>
  <c r="O31" i="38"/>
  <c r="Q31" i="38" s="1"/>
  <c r="S37" i="21"/>
  <c r="P37" i="21"/>
  <c r="O37" i="21"/>
  <c r="U37" i="21"/>
  <c r="Q37" i="21"/>
  <c r="N37" i="21"/>
  <c r="L37" i="21"/>
  <c r="V37" i="21"/>
  <c r="T37" i="21"/>
  <c r="R37" i="21"/>
  <c r="M37" i="21"/>
  <c r="V47" i="26"/>
  <c r="V36" i="30"/>
  <c r="L59" i="55"/>
  <c r="L84" i="55"/>
  <c r="F22" i="21"/>
  <c r="P40" i="30" s="1"/>
  <c r="P39" i="30"/>
  <c r="I130" i="48"/>
  <c r="AA132" i="48"/>
  <c r="Z26" i="48"/>
  <c r="J22" i="35" s="1"/>
  <c r="K24" i="55" s="1"/>
  <c r="L64" i="20"/>
  <c r="L65" i="20" s="1"/>
  <c r="E2" i="50"/>
  <c r="J40" i="48"/>
  <c r="T18" i="48" s="1"/>
  <c r="J57" i="48"/>
  <c r="J64" i="48" s="1"/>
  <c r="K36" i="48"/>
  <c r="L14" i="59"/>
  <c r="L75" i="59" s="1"/>
  <c r="L76" i="59" s="1"/>
  <c r="D5" i="35"/>
  <c r="E7" i="55" s="1"/>
  <c r="U35" i="20"/>
  <c r="AO77" i="20"/>
  <c r="AO78" i="20"/>
  <c r="AO79" i="20"/>
  <c r="H36" i="20"/>
  <c r="H14" i="20"/>
  <c r="K69" i="38"/>
  <c r="K66" i="38"/>
  <c r="I34" i="59"/>
  <c r="W12" i="21"/>
  <c r="R35" i="21"/>
  <c r="J35" i="21"/>
  <c r="O35" i="21"/>
  <c r="V35" i="21"/>
  <c r="N35" i="21"/>
  <c r="S35" i="21"/>
  <c r="E79" i="21"/>
  <c r="M35" i="21"/>
  <c r="L35" i="21"/>
  <c r="P35" i="21"/>
  <c r="K35" i="21"/>
  <c r="U35" i="21"/>
  <c r="T35" i="21"/>
  <c r="Q35" i="21"/>
  <c r="T47" i="26"/>
  <c r="T38" i="21"/>
  <c r="C18" i="21"/>
  <c r="D77" i="21"/>
  <c r="C83" i="21"/>
  <c r="C14" i="21"/>
  <c r="W13" i="21"/>
  <c r="G80" i="21"/>
  <c r="AB49" i="26"/>
  <c r="AB17" i="26" s="1"/>
  <c r="H15" i="21"/>
  <c r="R48" i="26"/>
  <c r="P38" i="21"/>
  <c r="S38" i="21"/>
  <c r="L21" i="21"/>
  <c r="V45" i="30"/>
  <c r="F7" i="35" s="1"/>
  <c r="G9" i="55" s="1"/>
  <c r="M23" i="21"/>
  <c r="W41" i="30" s="1"/>
  <c r="W24" i="30" s="1"/>
  <c r="G141" i="48"/>
  <c r="E4" i="21"/>
  <c r="O18" i="59" s="1"/>
  <c r="O24" i="59" s="1"/>
  <c r="H5" i="50" s="1"/>
  <c r="P29" i="21"/>
  <c r="P28" i="21" s="1"/>
  <c r="Z93" i="26" s="1"/>
  <c r="L29" i="21"/>
  <c r="L28" i="21" s="1"/>
  <c r="V93" i="26" s="1"/>
  <c r="I25" i="21"/>
  <c r="S36" i="30"/>
  <c r="H23" i="21"/>
  <c r="R41" i="30" s="1"/>
  <c r="R24" i="30" s="1"/>
  <c r="O25" i="21"/>
  <c r="Y43" i="30" s="1"/>
  <c r="Y41" i="30"/>
  <c r="Y24" i="30" s="1"/>
  <c r="P23" i="21"/>
  <c r="T36" i="21"/>
  <c r="N113" i="48"/>
  <c r="H84" i="48" s="1"/>
  <c r="I84" i="48" s="1"/>
  <c r="J84" i="48" s="1"/>
  <c r="K84" i="48" s="1"/>
  <c r="L84" i="48" s="1"/>
  <c r="G130" i="48"/>
  <c r="AC63" i="20"/>
  <c r="M3" i="35"/>
  <c r="N5" i="55" s="1"/>
  <c r="S34" i="59"/>
  <c r="C18" i="35"/>
  <c r="D20" i="55" s="1"/>
  <c r="V63" i="59"/>
  <c r="U20" i="59"/>
  <c r="Y63" i="20"/>
  <c r="I3" i="35"/>
  <c r="J5" i="55" s="1"/>
  <c r="O56" i="38"/>
  <c r="J92" i="55"/>
  <c r="J67" i="55"/>
  <c r="D21" i="21"/>
  <c r="D24" i="21"/>
  <c r="N42" i="30" s="1"/>
  <c r="N45" i="30"/>
  <c r="G55" i="48"/>
  <c r="G62" i="48" s="1"/>
  <c r="G85" i="48" s="1"/>
  <c r="H38" i="48"/>
  <c r="J14" i="59"/>
  <c r="J75" i="59" s="1"/>
  <c r="J76" i="59" s="1"/>
  <c r="P17" i="40"/>
  <c r="J141" i="48"/>
  <c r="J130" i="48"/>
  <c r="J115" i="48"/>
  <c r="O36" i="30"/>
  <c r="H130" i="48"/>
  <c r="S26" i="38"/>
  <c r="M26" i="38" s="1"/>
  <c r="O26" i="38" s="1"/>
  <c r="M25" i="38"/>
  <c r="O25" i="38" s="1"/>
  <c r="W6" i="21"/>
  <c r="C76" i="21"/>
  <c r="C21" i="21"/>
  <c r="M39" i="30" s="1"/>
  <c r="C19" i="21"/>
  <c r="M37" i="30" s="1"/>
  <c r="M45" i="30"/>
  <c r="C24" i="21"/>
  <c r="M42" i="30" s="1"/>
  <c r="S48" i="21"/>
  <c r="K48" i="21"/>
  <c r="P48" i="21"/>
  <c r="H48" i="21"/>
  <c r="O48" i="21"/>
  <c r="G48" i="21"/>
  <c r="G47" i="21" s="1"/>
  <c r="V48" i="21"/>
  <c r="J48" i="21"/>
  <c r="R48" i="21"/>
  <c r="E48" i="21"/>
  <c r="E47" i="21" s="1"/>
  <c r="O95" i="26" s="1"/>
  <c r="Q48" i="21"/>
  <c r="D48" i="21"/>
  <c r="D47" i="21" s="1"/>
  <c r="N95" i="26" s="1"/>
  <c r="F48" i="21"/>
  <c r="F47" i="21" s="1"/>
  <c r="P95" i="26" s="1"/>
  <c r="U48" i="21"/>
  <c r="T48" i="21"/>
  <c r="N48" i="21"/>
  <c r="M48" i="21"/>
  <c r="L48" i="21"/>
  <c r="I48" i="21"/>
  <c r="H8" i="21"/>
  <c r="E21" i="21"/>
  <c r="O45" i="30"/>
  <c r="G92" i="55"/>
  <c r="G67" i="55"/>
  <c r="Q23" i="21"/>
  <c r="Q141" i="48"/>
  <c r="U63" i="20"/>
  <c r="E3" i="35"/>
  <c r="F5" i="55" s="1"/>
  <c r="U11" i="30"/>
  <c r="U46" i="30" s="1"/>
  <c r="E6" i="35" s="1"/>
  <c r="F8" i="55" s="1"/>
  <c r="K15" i="40"/>
  <c r="K16" i="40"/>
  <c r="D82" i="55"/>
  <c r="D57" i="55"/>
  <c r="AA131" i="48"/>
  <c r="Z25" i="48"/>
  <c r="R63" i="20"/>
  <c r="K9" i="50"/>
  <c r="F75" i="21"/>
  <c r="X17" i="59"/>
  <c r="H15" i="35" s="1"/>
  <c r="I17" i="55" s="1"/>
  <c r="L67" i="55"/>
  <c r="L92" i="55"/>
  <c r="AB129" i="48"/>
  <c r="AA23" i="48"/>
  <c r="K35" i="48"/>
  <c r="J56" i="48"/>
  <c r="J63" i="48" s="1"/>
  <c r="J39" i="48"/>
  <c r="T15" i="48" s="1"/>
  <c r="F74" i="21"/>
  <c r="X18" i="59"/>
  <c r="X24" i="59" s="1"/>
  <c r="D19" i="21"/>
  <c r="N37" i="30" s="1"/>
  <c r="T51" i="21"/>
  <c r="T50" i="21"/>
  <c r="V17" i="6"/>
  <c r="M19" i="21"/>
  <c r="W37" i="30" s="1"/>
  <c r="W20" i="30" s="1"/>
  <c r="E82" i="21"/>
  <c r="F14" i="21"/>
  <c r="D83" i="21"/>
  <c r="U28" i="21"/>
  <c r="M38" i="21"/>
  <c r="U36" i="30"/>
  <c r="E28" i="21"/>
  <c r="C5" i="21"/>
  <c r="D5" i="21"/>
  <c r="N17" i="59" s="1"/>
  <c r="G4" i="50" s="1"/>
  <c r="F16" i="5"/>
  <c r="F25" i="21"/>
  <c r="P36" i="30"/>
  <c r="L15" i="21"/>
  <c r="V48" i="26"/>
  <c r="J15" i="40"/>
  <c r="V14" i="40"/>
  <c r="W8" i="21"/>
  <c r="J14" i="21"/>
  <c r="E83" i="21"/>
  <c r="F29" i="21"/>
  <c r="D74" i="21"/>
  <c r="P18" i="59"/>
  <c r="P24" i="59" s="1"/>
  <c r="I5" i="50" s="1"/>
  <c r="U38" i="21"/>
  <c r="T31" i="21"/>
  <c r="L31" i="21"/>
  <c r="Q31" i="21"/>
  <c r="I31" i="21"/>
  <c r="P31" i="21"/>
  <c r="H31" i="21"/>
  <c r="M31" i="21"/>
  <c r="U31" i="21"/>
  <c r="G31" i="21"/>
  <c r="D79" i="21"/>
  <c r="S31" i="21"/>
  <c r="S28" i="21" s="1"/>
  <c r="AC93" i="26" s="1"/>
  <c r="F31" i="21"/>
  <c r="K31" i="21"/>
  <c r="J31" i="21"/>
  <c r="V31" i="21"/>
  <c r="R31" i="21"/>
  <c r="O31" i="21"/>
  <c r="N31" i="21"/>
  <c r="P47" i="26"/>
  <c r="E24" i="21"/>
  <c r="O42" i="30" s="1"/>
  <c r="O24" i="30" s="1"/>
  <c r="E5" i="21"/>
  <c r="O17" i="59" s="1"/>
  <c r="H4" i="50" s="1"/>
  <c r="P40" i="21"/>
  <c r="U40" i="21"/>
  <c r="T40" i="21"/>
  <c r="S40" i="21"/>
  <c r="O40" i="21"/>
  <c r="V40" i="21"/>
  <c r="R40" i="21"/>
  <c r="Q40" i="21"/>
  <c r="Y47" i="26"/>
  <c r="Q29" i="21"/>
  <c r="G29" i="21"/>
  <c r="F92" i="55"/>
  <c r="F67" i="55"/>
  <c r="H18" i="21"/>
  <c r="H19" i="21"/>
  <c r="R37" i="30" s="1"/>
  <c r="W11" i="21"/>
  <c r="C81" i="21"/>
  <c r="F76" i="21"/>
  <c r="X45" i="30"/>
  <c r="H7" i="35" s="1"/>
  <c r="I9" i="55" s="1"/>
  <c r="O136" i="48"/>
  <c r="L36" i="21"/>
  <c r="K36" i="21"/>
  <c r="Q115" i="48"/>
  <c r="D71" i="55"/>
  <c r="D96" i="55"/>
  <c r="N130" i="48"/>
  <c r="P34" i="59"/>
  <c r="N31" i="59"/>
  <c r="N32" i="59" s="1"/>
  <c r="N35" i="49"/>
  <c r="M31" i="59"/>
  <c r="M32" i="59" s="1"/>
  <c r="M34" i="59" s="1"/>
  <c r="M35" i="49"/>
  <c r="J3" i="35"/>
  <c r="K5" i="55" s="1"/>
  <c r="Z63" i="20"/>
  <c r="F53" i="49"/>
  <c r="G53" i="49" s="1"/>
  <c r="H53" i="49" s="1"/>
  <c r="Q28" i="38"/>
  <c r="D60" i="55"/>
  <c r="D85" i="55"/>
  <c r="O48" i="38"/>
  <c r="I67" i="38"/>
  <c r="R14" i="59"/>
  <c r="R75" i="59" s="1"/>
  <c r="R76" i="59" s="1"/>
  <c r="V12" i="25"/>
  <c r="U14" i="25"/>
  <c r="U13" i="25" s="1"/>
  <c r="P15" i="30"/>
  <c r="O14" i="59"/>
  <c r="O75" i="59" s="1"/>
  <c r="O76" i="59" s="1"/>
  <c r="S63" i="20"/>
  <c r="L9" i="50"/>
  <c r="C3" i="35"/>
  <c r="D5" i="55" s="1"/>
  <c r="L17" i="40"/>
  <c r="M5" i="35"/>
  <c r="N7" i="55" s="1"/>
  <c r="R141" i="48"/>
  <c r="R130" i="48"/>
  <c r="AB63" i="20"/>
  <c r="L3" i="35"/>
  <c r="M5" i="55" s="1"/>
  <c r="N14" i="21"/>
  <c r="F83" i="21"/>
  <c r="W7" i="21"/>
  <c r="C77" i="21"/>
  <c r="U33" i="21"/>
  <c r="M33" i="21"/>
  <c r="M28" i="21" s="1"/>
  <c r="W93" i="26" s="1"/>
  <c r="R33" i="21"/>
  <c r="J33" i="21"/>
  <c r="Q33" i="21"/>
  <c r="I33" i="21"/>
  <c r="T33" i="21"/>
  <c r="O33" i="21"/>
  <c r="N33" i="21"/>
  <c r="V33" i="21"/>
  <c r="S33" i="21"/>
  <c r="P33" i="21"/>
  <c r="L33" i="21"/>
  <c r="K33" i="21"/>
  <c r="H33" i="21"/>
  <c r="R47" i="26"/>
  <c r="R45" i="26" s="1"/>
  <c r="D23" i="21"/>
  <c r="N41" i="30" s="1"/>
  <c r="F79" i="21"/>
  <c r="P39" i="21"/>
  <c r="U39" i="21"/>
  <c r="T39" i="21"/>
  <c r="O39" i="21"/>
  <c r="V39" i="21"/>
  <c r="N39" i="21"/>
  <c r="S39" i="21"/>
  <c r="R39" i="21"/>
  <c r="Q39" i="21"/>
  <c r="X47" i="26"/>
  <c r="Q24" i="21"/>
  <c r="T10" i="48"/>
  <c r="U11" i="48"/>
  <c r="M40" i="26"/>
  <c r="V63" i="20"/>
  <c r="F3" i="35"/>
  <c r="G5" i="55" s="1"/>
  <c r="L130" i="48"/>
  <c r="J29" i="21"/>
  <c r="H29" i="21"/>
  <c r="N49" i="26"/>
  <c r="M16" i="35"/>
  <c r="N18" i="55" s="1"/>
  <c r="V44" i="21"/>
  <c r="S44" i="21"/>
  <c r="U44" i="21"/>
  <c r="T44" i="21"/>
  <c r="AC47" i="26"/>
  <c r="C78" i="21"/>
  <c r="G83" i="21"/>
  <c r="R14" i="21"/>
  <c r="F77" i="21"/>
  <c r="T36" i="30"/>
  <c r="G74" i="21"/>
  <c r="AB18" i="59"/>
  <c r="AB24" i="59" s="1"/>
  <c r="U41" i="21"/>
  <c r="N38" i="21"/>
  <c r="N28" i="21" s="1"/>
  <c r="X93" i="26" s="1"/>
  <c r="T32" i="21"/>
  <c r="T28" i="21" s="1"/>
  <c r="L32" i="21"/>
  <c r="Q32" i="21"/>
  <c r="I32" i="21"/>
  <c r="P32" i="21"/>
  <c r="H32" i="21"/>
  <c r="V32" i="21"/>
  <c r="V28" i="21" s="1"/>
  <c r="J32" i="21"/>
  <c r="R32" i="21"/>
  <c r="R28" i="21" s="1"/>
  <c r="AB93" i="26" s="1"/>
  <c r="O32" i="21"/>
  <c r="N32" i="21"/>
  <c r="M32" i="21"/>
  <c r="K32" i="21"/>
  <c r="G32" i="21"/>
  <c r="U32" i="21"/>
  <c r="S32" i="21"/>
  <c r="Q47" i="26"/>
  <c r="D18" i="21"/>
  <c r="K21" i="21"/>
  <c r="U45" i="30"/>
  <c r="E7" i="35" s="1"/>
  <c r="F9" i="55" s="1"/>
  <c r="I29" i="21"/>
  <c r="O29" i="21"/>
  <c r="M141" i="48"/>
  <c r="E75" i="21"/>
  <c r="T17" i="59"/>
  <c r="D15" i="35" s="1"/>
  <c r="E17" i="55" s="1"/>
  <c r="C15" i="35"/>
  <c r="D17" i="55" s="1"/>
  <c r="L4" i="50"/>
  <c r="J84" i="55"/>
  <c r="J59" i="55"/>
  <c r="U130" i="48"/>
  <c r="T24" i="48"/>
  <c r="T21" i="48" s="1"/>
  <c r="D20" i="35" s="1"/>
  <c r="E22" i="55" s="1"/>
  <c r="P36" i="21"/>
  <c r="S36" i="21"/>
  <c r="K113" i="48"/>
  <c r="H192" i="65"/>
  <c r="U12" i="48"/>
  <c r="W10" i="21"/>
  <c r="Q113" i="48"/>
  <c r="Q136" i="48"/>
  <c r="Q129" i="48"/>
  <c r="R136" i="48"/>
  <c r="J136" i="48"/>
  <c r="J129" i="48"/>
  <c r="L136" i="48"/>
  <c r="L113" i="48"/>
  <c r="H28" i="59"/>
  <c r="P115" i="48"/>
  <c r="I136" i="48"/>
  <c r="F130" i="48"/>
  <c r="F75" i="59"/>
  <c r="F76" i="59" s="1"/>
  <c r="F77" i="59"/>
  <c r="F25" i="59" s="1"/>
  <c r="V12" i="20"/>
  <c r="U13" i="20"/>
  <c r="S14" i="59"/>
  <c r="S75" i="59" s="1"/>
  <c r="S76" i="59" s="1"/>
  <c r="T20" i="25"/>
  <c r="C9" i="35"/>
  <c r="D11" i="55" s="1"/>
  <c r="J19" i="25"/>
  <c r="D93" i="55"/>
  <c r="D68" i="55"/>
  <c r="T40" i="38"/>
  <c r="P39" i="38"/>
  <c r="R39" i="38" s="1"/>
  <c r="I14" i="59"/>
  <c r="N12" i="38"/>
  <c r="AA63" i="20"/>
  <c r="K3" i="35"/>
  <c r="L5" i="55" s="1"/>
  <c r="G25" i="21" l="1"/>
  <c r="E83" i="55"/>
  <c r="E58" i="55"/>
  <c r="O13" i="30"/>
  <c r="O12" i="30" s="1"/>
  <c r="O15" i="30"/>
  <c r="T41" i="38"/>
  <c r="P40" i="38"/>
  <c r="R40" i="38" s="1"/>
  <c r="E84" i="21"/>
  <c r="J15" i="21"/>
  <c r="E85" i="21" s="1"/>
  <c r="T48" i="26"/>
  <c r="V13" i="26"/>
  <c r="V45" i="26"/>
  <c r="J71" i="38"/>
  <c r="J73" i="38"/>
  <c r="I28" i="21"/>
  <c r="H28" i="21"/>
  <c r="M49" i="62"/>
  <c r="D84" i="21"/>
  <c r="D87" i="21" s="1"/>
  <c r="F15" i="21"/>
  <c r="D85" i="21" s="1"/>
  <c r="P48" i="26"/>
  <c r="H16" i="35"/>
  <c r="I18" i="55" s="1"/>
  <c r="F80" i="55"/>
  <c r="F55" i="55"/>
  <c r="E22" i="21"/>
  <c r="O40" i="30" s="1"/>
  <c r="O39" i="30"/>
  <c r="J80" i="55"/>
  <c r="J55" i="55"/>
  <c r="P25" i="21"/>
  <c r="Z43" i="30" s="1"/>
  <c r="Z41" i="30"/>
  <c r="Z24" i="30" s="1"/>
  <c r="C25" i="21"/>
  <c r="M43" i="30" s="1"/>
  <c r="M36" i="30"/>
  <c r="K57" i="48"/>
  <c r="K64" i="48" s="1"/>
  <c r="L36" i="48"/>
  <c r="K40" i="48"/>
  <c r="AB13" i="26"/>
  <c r="V15" i="30"/>
  <c r="V13" i="30"/>
  <c r="V11" i="30" s="1"/>
  <c r="V46" i="30" s="1"/>
  <c r="F6" i="35" s="1"/>
  <c r="G8" i="55" s="1"/>
  <c r="W17" i="30"/>
  <c r="E16" i="35"/>
  <c r="F18" i="55" s="1"/>
  <c r="M25" i="21"/>
  <c r="W36" i="30"/>
  <c r="E55" i="55"/>
  <c r="E80" i="55"/>
  <c r="N75" i="59"/>
  <c r="N76" i="59" s="1"/>
  <c r="E87" i="21"/>
  <c r="G28" i="59"/>
  <c r="U47" i="21"/>
  <c r="H84" i="55"/>
  <c r="H59" i="55"/>
  <c r="F28" i="59"/>
  <c r="F84" i="55"/>
  <c r="F59" i="55"/>
  <c r="J28" i="21"/>
  <c r="T93" i="26" s="1"/>
  <c r="N57" i="55"/>
  <c r="N82" i="55"/>
  <c r="N34" i="59"/>
  <c r="W5" i="21"/>
  <c r="C75" i="21"/>
  <c r="M17" i="59"/>
  <c r="Q52" i="21"/>
  <c r="I52" i="21"/>
  <c r="V52" i="21"/>
  <c r="N52" i="21"/>
  <c r="U52" i="21"/>
  <c r="M52" i="21"/>
  <c r="D78" i="21"/>
  <c r="L52" i="21"/>
  <c r="L47" i="21" s="1"/>
  <c r="V95" i="26" s="1"/>
  <c r="T52" i="21"/>
  <c r="T47" i="21" s="1"/>
  <c r="H52" i="21"/>
  <c r="H47" i="21" s="1"/>
  <c r="S52" i="21"/>
  <c r="R52" i="21"/>
  <c r="P52" i="21"/>
  <c r="P47" i="21" s="1"/>
  <c r="Z95" i="26" s="1"/>
  <c r="O52" i="21"/>
  <c r="O47" i="21" s="1"/>
  <c r="Y95" i="26" s="1"/>
  <c r="K52" i="21"/>
  <c r="J52" i="21"/>
  <c r="G6" i="50"/>
  <c r="N46" i="30"/>
  <c r="K38" i="48"/>
  <c r="L34" i="48"/>
  <c r="K55" i="48"/>
  <c r="K62" i="48" s="1"/>
  <c r="H80" i="55"/>
  <c r="H55" i="55"/>
  <c r="M191" i="65"/>
  <c r="AA27" i="59" s="1"/>
  <c r="Z27" i="59"/>
  <c r="E74" i="21"/>
  <c r="T18" i="59"/>
  <c r="T24" i="59" s="1"/>
  <c r="I86" i="48"/>
  <c r="J86" i="48"/>
  <c r="K86" i="48" s="1"/>
  <c r="L86" i="48" s="1"/>
  <c r="G86" i="48"/>
  <c r="W4" i="21"/>
  <c r="C74" i="21"/>
  <c r="M18" i="59"/>
  <c r="M24" i="59" s="1"/>
  <c r="F5" i="50" s="1"/>
  <c r="F34" i="59"/>
  <c r="T32" i="59" s="1"/>
  <c r="L17" i="38"/>
  <c r="S18" i="38"/>
  <c r="U10" i="48"/>
  <c r="V11" i="48"/>
  <c r="H25" i="21"/>
  <c r="R36" i="30"/>
  <c r="Q95" i="26"/>
  <c r="K34" i="59"/>
  <c r="L34" i="59"/>
  <c r="G79" i="59"/>
  <c r="G23" i="59" s="1"/>
  <c r="AC13" i="26"/>
  <c r="AC45" i="26"/>
  <c r="I192" i="65"/>
  <c r="W12" i="48" s="1"/>
  <c r="V12" i="48"/>
  <c r="D86" i="55"/>
  <c r="D61" i="55"/>
  <c r="F79" i="59"/>
  <c r="F23" i="59" s="1"/>
  <c r="D92" i="55"/>
  <c r="D67" i="55"/>
  <c r="K22" i="21"/>
  <c r="U40" i="30" s="1"/>
  <c r="U39" i="30"/>
  <c r="I84" i="55"/>
  <c r="I59" i="55"/>
  <c r="G28" i="21"/>
  <c r="U15" i="48"/>
  <c r="T14" i="48"/>
  <c r="T9" i="48" s="1"/>
  <c r="D19" i="35" s="1"/>
  <c r="E21" i="55" s="1"/>
  <c r="AB131" i="48"/>
  <c r="AA25" i="48"/>
  <c r="I47" i="21"/>
  <c r="S95" i="26" s="1"/>
  <c r="Q47" i="21"/>
  <c r="AA95" i="26" s="1"/>
  <c r="N80" i="55"/>
  <c r="N55" i="55"/>
  <c r="T45" i="26"/>
  <c r="T13" i="26"/>
  <c r="V35" i="20"/>
  <c r="E5" i="35"/>
  <c r="F7" i="55" s="1"/>
  <c r="U18" i="48"/>
  <c r="T17" i="48"/>
  <c r="D21" i="35" s="1"/>
  <c r="E23" i="55" s="1"/>
  <c r="U13" i="48"/>
  <c r="V13" i="48" s="1"/>
  <c r="W13" i="48" s="1"/>
  <c r="M48" i="62"/>
  <c r="K6" i="50"/>
  <c r="R46" i="30"/>
  <c r="M22" i="21"/>
  <c r="W40" i="30" s="1"/>
  <c r="W39" i="30"/>
  <c r="U15" i="59"/>
  <c r="E12" i="35"/>
  <c r="F14" i="55" s="1"/>
  <c r="V10" i="33"/>
  <c r="W12" i="20"/>
  <c r="V13" i="20"/>
  <c r="V47" i="21"/>
  <c r="G22" i="21"/>
  <c r="Q40" i="30" s="1"/>
  <c r="Q39" i="30"/>
  <c r="T14" i="59"/>
  <c r="U20" i="25"/>
  <c r="D9" i="35"/>
  <c r="J25" i="21"/>
  <c r="G80" i="55"/>
  <c r="G55" i="55"/>
  <c r="X13" i="26"/>
  <c r="V14" i="25"/>
  <c r="V13" i="25" s="1"/>
  <c r="W12" i="25"/>
  <c r="I53" i="49"/>
  <c r="T12" i="49"/>
  <c r="Q28" i="21"/>
  <c r="AA93" i="26" s="1"/>
  <c r="Q25" i="21"/>
  <c r="AA43" i="30" s="1"/>
  <c r="AA41" i="30"/>
  <c r="AA24" i="30" s="1"/>
  <c r="K47" i="21"/>
  <c r="U95" i="26" s="1"/>
  <c r="D22" i="21"/>
  <c r="N40" i="30" s="1"/>
  <c r="N39" i="30"/>
  <c r="R15" i="30"/>
  <c r="R13" i="30"/>
  <c r="R12" i="30" s="1"/>
  <c r="G84" i="55"/>
  <c r="G59" i="55"/>
  <c r="K73" i="38"/>
  <c r="K71" i="38"/>
  <c r="E82" i="55"/>
  <c r="E57" i="55"/>
  <c r="AA13" i="26"/>
  <c r="AA45" i="26"/>
  <c r="I80" i="55"/>
  <c r="I55" i="55"/>
  <c r="E28" i="59"/>
  <c r="H22" i="21"/>
  <c r="R40" i="30" s="1"/>
  <c r="R39" i="30"/>
  <c r="N92" i="55"/>
  <c r="N67" i="55"/>
  <c r="E79" i="59"/>
  <c r="E23" i="59" s="1"/>
  <c r="P43" i="30"/>
  <c r="F26" i="21"/>
  <c r="AC129" i="48"/>
  <c r="AC23" i="48" s="1"/>
  <c r="AB23" i="48"/>
  <c r="O46" i="30"/>
  <c r="H6" i="50"/>
  <c r="F6" i="50"/>
  <c r="M46" i="30"/>
  <c r="F16" i="35"/>
  <c r="G18" i="55" s="1"/>
  <c r="E89" i="55"/>
  <c r="E64" i="55"/>
  <c r="P45" i="26"/>
  <c r="D95" i="55"/>
  <c r="D70" i="55"/>
  <c r="L55" i="55"/>
  <c r="L80" i="55"/>
  <c r="I75" i="59"/>
  <c r="I76" i="59" s="1"/>
  <c r="I79" i="59" s="1"/>
  <c r="I23" i="59" s="1"/>
  <c r="I77" i="59"/>
  <c r="E92" i="55"/>
  <c r="E67" i="55"/>
  <c r="D25" i="21"/>
  <c r="N36" i="30"/>
  <c r="F84" i="21"/>
  <c r="F87" i="21" s="1"/>
  <c r="X48" i="26"/>
  <c r="AD48" i="26" s="1"/>
  <c r="AE14" i="26" s="1"/>
  <c r="N15" i="21"/>
  <c r="F85" i="21" s="1"/>
  <c r="D55" i="55"/>
  <c r="D80" i="55"/>
  <c r="Y13" i="26"/>
  <c r="Y45" i="26"/>
  <c r="K56" i="48"/>
  <c r="K63" i="48" s="1"/>
  <c r="K39" i="48"/>
  <c r="L35" i="48"/>
  <c r="I92" i="55"/>
  <c r="I67" i="55"/>
  <c r="M47" i="21"/>
  <c r="W95" i="26" s="1"/>
  <c r="R47" i="21"/>
  <c r="AB95" i="26" s="1"/>
  <c r="S47" i="21"/>
  <c r="AC95" i="26" s="1"/>
  <c r="L22" i="21"/>
  <c r="V40" i="30" s="1"/>
  <c r="V39" i="30"/>
  <c r="AS79" i="20"/>
  <c r="L14" i="20"/>
  <c r="AS77" i="20"/>
  <c r="AS78" i="20"/>
  <c r="L36" i="20"/>
  <c r="E81" i="55"/>
  <c r="E56" i="55"/>
  <c r="J93" i="55"/>
  <c r="J68" i="55"/>
  <c r="L93" i="55"/>
  <c r="L68" i="55"/>
  <c r="M46" i="38"/>
  <c r="M47" i="38" s="1"/>
  <c r="P75" i="59"/>
  <c r="P76" i="59" s="1"/>
  <c r="V130" i="48"/>
  <c r="U24" i="48"/>
  <c r="U21" i="48" s="1"/>
  <c r="E20" i="35" s="1"/>
  <c r="F22" i="55" s="1"/>
  <c r="AB132" i="48"/>
  <c r="AA26" i="48"/>
  <c r="K22" i="35" s="1"/>
  <c r="L24" i="55" s="1"/>
  <c r="O28" i="21"/>
  <c r="Y93" i="26" s="1"/>
  <c r="AD49" i="26"/>
  <c r="AE16" i="26" s="1"/>
  <c r="N17" i="26"/>
  <c r="AD17" i="26" s="1"/>
  <c r="F83" i="55"/>
  <c r="F58" i="55"/>
  <c r="G16" i="35"/>
  <c r="H18" i="55" s="1"/>
  <c r="L16" i="35"/>
  <c r="M18" i="55" s="1"/>
  <c r="E4" i="35"/>
  <c r="F6" i="55" s="1"/>
  <c r="E72" i="55"/>
  <c r="E97" i="55"/>
  <c r="Q45" i="26"/>
  <c r="R15" i="21"/>
  <c r="G85" i="21" s="1"/>
  <c r="G84" i="21"/>
  <c r="G87" i="21" s="1"/>
  <c r="AB48" i="26"/>
  <c r="AB45" i="26" s="1"/>
  <c r="N93" i="55"/>
  <c r="N68" i="55"/>
  <c r="N40" i="26"/>
  <c r="M15" i="26"/>
  <c r="M88" i="26"/>
  <c r="M39" i="26"/>
  <c r="M55" i="55"/>
  <c r="M80" i="55"/>
  <c r="I69" i="38"/>
  <c r="I66" i="38"/>
  <c r="K80" i="55"/>
  <c r="K55" i="55"/>
  <c r="F28" i="21"/>
  <c r="N47" i="21"/>
  <c r="X95" i="26" s="1"/>
  <c r="J47" i="21"/>
  <c r="T95" i="26" s="1"/>
  <c r="O34" i="59"/>
  <c r="W63" i="59"/>
  <c r="V20" i="59"/>
  <c r="S43" i="30"/>
  <c r="I26" i="21"/>
  <c r="C84" i="21"/>
  <c r="C15" i="21"/>
  <c r="W14" i="21"/>
  <c r="I70" i="38"/>
  <c r="K99" i="55"/>
  <c r="K74" i="55"/>
  <c r="L25" i="21"/>
  <c r="S33" i="38"/>
  <c r="O32" i="38"/>
  <c r="Q32" i="38" s="1"/>
  <c r="L54" i="48"/>
  <c r="L37" i="48"/>
  <c r="J6" i="50"/>
  <c r="Q46" i="30"/>
  <c r="O45" i="26"/>
  <c r="AD47" i="26"/>
  <c r="AE13" i="26" s="1"/>
  <c r="G75" i="21"/>
  <c r="AB17" i="59"/>
  <c r="L15" i="35" s="1"/>
  <c r="M17" i="55" s="1"/>
  <c r="T11" i="25"/>
  <c r="R95" i="26" l="1"/>
  <c r="W47" i="21"/>
  <c r="E96" i="55"/>
  <c r="E71" i="55"/>
  <c r="T43" i="30"/>
  <c r="J26" i="21"/>
  <c r="AC132" i="48"/>
  <c r="AC26" i="48" s="1"/>
  <c r="M22" i="35" s="1"/>
  <c r="N24" i="55" s="1"/>
  <c r="AB26" i="48"/>
  <c r="L22" i="35" s="1"/>
  <c r="M24" i="55" s="1"/>
  <c r="F4" i="35"/>
  <c r="G6" i="55" s="1"/>
  <c r="L55" i="48"/>
  <c r="L38" i="48"/>
  <c r="U14" i="59"/>
  <c r="V20" i="25"/>
  <c r="E9" i="35"/>
  <c r="F11" i="55" s="1"/>
  <c r="U11" i="25"/>
  <c r="X12" i="20"/>
  <c r="W13" i="20"/>
  <c r="U32" i="59"/>
  <c r="D18" i="35"/>
  <c r="E20" i="55" s="1"/>
  <c r="D16" i="35"/>
  <c r="E18" i="55" s="1"/>
  <c r="G83" i="55"/>
  <c r="G58" i="55"/>
  <c r="O33" i="38"/>
  <c r="Q33" i="38" s="1"/>
  <c r="S34" i="38"/>
  <c r="N43" i="30"/>
  <c r="D26" i="21"/>
  <c r="M33" i="62"/>
  <c r="E11" i="55"/>
  <c r="W35" i="20"/>
  <c r="F5" i="35"/>
  <c r="G7" i="55" s="1"/>
  <c r="V43" i="30"/>
  <c r="L26" i="21"/>
  <c r="D59" i="26"/>
  <c r="M20" i="26"/>
  <c r="M90" i="26" s="1"/>
  <c r="M85" i="26" s="1"/>
  <c r="O40" i="26"/>
  <c r="N15" i="26"/>
  <c r="N20" i="26" s="1"/>
  <c r="N90" i="26" s="1"/>
  <c r="N88" i="26"/>
  <c r="N85" i="26" s="1"/>
  <c r="N39" i="26"/>
  <c r="L56" i="48"/>
  <c r="L39" i="48"/>
  <c r="V15" i="59"/>
  <c r="F12" i="35"/>
  <c r="G14" i="55" s="1"/>
  <c r="W10" i="33"/>
  <c r="G19" i="33"/>
  <c r="F83" i="59"/>
  <c r="F84" i="59" s="1"/>
  <c r="AD13" i="26"/>
  <c r="AC131" i="48"/>
  <c r="AC25" i="48" s="1"/>
  <c r="AB25" i="48"/>
  <c r="R43" i="30"/>
  <c r="H26" i="21"/>
  <c r="L99" i="55"/>
  <c r="L74" i="55"/>
  <c r="W14" i="25"/>
  <c r="W13" i="25" s="1"/>
  <c r="X12" i="25"/>
  <c r="H93" i="55"/>
  <c r="H68" i="55"/>
  <c r="W15" i="30"/>
  <c r="W13" i="30"/>
  <c r="W11" i="30" s="1"/>
  <c r="W46" i="30" s="1"/>
  <c r="G6" i="35" s="1"/>
  <c r="H8" i="55" s="1"/>
  <c r="X17" i="30"/>
  <c r="F97" i="55"/>
  <c r="F72" i="55"/>
  <c r="X63" i="59"/>
  <c r="W20" i="59"/>
  <c r="I71" i="38"/>
  <c r="I73" i="38"/>
  <c r="W130" i="48"/>
  <c r="V24" i="48"/>
  <c r="V21" i="48" s="1"/>
  <c r="F20" i="35" s="1"/>
  <c r="G22" i="55" s="1"/>
  <c r="K25" i="21"/>
  <c r="X45" i="26"/>
  <c r="AD45" i="26" s="1"/>
  <c r="F89" i="55"/>
  <c r="F64" i="55"/>
  <c r="X13" i="48"/>
  <c r="Y13" i="48" s="1"/>
  <c r="Z13" i="48" s="1"/>
  <c r="AA13" i="48" s="1"/>
  <c r="AB13" i="48" s="1"/>
  <c r="AC13" i="48" s="1"/>
  <c r="W11" i="48"/>
  <c r="V10" i="48"/>
  <c r="F57" i="55"/>
  <c r="F82" i="55"/>
  <c r="F4" i="50"/>
  <c r="M75" i="59"/>
  <c r="M76" i="59" s="1"/>
  <c r="F81" i="55"/>
  <c r="F56" i="55"/>
  <c r="J77" i="59"/>
  <c r="I25" i="59"/>
  <c r="I28" i="59" s="1"/>
  <c r="U14" i="48"/>
  <c r="U9" i="48" s="1"/>
  <c r="E19" i="35" s="1"/>
  <c r="F21" i="55" s="1"/>
  <c r="V15" i="48"/>
  <c r="I93" i="55"/>
  <c r="I68" i="55"/>
  <c r="G93" i="55"/>
  <c r="G68" i="55"/>
  <c r="U12" i="49"/>
  <c r="V12" i="49" s="1"/>
  <c r="W12" i="49" s="1"/>
  <c r="X12" i="49" s="1"/>
  <c r="E98" i="55"/>
  <c r="E73" i="55"/>
  <c r="S19" i="38"/>
  <c r="L18" i="38"/>
  <c r="N18" i="38" s="1"/>
  <c r="E25" i="21"/>
  <c r="W43" i="30"/>
  <c r="M26" i="21"/>
  <c r="Q43" i="30"/>
  <c r="G26" i="21"/>
  <c r="M92" i="55"/>
  <c r="M67" i="55"/>
  <c r="W15" i="21"/>
  <c r="C85" i="21"/>
  <c r="C87" i="21" s="1"/>
  <c r="M93" i="55"/>
  <c r="M68" i="55"/>
  <c r="V18" i="48"/>
  <c r="U17" i="48"/>
  <c r="E21" i="35" s="1"/>
  <c r="F23" i="55" s="1"/>
  <c r="N17" i="38"/>
  <c r="F93" i="55"/>
  <c r="F68" i="55"/>
  <c r="L40" i="48"/>
  <c r="L57" i="48"/>
  <c r="P41" i="38"/>
  <c r="R41" i="38" s="1"/>
  <c r="T42" i="38"/>
  <c r="F96" i="55" l="1"/>
  <c r="F71" i="55"/>
  <c r="M64" i="20"/>
  <c r="M65" i="20" s="1"/>
  <c r="F2" i="50"/>
  <c r="G57" i="55"/>
  <c r="G82" i="55"/>
  <c r="X35" i="20"/>
  <c r="G5" i="35"/>
  <c r="H7" i="55" s="1"/>
  <c r="O43" i="30"/>
  <c r="E26" i="21"/>
  <c r="Y12" i="49"/>
  <c r="Z12" i="49" s="1"/>
  <c r="AA12" i="49" s="1"/>
  <c r="AB12" i="49" s="1"/>
  <c r="AC12" i="49" s="1"/>
  <c r="G24" i="49"/>
  <c r="G25" i="49" s="1"/>
  <c r="G4" i="35"/>
  <c r="H6" i="55" s="1"/>
  <c r="X10" i="33"/>
  <c r="G12" i="35"/>
  <c r="H14" i="55" s="1"/>
  <c r="W15" i="59"/>
  <c r="F86" i="59"/>
  <c r="O88" i="26"/>
  <c r="P40" i="26"/>
  <c r="O15" i="26"/>
  <c r="O20" i="26" s="1"/>
  <c r="O90" i="26" s="1"/>
  <c r="O39" i="26"/>
  <c r="Y12" i="20"/>
  <c r="X13" i="20"/>
  <c r="G81" i="55"/>
  <c r="G56" i="55"/>
  <c r="G89" i="55"/>
  <c r="G64" i="55"/>
  <c r="E86" i="55"/>
  <c r="E61" i="55"/>
  <c r="M99" i="55"/>
  <c r="M74" i="55"/>
  <c r="H83" i="55"/>
  <c r="H58" i="55"/>
  <c r="V32" i="59"/>
  <c r="E18" i="35"/>
  <c r="F20" i="55" s="1"/>
  <c r="F86" i="55"/>
  <c r="F61" i="55"/>
  <c r="X14" i="25"/>
  <c r="X13" i="25" s="1"/>
  <c r="Y12" i="25"/>
  <c r="D55" i="26"/>
  <c r="E59" i="26"/>
  <c r="E55" i="26" s="1"/>
  <c r="E68" i="55"/>
  <c r="E93" i="55"/>
  <c r="V14" i="59"/>
  <c r="W20" i="25"/>
  <c r="F9" i="35"/>
  <c r="G11" i="55" s="1"/>
  <c r="V11" i="25"/>
  <c r="N74" i="55"/>
  <c r="N99" i="55"/>
  <c r="K77" i="59"/>
  <c r="J25" i="59"/>
  <c r="J28" i="59" s="1"/>
  <c r="C3" i="50" s="1"/>
  <c r="J79" i="59"/>
  <c r="J23" i="59" s="1"/>
  <c r="U43" i="30"/>
  <c r="K26" i="21"/>
  <c r="Y63" i="59"/>
  <c r="X20" i="59"/>
  <c r="T43" i="38"/>
  <c r="P42" i="38"/>
  <c r="R42" i="38" s="1"/>
  <c r="W18" i="48"/>
  <c r="V17" i="48"/>
  <c r="F21" i="35" s="1"/>
  <c r="G23" i="55" s="1"/>
  <c r="X11" i="48"/>
  <c r="W10" i="48"/>
  <c r="G97" i="55"/>
  <c r="G72" i="55"/>
  <c r="N64" i="20"/>
  <c r="N65" i="20" s="1"/>
  <c r="G2" i="50"/>
  <c r="S20" i="38"/>
  <c r="L20" i="38" s="1"/>
  <c r="N20" i="38" s="1"/>
  <c r="L19" i="38"/>
  <c r="F98" i="55"/>
  <c r="F73" i="55"/>
  <c r="F24" i="49"/>
  <c r="F25" i="49" s="1"/>
  <c r="W15" i="48"/>
  <c r="V14" i="48"/>
  <c r="V9" i="48" s="1"/>
  <c r="F19" i="35" s="1"/>
  <c r="G21" i="55" s="1"/>
  <c r="X130" i="48"/>
  <c r="W24" i="48"/>
  <c r="W21" i="48" s="1"/>
  <c r="G20" i="35" s="1"/>
  <c r="H22" i="55" s="1"/>
  <c r="X13" i="30"/>
  <c r="X11" i="30" s="1"/>
  <c r="X46" i="30" s="1"/>
  <c r="H6" i="35" s="1"/>
  <c r="I8" i="55" s="1"/>
  <c r="Y17" i="30"/>
  <c r="X15" i="30"/>
  <c r="S35" i="38"/>
  <c r="O34" i="38"/>
  <c r="Q34" i="38" s="1"/>
  <c r="E95" i="55"/>
  <c r="E70" i="55"/>
  <c r="G96" i="55" l="1"/>
  <c r="G71" i="55"/>
  <c r="T31" i="59"/>
  <c r="T34" i="49"/>
  <c r="U32" i="49"/>
  <c r="D11" i="35"/>
  <c r="Y13" i="30"/>
  <c r="Y11" i="30" s="1"/>
  <c r="Y46" i="30" s="1"/>
  <c r="I6" i="35" s="1"/>
  <c r="J8" i="55" s="1"/>
  <c r="Z17" i="30"/>
  <c r="Y15" i="30"/>
  <c r="Z63" i="59"/>
  <c r="Y20" i="59"/>
  <c r="F95" i="55"/>
  <c r="F70" i="55"/>
  <c r="P88" i="26"/>
  <c r="Q40" i="26"/>
  <c r="P15" i="26"/>
  <c r="P39" i="26"/>
  <c r="G26" i="49"/>
  <c r="T44" i="38"/>
  <c r="P43" i="38"/>
  <c r="R43" i="38" s="1"/>
  <c r="I83" i="55"/>
  <c r="I58" i="55"/>
  <c r="N19" i="38"/>
  <c r="N46" i="38" s="1"/>
  <c r="N47" i="38" s="1"/>
  <c r="L46" i="38"/>
  <c r="L47" i="38" s="1"/>
  <c r="Z12" i="25"/>
  <c r="Y14" i="25"/>
  <c r="Y13" i="25" s="1"/>
  <c r="W32" i="59"/>
  <c r="F18" i="35"/>
  <c r="G20" i="55" s="1"/>
  <c r="O85" i="26"/>
  <c r="H97" i="55"/>
  <c r="H72" i="55"/>
  <c r="X10" i="48"/>
  <c r="Y11" i="48"/>
  <c r="G86" i="55"/>
  <c r="G61" i="55"/>
  <c r="AT79" i="20"/>
  <c r="AT77" i="20"/>
  <c r="AT78" i="20"/>
  <c r="M14" i="20"/>
  <c r="M36" i="20"/>
  <c r="S36" i="38"/>
  <c r="O36" i="38" s="1"/>
  <c r="O35" i="38"/>
  <c r="Q35" i="38" s="1"/>
  <c r="H81" i="55"/>
  <c r="H56" i="55"/>
  <c r="Y130" i="48"/>
  <c r="X24" i="48"/>
  <c r="X21" i="48" s="1"/>
  <c r="H20" i="35" s="1"/>
  <c r="I22" i="55" s="1"/>
  <c r="G98" i="55"/>
  <c r="G73" i="55"/>
  <c r="W14" i="59"/>
  <c r="X20" i="25"/>
  <c r="G9" i="35"/>
  <c r="H11" i="55" s="1"/>
  <c r="W11" i="25"/>
  <c r="H4" i="35"/>
  <c r="I6" i="55" s="1"/>
  <c r="H89" i="55"/>
  <c r="H64" i="55"/>
  <c r="H82" i="55"/>
  <c r="H57" i="55"/>
  <c r="Y35" i="20"/>
  <c r="H5" i="35"/>
  <c r="I7" i="55" s="1"/>
  <c r="X18" i="48"/>
  <c r="W17" i="48"/>
  <c r="G21" i="35" s="1"/>
  <c r="H23" i="55" s="1"/>
  <c r="W14" i="48"/>
  <c r="W9" i="48" s="1"/>
  <c r="G19" i="35" s="1"/>
  <c r="H21" i="55" s="1"/>
  <c r="X15" i="48"/>
  <c r="AU77" i="20"/>
  <c r="AU78" i="20"/>
  <c r="AU79" i="20"/>
  <c r="N14" i="20"/>
  <c r="N36" i="20"/>
  <c r="L77" i="59"/>
  <c r="K25" i="59"/>
  <c r="K79" i="59"/>
  <c r="K23" i="59" s="1"/>
  <c r="Z12" i="20"/>
  <c r="Y13" i="20"/>
  <c r="Y10" i="33"/>
  <c r="X15" i="59"/>
  <c r="H12" i="35"/>
  <c r="I14" i="55" s="1"/>
  <c r="H96" i="55" l="1"/>
  <c r="H71" i="55"/>
  <c r="M32" i="62"/>
  <c r="E13" i="55"/>
  <c r="Q36" i="38"/>
  <c r="Q46" i="38" s="1"/>
  <c r="Q47" i="38" s="1"/>
  <c r="O46" i="38"/>
  <c r="O47" i="38" s="1"/>
  <c r="H98" i="55"/>
  <c r="H73" i="55"/>
  <c r="AA12" i="25"/>
  <c r="Z14" i="25"/>
  <c r="Z13" i="25" s="1"/>
  <c r="T10" i="26"/>
  <c r="D10" i="35"/>
  <c r="E12" i="55" s="1"/>
  <c r="K28" i="59"/>
  <c r="D3" i="50" s="1"/>
  <c r="U34" i="49"/>
  <c r="U35" i="49" s="1"/>
  <c r="U31" i="59"/>
  <c r="V32" i="49"/>
  <c r="E11" i="35"/>
  <c r="F13" i="55" s="1"/>
  <c r="Y18" i="48"/>
  <c r="X17" i="48"/>
  <c r="H21" i="35" s="1"/>
  <c r="I23" i="55" s="1"/>
  <c r="I56" i="55"/>
  <c r="I81" i="55"/>
  <c r="Z20" i="59"/>
  <c r="AA63" i="59"/>
  <c r="T35" i="49"/>
  <c r="H9" i="35"/>
  <c r="I11" i="55" s="1"/>
  <c r="X14" i="59"/>
  <c r="Y20" i="25"/>
  <c r="I72" i="55"/>
  <c r="I97" i="55"/>
  <c r="I89" i="55"/>
  <c r="I64" i="55"/>
  <c r="I82" i="55"/>
  <c r="I57" i="55"/>
  <c r="Y24" i="48"/>
  <c r="Y21" i="48" s="1"/>
  <c r="I20" i="35" s="1"/>
  <c r="J22" i="55" s="1"/>
  <c r="Z130" i="48"/>
  <c r="O64" i="20"/>
  <c r="O65" i="20" s="1"/>
  <c r="H2" i="50"/>
  <c r="P20" i="26"/>
  <c r="P90" i="26" s="1"/>
  <c r="P85" i="26" s="1"/>
  <c r="AA17" i="30"/>
  <c r="Z15" i="30"/>
  <c r="Z13" i="30"/>
  <c r="Z11" i="30" s="1"/>
  <c r="Z46" i="30" s="1"/>
  <c r="J6" i="35" s="1"/>
  <c r="K8" i="55" s="1"/>
  <c r="X14" i="48"/>
  <c r="X9" i="48" s="1"/>
  <c r="H19" i="35" s="1"/>
  <c r="I21" i="55" s="1"/>
  <c r="Y15" i="48"/>
  <c r="Z11" i="48"/>
  <c r="Y10" i="48"/>
  <c r="Z10" i="33"/>
  <c r="Y15" i="59"/>
  <c r="I12" i="35"/>
  <c r="J14" i="55" s="1"/>
  <c r="G95" i="55"/>
  <c r="G70" i="55"/>
  <c r="Q88" i="26"/>
  <c r="R40" i="26"/>
  <c r="Q15" i="26"/>
  <c r="Q20" i="26" s="1"/>
  <c r="Q90" i="26" s="1"/>
  <c r="Q39" i="26"/>
  <c r="J83" i="55"/>
  <c r="J58" i="55"/>
  <c r="P44" i="38"/>
  <c r="R44" i="38" s="1"/>
  <c r="T45" i="38"/>
  <c r="P45" i="38" s="1"/>
  <c r="L25" i="59"/>
  <c r="M77" i="59"/>
  <c r="L79" i="59"/>
  <c r="L23" i="59" s="1"/>
  <c r="I4" i="35"/>
  <c r="J6" i="55" s="1"/>
  <c r="Z35" i="20"/>
  <c r="I5" i="35"/>
  <c r="J7" i="55" s="1"/>
  <c r="Z13" i="20"/>
  <c r="AA12" i="20"/>
  <c r="H86" i="55"/>
  <c r="H61" i="55"/>
  <c r="X32" i="59"/>
  <c r="G18" i="35"/>
  <c r="H20" i="55" s="1"/>
  <c r="X11" i="25"/>
  <c r="I96" i="55" l="1"/>
  <c r="I71" i="55"/>
  <c r="P64" i="20"/>
  <c r="P65" i="20" s="1"/>
  <c r="I2" i="50"/>
  <c r="M25" i="59"/>
  <c r="M28" i="59" s="1"/>
  <c r="F3" i="50" s="1"/>
  <c r="N77" i="59"/>
  <c r="M79" i="59"/>
  <c r="M23" i="59" s="1"/>
  <c r="R88" i="26"/>
  <c r="R39" i="26"/>
  <c r="S40" i="26"/>
  <c r="R15" i="26"/>
  <c r="Z10" i="48"/>
  <c r="AA11" i="48"/>
  <c r="AA20" i="59"/>
  <c r="AB63" i="59"/>
  <c r="F88" i="55"/>
  <c r="F63" i="55"/>
  <c r="J4" i="35"/>
  <c r="K6" i="55" s="1"/>
  <c r="Q85" i="26"/>
  <c r="AV77" i="20"/>
  <c r="AV78" i="20"/>
  <c r="O36" i="20"/>
  <c r="O14" i="20"/>
  <c r="AV79" i="20"/>
  <c r="V34" i="49"/>
  <c r="V35" i="49" s="1"/>
  <c r="V31" i="59"/>
  <c r="W32" i="49"/>
  <c r="F11" i="35"/>
  <c r="G13" i="55" s="1"/>
  <c r="AB12" i="25"/>
  <c r="AA14" i="25"/>
  <c r="AA13" i="25" s="1"/>
  <c r="E88" i="55"/>
  <c r="E63" i="55"/>
  <c r="AA13" i="20"/>
  <c r="AB12" i="20"/>
  <c r="L28" i="59"/>
  <c r="E3" i="50" s="1"/>
  <c r="Z15" i="48"/>
  <c r="Y14" i="48"/>
  <c r="Y9" i="48" s="1"/>
  <c r="I19" i="35" s="1"/>
  <c r="J21" i="55" s="1"/>
  <c r="J82" i="55"/>
  <c r="J57" i="55"/>
  <c r="R45" i="38"/>
  <c r="R46" i="38" s="1"/>
  <c r="R47" i="38" s="1"/>
  <c r="P46" i="38"/>
  <c r="P47" i="38" s="1"/>
  <c r="AA130" i="48"/>
  <c r="Z24" i="48"/>
  <c r="Z21" i="48" s="1"/>
  <c r="J20" i="35" s="1"/>
  <c r="K22" i="55" s="1"/>
  <c r="K58" i="55"/>
  <c r="K83" i="55"/>
  <c r="J97" i="55"/>
  <c r="J72" i="55"/>
  <c r="E10" i="35"/>
  <c r="F12" i="55" s="1"/>
  <c r="U10" i="26"/>
  <c r="AA35" i="20"/>
  <c r="J5" i="35"/>
  <c r="K7" i="55" s="1"/>
  <c r="J89" i="55"/>
  <c r="J64" i="55"/>
  <c r="Y14" i="59"/>
  <c r="Z20" i="25"/>
  <c r="I9" i="35"/>
  <c r="J11" i="55" s="1"/>
  <c r="Y11" i="25"/>
  <c r="I98" i="55"/>
  <c r="I73" i="55"/>
  <c r="AA10" i="33"/>
  <c r="Z15" i="59"/>
  <c r="J12" i="35"/>
  <c r="K14" i="55" s="1"/>
  <c r="I61" i="55"/>
  <c r="I86" i="55"/>
  <c r="H95" i="55"/>
  <c r="H70" i="55"/>
  <c r="Y32" i="59"/>
  <c r="H18" i="35"/>
  <c r="I20" i="55" s="1"/>
  <c r="J56" i="55"/>
  <c r="J81" i="55"/>
  <c r="AB17" i="30"/>
  <c r="AA15" i="30"/>
  <c r="AA13" i="30"/>
  <c r="AA11" i="30" s="1"/>
  <c r="AA46" i="30" s="1"/>
  <c r="K6" i="35" s="1"/>
  <c r="L8" i="55" s="1"/>
  <c r="Z18" i="48"/>
  <c r="Y17" i="48"/>
  <c r="I21" i="35" s="1"/>
  <c r="J23" i="55" s="1"/>
  <c r="E87" i="55"/>
  <c r="E62" i="55"/>
  <c r="J96" i="55" l="1"/>
  <c r="J71" i="55"/>
  <c r="O77" i="59"/>
  <c r="N25" i="59"/>
  <c r="N79" i="59"/>
  <c r="N23" i="59" s="1"/>
  <c r="AB11" i="48"/>
  <c r="AA10" i="48"/>
  <c r="I95" i="55"/>
  <c r="I70" i="55"/>
  <c r="AB10" i="33"/>
  <c r="AA15" i="59"/>
  <c r="K12" i="35"/>
  <c r="L14" i="55" s="1"/>
  <c r="K81" i="55"/>
  <c r="K56" i="55"/>
  <c r="Z9" i="48"/>
  <c r="J19" i="35" s="1"/>
  <c r="K21" i="55" s="1"/>
  <c r="Q64" i="20"/>
  <c r="Q65" i="20" s="1"/>
  <c r="J2" i="50"/>
  <c r="J98" i="55"/>
  <c r="J73" i="55"/>
  <c r="AA18" i="48"/>
  <c r="Z17" i="48"/>
  <c r="J21" i="35" s="1"/>
  <c r="K23" i="55" s="1"/>
  <c r="Z32" i="59"/>
  <c r="I18" i="35"/>
  <c r="J20" i="55" s="1"/>
  <c r="K82" i="55"/>
  <c r="K57" i="55"/>
  <c r="F10" i="35"/>
  <c r="G12" i="55" s="1"/>
  <c r="V10" i="26"/>
  <c r="R20" i="26"/>
  <c r="R90" i="26" s="1"/>
  <c r="K4" i="35"/>
  <c r="L6" i="55" s="1"/>
  <c r="G83" i="59"/>
  <c r="G84" i="59" s="1"/>
  <c r="S88" i="26"/>
  <c r="S39" i="26"/>
  <c r="S15" i="26"/>
  <c r="S20" i="26" s="1"/>
  <c r="T40" i="26"/>
  <c r="AW77" i="20"/>
  <c r="AW78" i="20"/>
  <c r="AW79" i="20"/>
  <c r="P36" i="20"/>
  <c r="P14" i="20"/>
  <c r="W31" i="59"/>
  <c r="X32" i="49"/>
  <c r="W34" i="49"/>
  <c r="G11" i="35"/>
  <c r="H13" i="55" s="1"/>
  <c r="L83" i="55"/>
  <c r="L58" i="55"/>
  <c r="AB35" i="20"/>
  <c r="K5" i="35"/>
  <c r="L7" i="55" s="1"/>
  <c r="G86" i="59"/>
  <c r="AA15" i="48"/>
  <c r="Z14" i="48"/>
  <c r="AB13" i="20"/>
  <c r="AC12" i="20"/>
  <c r="AC13" i="20" s="1"/>
  <c r="K97" i="55"/>
  <c r="K72" i="55"/>
  <c r="AC12" i="25"/>
  <c r="AB14" i="25"/>
  <c r="AB13" i="25" s="1"/>
  <c r="R85" i="26"/>
  <c r="K89" i="55"/>
  <c r="K64" i="55"/>
  <c r="J61" i="55"/>
  <c r="J86" i="55"/>
  <c r="AC17" i="30"/>
  <c r="AB15" i="30"/>
  <c r="AB13" i="30"/>
  <c r="AB11" i="30" s="1"/>
  <c r="AB46" i="30" s="1"/>
  <c r="L6" i="35" s="1"/>
  <c r="M8" i="55" s="1"/>
  <c r="Z14" i="59"/>
  <c r="AA20" i="25"/>
  <c r="J9" i="35"/>
  <c r="K11" i="55" s="1"/>
  <c r="Z11" i="25"/>
  <c r="F62" i="55"/>
  <c r="F87" i="55"/>
  <c r="AB130" i="48"/>
  <c r="AA24" i="48"/>
  <c r="AA21" i="48" s="1"/>
  <c r="K20" i="35" s="1"/>
  <c r="L22" i="55" s="1"/>
  <c r="G88" i="55"/>
  <c r="G63" i="55"/>
  <c r="AC63" i="59"/>
  <c r="AC20" i="59" s="1"/>
  <c r="AB20" i="59"/>
  <c r="H19" i="33"/>
  <c r="L4" i="35" l="1"/>
  <c r="M6" i="55" s="1"/>
  <c r="J18" i="35"/>
  <c r="K20" i="55" s="1"/>
  <c r="AA32" i="59"/>
  <c r="AB15" i="48"/>
  <c r="AA14" i="48"/>
  <c r="AA9" i="48" s="1"/>
  <c r="K19" i="35" s="1"/>
  <c r="L21" i="55" s="1"/>
  <c r="W10" i="26"/>
  <c r="G10" i="35"/>
  <c r="H12" i="55" s="1"/>
  <c r="K98" i="55"/>
  <c r="K73" i="55"/>
  <c r="AB10" i="48"/>
  <c r="AC11" i="48"/>
  <c r="AC10" i="48" s="1"/>
  <c r="R64" i="20"/>
  <c r="R65" i="20" s="1"/>
  <c r="K2" i="50"/>
  <c r="J95" i="55"/>
  <c r="J70" i="55"/>
  <c r="AC14" i="25"/>
  <c r="AC13" i="25" s="1"/>
  <c r="W35" i="49"/>
  <c r="T88" i="26"/>
  <c r="T39" i="26"/>
  <c r="U40" i="26"/>
  <c r="T15" i="26"/>
  <c r="AB18" i="48"/>
  <c r="AA17" i="48"/>
  <c r="K21" i="35" s="1"/>
  <c r="L23" i="55" s="1"/>
  <c r="L97" i="55"/>
  <c r="L72" i="55"/>
  <c r="AC15" i="30"/>
  <c r="AC13" i="30"/>
  <c r="AC11" i="30" s="1"/>
  <c r="AC46" i="30" s="1"/>
  <c r="M6" i="35" s="1"/>
  <c r="N8" i="55" s="1"/>
  <c r="L82" i="55"/>
  <c r="L57" i="55"/>
  <c r="X31" i="59"/>
  <c r="X34" i="49"/>
  <c r="H11" i="35"/>
  <c r="I13" i="55" s="1"/>
  <c r="Y32" i="49"/>
  <c r="S90" i="26"/>
  <c r="T20" i="26"/>
  <c r="L64" i="55"/>
  <c r="L89" i="55"/>
  <c r="N28" i="59"/>
  <c r="G3" i="50" s="1"/>
  <c r="K96" i="55"/>
  <c r="K71" i="55"/>
  <c r="G62" i="55"/>
  <c r="G87" i="55"/>
  <c r="P77" i="59"/>
  <c r="O25" i="59"/>
  <c r="O79" i="59"/>
  <c r="O23" i="59" s="1"/>
  <c r="M83" i="55"/>
  <c r="M58" i="55"/>
  <c r="H63" i="55"/>
  <c r="H88" i="55"/>
  <c r="K86" i="55"/>
  <c r="K61" i="55"/>
  <c r="L5" i="35"/>
  <c r="M7" i="55" s="1"/>
  <c r="S85" i="26"/>
  <c r="AC10" i="33"/>
  <c r="AB15" i="59"/>
  <c r="I19" i="33"/>
  <c r="L12" i="35"/>
  <c r="M14" i="55" s="1"/>
  <c r="L81" i="55"/>
  <c r="L56" i="55"/>
  <c r="AC130" i="48"/>
  <c r="AC24" i="48" s="1"/>
  <c r="AC21" i="48" s="1"/>
  <c r="M20" i="35" s="1"/>
  <c r="N22" i="55" s="1"/>
  <c r="AB24" i="48"/>
  <c r="AB21" i="48" s="1"/>
  <c r="L20" i="35" s="1"/>
  <c r="M22" i="55" s="1"/>
  <c r="AA14" i="59"/>
  <c r="AB20" i="25"/>
  <c r="K9" i="35"/>
  <c r="L11" i="55" s="1"/>
  <c r="AA11" i="25"/>
  <c r="M4" i="35"/>
  <c r="N6" i="55" s="1"/>
  <c r="AX77" i="20"/>
  <c r="AX78" i="20"/>
  <c r="AX79" i="20"/>
  <c r="Q14" i="20"/>
  <c r="Q36" i="20"/>
  <c r="L96" i="55" l="1"/>
  <c r="L71" i="55"/>
  <c r="U88" i="26"/>
  <c r="V40" i="26"/>
  <c r="U15" i="26"/>
  <c r="U39" i="26"/>
  <c r="N83" i="55"/>
  <c r="N58" i="55"/>
  <c r="Q77" i="59"/>
  <c r="P25" i="59"/>
  <c r="P79" i="59"/>
  <c r="P23" i="59" s="1"/>
  <c r="M89" i="55"/>
  <c r="M64" i="55"/>
  <c r="Y34" i="49"/>
  <c r="Y31" i="59"/>
  <c r="I11" i="35"/>
  <c r="J13" i="55" s="1"/>
  <c r="Z32" i="49"/>
  <c r="AY78" i="20"/>
  <c r="AY79" i="20"/>
  <c r="AY77" i="20"/>
  <c r="R36" i="20"/>
  <c r="R14" i="20"/>
  <c r="AC15" i="48"/>
  <c r="AC14" i="48" s="1"/>
  <c r="AB14" i="48"/>
  <c r="H87" i="55"/>
  <c r="H62" i="55"/>
  <c r="T90" i="26"/>
  <c r="T85" i="26" s="1"/>
  <c r="U20" i="26"/>
  <c r="M97" i="55"/>
  <c r="M72" i="55"/>
  <c r="AC15" i="59"/>
  <c r="M12" i="35"/>
  <c r="N14" i="55" s="1"/>
  <c r="I88" i="55"/>
  <c r="I63" i="55"/>
  <c r="AC9" i="48"/>
  <c r="M19" i="35" s="1"/>
  <c r="N21" i="55" s="1"/>
  <c r="AB32" i="59"/>
  <c r="K18" i="35"/>
  <c r="L20" i="55" s="1"/>
  <c r="N97" i="55"/>
  <c r="N72" i="55"/>
  <c r="X10" i="26"/>
  <c r="H10" i="35"/>
  <c r="I12" i="55" s="1"/>
  <c r="AB9" i="48"/>
  <c r="L19" i="35" s="1"/>
  <c r="M21" i="55" s="1"/>
  <c r="K95" i="55"/>
  <c r="K70" i="55"/>
  <c r="L86" i="55"/>
  <c r="L61" i="55"/>
  <c r="AB14" i="59"/>
  <c r="AC20" i="25"/>
  <c r="L9" i="35"/>
  <c r="M11" i="55" s="1"/>
  <c r="AB11" i="25"/>
  <c r="X35" i="49"/>
  <c r="L98" i="55"/>
  <c r="L73" i="55"/>
  <c r="M81" i="55"/>
  <c r="M56" i="55"/>
  <c r="T11" i="26"/>
  <c r="T9" i="26" s="1"/>
  <c r="S64" i="20"/>
  <c r="S65" i="20" s="1"/>
  <c r="L2" i="50"/>
  <c r="C2" i="35"/>
  <c r="D4" i="55" s="1"/>
  <c r="N81" i="55"/>
  <c r="N56" i="55"/>
  <c r="M82" i="55"/>
  <c r="M57" i="55"/>
  <c r="O28" i="59"/>
  <c r="H3" i="50" s="1"/>
  <c r="D87" i="59"/>
  <c r="AC18" i="48"/>
  <c r="AC17" i="48" s="1"/>
  <c r="M21" i="35" s="1"/>
  <c r="N23" i="55" s="1"/>
  <c r="AB17" i="48"/>
  <c r="L21" i="35" s="1"/>
  <c r="M23" i="55" s="1"/>
  <c r="D2" i="35" l="1"/>
  <c r="E4" i="55" s="1"/>
  <c r="T64" i="20"/>
  <c r="T65" i="20" s="1"/>
  <c r="M98" i="55"/>
  <c r="M73" i="55"/>
  <c r="Y10" i="26"/>
  <c r="I10" i="35"/>
  <c r="J12" i="55" s="1"/>
  <c r="AZ78" i="20"/>
  <c r="AZ79" i="20"/>
  <c r="AZ77" i="20"/>
  <c r="S14" i="20"/>
  <c r="S36" i="20"/>
  <c r="U90" i="26"/>
  <c r="U85" i="26" s="1"/>
  <c r="V20" i="26"/>
  <c r="M96" i="55"/>
  <c r="M71" i="55"/>
  <c r="U11" i="26"/>
  <c r="U9" i="26" s="1"/>
  <c r="M86" i="55"/>
  <c r="M61" i="55"/>
  <c r="I87" i="55"/>
  <c r="I62" i="55"/>
  <c r="V88" i="26"/>
  <c r="W40" i="26"/>
  <c r="V15" i="26"/>
  <c r="V11" i="26" s="1"/>
  <c r="V9" i="26" s="1"/>
  <c r="V39" i="26"/>
  <c r="D79" i="55"/>
  <c r="D54" i="55"/>
  <c r="L95" i="55"/>
  <c r="L70" i="55"/>
  <c r="AC32" i="59"/>
  <c r="M18" i="35" s="1"/>
  <c r="N20" i="55" s="1"/>
  <c r="L18" i="35"/>
  <c r="M20" i="55" s="1"/>
  <c r="N96" i="55"/>
  <c r="N71" i="55"/>
  <c r="Y35" i="49"/>
  <c r="Z34" i="49"/>
  <c r="Z35" i="49" s="1"/>
  <c r="AA32" i="49"/>
  <c r="Z31" i="59"/>
  <c r="J11" i="35"/>
  <c r="K13" i="55" s="1"/>
  <c r="P28" i="59"/>
  <c r="I3" i="50" s="1"/>
  <c r="N73" i="55"/>
  <c r="N98" i="55"/>
  <c r="AC14" i="59"/>
  <c r="M9" i="35"/>
  <c r="N11" i="55" s="1"/>
  <c r="AC11" i="25"/>
  <c r="N89" i="55"/>
  <c r="N64" i="55"/>
  <c r="J88" i="55"/>
  <c r="J63" i="55"/>
  <c r="R77" i="59"/>
  <c r="Q25" i="59"/>
  <c r="Q28" i="59" s="1"/>
  <c r="J3" i="50" s="1"/>
  <c r="Q79" i="59"/>
  <c r="Q23" i="59" s="1"/>
  <c r="E2" i="35" l="1"/>
  <c r="F4" i="55" s="1"/>
  <c r="U64" i="20"/>
  <c r="U65" i="20" s="1"/>
  <c r="E79" i="55"/>
  <c r="E54" i="55"/>
  <c r="N61" i="55"/>
  <c r="N86" i="55"/>
  <c r="AA31" i="59"/>
  <c r="AA35" i="49"/>
  <c r="AA34" i="49"/>
  <c r="AB32" i="49"/>
  <c r="K11" i="35"/>
  <c r="L13" i="55" s="1"/>
  <c r="M95" i="55"/>
  <c r="M70" i="55"/>
  <c r="W88" i="26"/>
  <c r="X40" i="26"/>
  <c r="W15" i="26"/>
  <c r="W39" i="26"/>
  <c r="J87" i="55"/>
  <c r="J62" i="55"/>
  <c r="K88" i="55"/>
  <c r="K63" i="55"/>
  <c r="N95" i="55"/>
  <c r="N70" i="55"/>
  <c r="W20" i="26"/>
  <c r="V90" i="26"/>
  <c r="R25" i="59"/>
  <c r="S77" i="59"/>
  <c r="R79" i="59"/>
  <c r="R23" i="59" s="1"/>
  <c r="Z10" i="26"/>
  <c r="J10" i="35"/>
  <c r="K12" i="55" s="1"/>
  <c r="V85" i="26"/>
  <c r="BA79" i="20"/>
  <c r="BA77" i="20"/>
  <c r="BA78" i="20"/>
  <c r="T14" i="20"/>
  <c r="T36" i="20"/>
  <c r="V64" i="20" l="1"/>
  <c r="V65" i="20" s="1"/>
  <c r="F2" i="35"/>
  <c r="G4" i="55" s="1"/>
  <c r="W11" i="26"/>
  <c r="W9" i="26" s="1"/>
  <c r="X88" i="26"/>
  <c r="X15" i="26"/>
  <c r="X39" i="26"/>
  <c r="AD39" i="26" s="1"/>
  <c r="AD40" i="26"/>
  <c r="AE15" i="26" s="1"/>
  <c r="S25" i="59"/>
  <c r="T77" i="59"/>
  <c r="S79" i="59"/>
  <c r="L63" i="55"/>
  <c r="L88" i="55"/>
  <c r="K87" i="55"/>
  <c r="K62" i="55"/>
  <c r="AB31" i="59"/>
  <c r="AB34" i="49"/>
  <c r="AC32" i="49"/>
  <c r="L11" i="35"/>
  <c r="M13" i="55" s="1"/>
  <c r="BB79" i="20"/>
  <c r="BB77" i="20"/>
  <c r="BB78" i="20"/>
  <c r="U14" i="20"/>
  <c r="U36" i="20"/>
  <c r="X20" i="26"/>
  <c r="W90" i="26"/>
  <c r="W85" i="26" s="1"/>
  <c r="R28" i="59"/>
  <c r="K3" i="50" s="1"/>
  <c r="E87" i="59"/>
  <c r="AA10" i="26"/>
  <c r="K10" i="35"/>
  <c r="L12" i="55" s="1"/>
  <c r="F79" i="55"/>
  <c r="F54" i="55"/>
  <c r="W64" i="20" l="1"/>
  <c r="W65" i="20" s="1"/>
  <c r="G2" i="35"/>
  <c r="H4" i="55" s="1"/>
  <c r="X11" i="26"/>
  <c r="X9" i="26" s="1"/>
  <c r="AD15" i="26"/>
  <c r="X85" i="26"/>
  <c r="L87" i="55"/>
  <c r="L62" i="55"/>
  <c r="M88" i="55"/>
  <c r="M63" i="55"/>
  <c r="AC34" i="49"/>
  <c r="AC31" i="59"/>
  <c r="AC35" i="49"/>
  <c r="M11" i="35"/>
  <c r="N13" i="55" s="1"/>
  <c r="T79" i="59"/>
  <c r="S23" i="59"/>
  <c r="S28" i="59" s="1"/>
  <c r="X90" i="26"/>
  <c r="Y20" i="26"/>
  <c r="AB10" i="26"/>
  <c r="L10" i="35"/>
  <c r="M12" i="55" s="1"/>
  <c r="U77" i="59"/>
  <c r="T25" i="59"/>
  <c r="G54" i="55"/>
  <c r="G79" i="55"/>
  <c r="AB35" i="49"/>
  <c r="V14" i="20"/>
  <c r="V36" i="20"/>
  <c r="C17" i="35" l="1"/>
  <c r="D19" i="55" s="1"/>
  <c r="L3" i="50"/>
  <c r="X64" i="20"/>
  <c r="X65" i="20" s="1"/>
  <c r="H2" i="35"/>
  <c r="I4" i="55" s="1"/>
  <c r="M87" i="55"/>
  <c r="M62" i="55"/>
  <c r="U79" i="59"/>
  <c r="T23" i="59"/>
  <c r="T12" i="59" s="1"/>
  <c r="M10" i="35"/>
  <c r="N12" i="55" s="1"/>
  <c r="AC10" i="26"/>
  <c r="N88" i="55"/>
  <c r="N63" i="55"/>
  <c r="H54" i="55"/>
  <c r="H79" i="55"/>
  <c r="V77" i="59"/>
  <c r="U25" i="59"/>
  <c r="Y90" i="26"/>
  <c r="Y85" i="26" s="1"/>
  <c r="Z20" i="26"/>
  <c r="Y11" i="26"/>
  <c r="Y9" i="26" s="1"/>
  <c r="W36" i="20"/>
  <c r="W14" i="20"/>
  <c r="N87" i="55" l="1"/>
  <c r="N62" i="55"/>
  <c r="I79" i="55"/>
  <c r="I54" i="55"/>
  <c r="V79" i="59"/>
  <c r="U23" i="59"/>
  <c r="U12" i="59" s="1"/>
  <c r="U28" i="59"/>
  <c r="E17" i="35" s="1"/>
  <c r="F19" i="55" s="1"/>
  <c r="X14" i="20"/>
  <c r="X36" i="20"/>
  <c r="Z90" i="26"/>
  <c r="Z85" i="26" s="1"/>
  <c r="AA20" i="26"/>
  <c r="Z11" i="26"/>
  <c r="Z9" i="26" s="1"/>
  <c r="W77" i="59"/>
  <c r="V25" i="59"/>
  <c r="T28" i="59"/>
  <c r="D17" i="35" s="1"/>
  <c r="E19" i="55" s="1"/>
  <c r="Y64" i="20"/>
  <c r="Y65" i="20" s="1"/>
  <c r="I2" i="35"/>
  <c r="J4" i="55" s="1"/>
  <c r="D94" i="55"/>
  <c r="D69" i="55"/>
  <c r="F94" i="55" l="1"/>
  <c r="F69" i="55"/>
  <c r="V23" i="59"/>
  <c r="V12" i="59" s="1"/>
  <c r="W79" i="59"/>
  <c r="X77" i="59"/>
  <c r="W25" i="59"/>
  <c r="Z64" i="20"/>
  <c r="Z65" i="20" s="1"/>
  <c r="J2" i="35"/>
  <c r="K4" i="55" s="1"/>
  <c r="Y36" i="20"/>
  <c r="Y14" i="20"/>
  <c r="AA90" i="26"/>
  <c r="AA85" i="26" s="1"/>
  <c r="AB20" i="26"/>
  <c r="AA11" i="26"/>
  <c r="AA9" i="26" s="1"/>
  <c r="J79" i="55"/>
  <c r="J54" i="55"/>
  <c r="E69" i="55"/>
  <c r="E94" i="55"/>
  <c r="Y77" i="59" l="1"/>
  <c r="X25" i="59"/>
  <c r="AA64" i="20"/>
  <c r="AA65" i="20" s="1"/>
  <c r="K2" i="35"/>
  <c r="L4" i="55" s="1"/>
  <c r="AB90" i="26"/>
  <c r="AB85" i="26" s="1"/>
  <c r="AC20" i="26"/>
  <c r="AB11" i="26"/>
  <c r="AB9" i="26" s="1"/>
  <c r="W23" i="59"/>
  <c r="W12" i="59" s="1"/>
  <c r="F85" i="59" s="1"/>
  <c r="F89" i="59" s="1"/>
  <c r="X79" i="59"/>
  <c r="K79" i="55"/>
  <c r="K54" i="55"/>
  <c r="W28" i="59"/>
  <c r="G17" i="35" s="1"/>
  <c r="H19" i="55" s="1"/>
  <c r="V28" i="59"/>
  <c r="F17" i="35" s="1"/>
  <c r="G19" i="55" s="1"/>
  <c r="Z36" i="20"/>
  <c r="Z14" i="20"/>
  <c r="F87" i="59"/>
  <c r="G94" i="55" l="1"/>
  <c r="G69" i="55"/>
  <c r="L79" i="55"/>
  <c r="L54" i="55"/>
  <c r="AA14" i="20"/>
  <c r="AA36" i="20"/>
  <c r="AB64" i="20"/>
  <c r="AB65" i="20" s="1"/>
  <c r="L2" i="35"/>
  <c r="M4" i="55" s="1"/>
  <c r="H94" i="55"/>
  <c r="H69" i="55"/>
  <c r="Y79" i="59"/>
  <c r="X23" i="59"/>
  <c r="X12" i="59" s="1"/>
  <c r="Z77" i="59"/>
  <c r="Y25" i="59"/>
  <c r="AC90" i="26"/>
  <c r="AC85" i="26" s="1"/>
  <c r="AC11" i="26"/>
  <c r="AC9" i="26" s="1"/>
  <c r="AB14" i="20" l="1"/>
  <c r="AB36" i="20"/>
  <c r="Z79" i="59"/>
  <c r="Y23" i="59"/>
  <c r="Y12" i="59" s="1"/>
  <c r="Z25" i="59"/>
  <c r="AA77" i="59"/>
  <c r="M79" i="55"/>
  <c r="M54" i="55"/>
  <c r="X28" i="59"/>
  <c r="H17" i="35" s="1"/>
  <c r="I19" i="55" s="1"/>
  <c r="M2" i="35"/>
  <c r="N4" i="55" s="1"/>
  <c r="AC64" i="20"/>
  <c r="AC65" i="20" s="1"/>
  <c r="I94" i="55" l="1"/>
  <c r="I69" i="55"/>
  <c r="AA25" i="59"/>
  <c r="AB77" i="59"/>
  <c r="AC36" i="20"/>
  <c r="AC14" i="20"/>
  <c r="AA79" i="59"/>
  <c r="Z23" i="59"/>
  <c r="Z12" i="59" s="1"/>
  <c r="N79" i="55"/>
  <c r="N54" i="55"/>
  <c r="Y28" i="59"/>
  <c r="I17" i="35" s="1"/>
  <c r="J19" i="55" s="1"/>
  <c r="J69" i="55" l="1"/>
  <c r="J94" i="55"/>
  <c r="AB79" i="59"/>
  <c r="AA23" i="59"/>
  <c r="AA12" i="59" s="1"/>
  <c r="G85" i="59" s="1"/>
  <c r="G89" i="59" s="1"/>
  <c r="Z28" i="59"/>
  <c r="J17" i="35" s="1"/>
  <c r="K19" i="55" s="1"/>
  <c r="AC77" i="59"/>
  <c r="AC25" i="59" s="1"/>
  <c r="AB25" i="59"/>
  <c r="G87" i="59"/>
  <c r="AC79" i="59" l="1"/>
  <c r="AC23" i="59" s="1"/>
  <c r="AC12" i="59" s="1"/>
  <c r="AB23" i="59"/>
  <c r="AB12" i="59" s="1"/>
  <c r="AA28" i="59"/>
  <c r="K17" i="35" s="1"/>
  <c r="L19" i="55" s="1"/>
  <c r="K94" i="55"/>
  <c r="K69" i="55"/>
  <c r="AB28" i="59"/>
  <c r="L17" i="35" s="1"/>
  <c r="M19" i="55" s="1"/>
  <c r="L94" i="55" l="1"/>
  <c r="L69" i="55"/>
  <c r="M94" i="55"/>
  <c r="M69" i="55"/>
  <c r="AC28" i="59"/>
  <c r="M17" i="35" s="1"/>
  <c r="N19" i="55" s="1"/>
  <c r="N94" i="55" l="1"/>
  <c r="N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tc={EA2E560B-B4F0-4579-B2C7-C9B4B3176BED}</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R40"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9"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0"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4"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77"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tc={A10CFC64-1C02-48DA-8AEE-48D50538ECF3}</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tc={6D3A4604-69CE-4F3F-813F-7F7EA08ED613}</author>
    <author>tc={2FAA442C-06B5-4B8F-BB61-A81BAEC7050D}</author>
    <author>tc={C4EBBB9E-22EA-4672-A509-43BCF8EEAB30}</author>
    <author>tc={DC8487FB-C6EB-42F5-AE71-8B2B07C2A8EE}</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R28"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4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7"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9"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0"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1"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9"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0"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1"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2"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4"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6"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7"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02"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03"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04"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05"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0"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1"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2"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<sst xmlns="http://schemas.openxmlformats.org/spreadsheetml/2006/main" count="4653" uniqueCount="2376">
  <si>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</si>
  <si>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</si>
  <si>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</si>
  <si>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</si>
  <si>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</si>
  <si>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</si>
  <si>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</si>
  <si>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</si>
  <si>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</si>
  <si>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</si>
  <si>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</si>
  <si>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</si>
  <si>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</si>
  <si>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</si>
  <si>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</si>
  <si>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</si>
  <si>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</si>
  <si>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</si>
  <si>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</si>
  <si>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</si>
  <si>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</si>
  <si>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</si>
  <si>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</si>
  <si>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</si>
  <si>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</si>
  <si>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</si>
  <si>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</si>
  <si>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</si>
  <si>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</si>
  <si>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</si>
  <si>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</si>
  <si>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</si>
  <si>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</si>
  <si>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</si>
  <si>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</si>
  <si>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</si>
  <si>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</si>
  <si>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</si>
  <si>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</si>
  <si>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</si>
  <si>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</si>
  <si>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</si>
  <si>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</si>
  <si>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</si>
  <si>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</si>
  <si>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</si>
  <si>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</si>
  <si>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</si>
  <si>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</si>
  <si>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</si>
  <si>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</si>
  <si>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</si>
  <si>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</si>
  <si>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</si>
  <si>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</si>
  <si>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</si>
  <si>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</si>
  <si>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</si>
  <si>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</si>
  <si>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</si>
  <si>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</si>
  <si>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</si>
  <si>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</si>
  <si>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</si>
  <si>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</si>
  <si>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</si>
  <si>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</si>
  <si>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</si>
  <si>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</si>
  <si>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</si>
  <si>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</si>
  <si>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</si>
  <si>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</si>
  <si>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</si>
  <si>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</si>
  <si>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</si>
  <si>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</si>
  <si>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</si>
  <si>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</si>
  <si>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</si>
  <si>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</si>
  <si>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</si>
  <si>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</si>
  <si>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</si>
  <si>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</si>
  <si>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</si>
  <si>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</si>
  <si>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</si>
  <si>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</si>
  <si>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</si>
  <si>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</si>
  <si>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</si>
  <si>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</si>
  <si>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</si>
  <si>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</si>
  <si>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</si>
  <si>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</si>
  <si>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</si>
  <si>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</si>
  <si>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</si>
  <si>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</si>
  <si>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</si>
  <si>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</si>
  <si>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</si>
  <si>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</si>
  <si>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</si>
  <si>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</si>
  <si>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</si>
  <si>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</si>
  <si>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</si>
  <si>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</si>
  <si>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</si>
  <si>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</si>
  <si>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</si>
  <si>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</si>
  <si>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</si>
  <si>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</si>
  <si>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</si>
  <si>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</si>
  <si>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</si>
  <si>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</si>
  <si>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</si>
  <si>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</si>
  <si>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</si>
  <si>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</si>
  <si>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</si>
  <si>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</si>
  <si>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</si>
  <si>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</si>
  <si>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</si>
  <si>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</si>
  <si>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</si>
  <si>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</si>
  <si>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</si>
  <si>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</si>
  <si>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</si>
  <si>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</si>
  <si>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</si>
  <si>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</si>
  <si>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</si>
  <si>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</si>
  <si>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</si>
  <si>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</si>
  <si>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</si>
  <si>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</si>
  <si>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</si>
  <si>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</si>
  <si>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</si>
  <si>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</si>
  <si>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</si>
  <si>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</si>
  <si>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</si>
  <si>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</si>
  <si>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</si>
  <si>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</si>
  <si>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</si>
  <si>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</si>
  <si>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</si>
  <si>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</si>
  <si>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</si>
  <si>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</si>
  <si>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</si>
  <si>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</si>
  <si>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</si>
  <si>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</si>
  <si>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</si>
  <si>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</si>
  <si>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</si>
  <si>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</si>
  <si>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</si>
  <si>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</si>
  <si>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</si>
  <si>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</si>
  <si>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</si>
  <si>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</si>
  <si>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</si>
  <si>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</si>
  <si>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</si>
  <si>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</si>
  <si>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</si>
  <si>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</si>
  <si>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</si>
  <si>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</si>
  <si>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</si>
  <si>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</si>
  <si>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</si>
  <si>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</si>
  <si>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</si>
  <si>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</si>
  <si>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</si>
  <si>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</si>
  <si>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</si>
  <si>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</si>
  <si>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</si>
  <si>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</si>
  <si>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</si>
  <si>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</si>
  <si>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</si>
  <si>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</si>
  <si>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</si>
  <si>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</si>
  <si>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</si>
  <si>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</si>
  <si>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</si>
  <si>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</si>
  <si>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</si>
  <si>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</si>
  <si>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</si>
  <si>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</si>
  <si>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</si>
  <si>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</si>
  <si>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</si>
  <si>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</si>
  <si>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</si>
  <si>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</si>
  <si>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</si>
  <si>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</si>
  <si>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</si>
  <si>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</si>
  <si>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</si>
  <si>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</si>
  <si>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</si>
  <si>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</si>
  <si>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</si>
  <si>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</si>
  <si>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</si>
  <si>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</si>
  <si>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</si>
  <si>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</si>
  <si>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</si>
  <si>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</si>
  <si>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</si>
  <si>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</si>
  <si>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</si>
  <si>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</si>
  <si>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</si>
  <si>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</si>
  <si>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</si>
  <si>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</si>
  <si>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</si>
  <si>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</si>
  <si>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</si>
  <si>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</si>
  <si>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</si>
  <si>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</si>
  <si>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</si>
  <si>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</si>
  <si>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</si>
  <si>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</si>
  <si>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</si>
  <si>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</si>
  <si>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</si>
  <si>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</si>
  <si>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</si>
  <si>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</si>
  <si>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</si>
  <si>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</si>
  <si>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</si>
  <si>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</si>
  <si>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</si>
  <si>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</si>
  <si>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</si>
  <si>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</si>
  <si>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</si>
  <si>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</si>
  <si>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</si>
  <si>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</si>
  <si>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</si>
  <si>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</si>
  <si>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</si>
  <si>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</si>
  <si>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</si>
  <si>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</si>
  <si>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</si>
  <si>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</si>
  <si>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</si>
  <si>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</si>
  <si>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</si>
  <si>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</si>
  <si>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</si>
  <si>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</si>
  <si>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</si>
  <si>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</si>
  <si>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</si>
  <si>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</si>
  <si>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</si>
  <si>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</si>
  <si>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</si>
  <si>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</si>
  <si>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</si>
  <si>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</si>
  <si>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</si>
  <si>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</si>
  <si>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</si>
  <si>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</si>
  <si>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</si>
  <si>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</si>
  <si>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</si>
  <si>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</si>
  <si>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</si>
  <si>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</si>
  <si>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</si>
  <si>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</si>
  <si>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</si>
  <si>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</si>
  <si>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</si>
  <si>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</si>
  <si>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</si>
  <si>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</si>
  <si>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</si>
  <si>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</si>
  <si>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</si>
  <si>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</si>
  <si>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</si>
  <si>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</si>
  <si>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</si>
  <si>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</si>
  <si>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</si>
  <si>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</si>
  <si>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</si>
  <si>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</si>
  <si>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</si>
  <si>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</si>
  <si>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</si>
  <si>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</si>
  <si>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</si>
  <si>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</si>
  <si>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</si>
  <si>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</si>
  <si>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</si>
  <si>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</si>
  <si>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</si>
  <si>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</si>
  <si>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</si>
  <si>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</si>
  <si>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</si>
  <si>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</si>
  <si>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</si>
  <si>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</si>
  <si>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</si>
  <si>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</si>
  <si>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</si>
  <si>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</si>
  <si>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</si>
  <si>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</si>
  <si>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</si>
  <si>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</si>
  <si>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</si>
  <si>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</si>
  <si>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</si>
  <si>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</si>
  <si>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</si>
  <si>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</si>
  <si>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</si>
  <si>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</si>
  <si>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</si>
  <si>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</si>
  <si>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</si>
  <si>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</si>
  <si>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</si>
  <si>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</si>
  <si>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</si>
  <si>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</si>
  <si>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</si>
  <si>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</si>
  <si>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</si>
  <si>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</si>
  <si>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</si>
  <si>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</si>
  <si>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</si>
  <si>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</si>
  <si>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</si>
  <si>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</si>
  <si>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</si>
  <si>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</si>
  <si>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</si>
  <si>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</si>
  <si>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</si>
  <si>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</si>
  <si>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</si>
  <si>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</si>
  <si>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</si>
  <si>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</si>
  <si>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</si>
  <si>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</si>
  <si>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</si>
  <si>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</si>
  <si>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</si>
  <si>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</si>
  <si>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</si>
  <si>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</si>
  <si>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</si>
  <si>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</si>
  <si>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</si>
  <si>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</si>
  <si>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</si>
  <si>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</si>
  <si>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</si>
  <si>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</si>
  <si>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</si>
  <si>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</si>
  <si>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</si>
  <si>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</si>
  <si>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</si>
  <si>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</si>
  <si>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</si>
  <si>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</si>
  <si>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</si>
  <si>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</si>
  <si>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</si>
  <si>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</si>
  <si>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</si>
  <si>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</si>
  <si>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</si>
  <si>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</si>
  <si>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</si>
  <si>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</si>
  <si>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</si>
  <si>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</si>
  <si>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</si>
  <si>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</si>
  <si>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</si>
  <si>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</si>
  <si>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</si>
  <si>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</si>
  <si>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</si>
  <si>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</si>
  <si>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</si>
  <si>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</si>
  <si>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</si>
  <si>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</si>
  <si>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</si>
  <si>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</si>
  <si>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</si>
  <si>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</si>
  <si>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</si>
  <si>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</si>
  <si>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</si>
  <si>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</si>
  <si>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</si>
  <si>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</si>
  <si>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</si>
  <si>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</si>
  <si>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</si>
  <si>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</si>
  <si>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</si>
  <si>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</si>
  <si>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</si>
  <si>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</si>
  <si>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</si>
  <si>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</si>
  <si>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</si>
  <si>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</si>
  <si>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</si>
  <si>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</si>
  <si>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</si>
  <si>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</si>
  <si>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</si>
  <si>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</si>
  <si>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</si>
  <si>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</si>
  <si>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</si>
  <si>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</si>
  <si>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</si>
  <si>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</si>
  <si>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</si>
  <si>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</si>
  <si>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</si>
  <si>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</si>
  <si>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</si>
  <si>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</si>
  <si>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</si>
  <si>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</si>
  <si>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</si>
  <si>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</si>
  <si>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</si>
  <si>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</si>
  <si>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</si>
  <si>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</si>
  <si>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</si>
  <si>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</si>
  <si>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</si>
  <si>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</si>
  <si>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</si>
  <si>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</si>
  <si>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</si>
  <si>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</si>
  <si>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</si>
  <si>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</si>
  <si>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</si>
  <si>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</si>
  <si>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</si>
  <si>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</si>
  <si>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</si>
  <si>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</si>
  <si>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</si>
  <si>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</si>
  <si>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</si>
  <si>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</si>
  <si>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</si>
  <si>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</si>
  <si>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</si>
  <si>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</si>
  <si>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</si>
  <si>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</si>
  <si>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</si>
  <si>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</si>
  <si>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</si>
  <si>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</si>
  <si>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</si>
  <si>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</si>
  <si>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</si>
  <si>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</si>
  <si>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</si>
  <si>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</si>
  <si>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</si>
  <si>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</si>
  <si>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</si>
  <si>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</si>
  <si>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</si>
  <si>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</si>
  <si>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</si>
  <si>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</si>
  <si>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</si>
  <si>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</si>
  <si>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</si>
  <si>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</si>
  <si>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</si>
  <si>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</si>
  <si>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</si>
  <si>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</si>
  <si>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</si>
  <si>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</si>
  <si>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</si>
  <si>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</si>
  <si>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</si>
  <si>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</si>
  <si>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</si>
  <si>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</si>
  <si>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</si>
  <si>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</si>
  <si>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</si>
  <si>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</si>
  <si>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</si>
  <si>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</si>
  <si>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</si>
  <si>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</si>
  <si>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</si>
  <si>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</si>
  <si>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</si>
  <si>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</si>
  <si>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</si>
  <si>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</si>
  <si>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</si>
  <si>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</si>
  <si>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</si>
  <si>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</si>
  <si>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</si>
  <si>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</si>
  <si>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</si>
  <si>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</si>
  <si>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</si>
  <si>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</si>
  <si>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</si>
  <si>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</si>
  <si>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</si>
  <si>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</si>
  <si>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</si>
  <si>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</si>
  <si>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</si>
  <si>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</si>
  <si>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</si>
  <si>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</si>
  <si>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</si>
  <si>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</si>
  <si>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</si>
  <si>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</si>
  <si>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</si>
  <si>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</si>
  <si>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</si>
  <si>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</si>
  <si>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</si>
  <si>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</si>
  <si>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</si>
  <si>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</si>
  <si>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</si>
  <si>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</si>
  <si>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</si>
  <si>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</si>
  <si>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</si>
  <si>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</si>
  <si>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</si>
  <si>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</si>
  <si>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</si>
  <si>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</si>
  <si>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</si>
  <si>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</si>
  <si>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</si>
  <si>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</si>
  <si>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</si>
  <si>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</si>
  <si>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</si>
  <si>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</si>
  <si>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</si>
  <si>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</si>
  <si>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</si>
  <si>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</si>
  <si>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</si>
  <si>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</si>
  <si>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</si>
  <si>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</si>
  <si>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</si>
  <si>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</si>
  <si>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</si>
  <si>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</si>
  <si>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</si>
  <si>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</si>
  <si>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</si>
  <si>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</si>
  <si>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</si>
  <si>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</si>
  <si>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</si>
  <si>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</si>
  <si>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</si>
  <si>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</si>
  <si>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</si>
  <si>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</si>
  <si>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</si>
  <si>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</si>
  <si>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</si>
  <si>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</si>
  <si>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</si>
  <si>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</si>
  <si>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</si>
  <si>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</si>
  <si>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</si>
  <si>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</si>
  <si>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</si>
  <si>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</si>
  <si>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</si>
  <si>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</si>
  <si>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</si>
  <si>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</si>
  <si>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</si>
  <si>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</si>
  <si>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</si>
  <si>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</si>
  <si>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</si>
  <si>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</si>
  <si>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</si>
  <si>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</si>
  <si>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</si>
  <si>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</si>
  <si>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</si>
  <si>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</si>
  <si>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</si>
  <si>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</si>
  <si>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</si>
  <si>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</si>
  <si>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</si>
  <si>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</si>
  <si>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</si>
  <si>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</si>
  <si>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</si>
  <si>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</si>
  <si>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</si>
  <si>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</si>
  <si>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</si>
  <si>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</si>
  <si>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</si>
  <si>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</si>
  <si>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</si>
  <si>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</si>
  <si>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</si>
  <si>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</si>
  <si>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</si>
  <si>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</si>
  <si>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</si>
  <si>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</si>
  <si>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</si>
  <si>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</si>
  <si>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</si>
  <si>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</si>
  <si>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</si>
  <si>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</si>
  <si>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</si>
  <si>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</si>
  <si>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</si>
  <si>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</si>
  <si>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</si>
  <si>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</si>
  <si>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</si>
  <si>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</si>
  <si>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</si>
  <si>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</si>
  <si>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</si>
  <si>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</si>
  <si>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</si>
  <si>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</si>
  <si>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</si>
  <si>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</si>
  <si>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</si>
  <si>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</si>
  <si>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</si>
  <si>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</si>
  <si>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</si>
  <si>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</si>
  <si>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</si>
  <si>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</si>
  <si>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</si>
  <si>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</si>
  <si>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</si>
  <si>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</si>
  <si>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</si>
  <si>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</si>
  <si>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</si>
  <si>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</si>
  <si>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</si>
  <si>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</si>
  <si>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</si>
  <si>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</si>
  <si>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</si>
  <si>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</si>
  <si>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</si>
  <si>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</si>
  <si>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</si>
  <si>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</si>
  <si>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</si>
  <si>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</si>
  <si>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</si>
  <si>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</si>
  <si>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</si>
  <si>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</si>
  <si>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</si>
  <si>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</si>
  <si>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</si>
  <si>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</si>
  <si>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</si>
  <si>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</si>
  <si>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</si>
  <si>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</si>
  <si>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</si>
  <si>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</si>
  <si>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</si>
  <si>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</si>
  <si>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</si>
  <si>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</si>
  <si>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</si>
  <si>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</si>
  <si>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</si>
  <si>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</si>
  <si>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</si>
  <si>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</si>
  <si>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</si>
  <si>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</si>
  <si>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</si>
  <si>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</si>
  <si>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</si>
  <si>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</si>
  <si>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</si>
  <si>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</si>
  <si>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</si>
  <si>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</si>
  <si>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</si>
  <si>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</si>
  <si>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</si>
  <si>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</si>
  <si>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</si>
  <si>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</si>
  <si>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</si>
  <si>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</si>
  <si>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</si>
  <si>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</si>
  <si>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</si>
  <si>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</si>
  <si>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</si>
  <si>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</si>
  <si>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</si>
  <si>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</si>
  <si>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</si>
  <si>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</si>
  <si>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</si>
  <si>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</si>
  <si>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</si>
  <si>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</si>
  <si>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</si>
  <si>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</si>
  <si>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</si>
  <si>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</si>
  <si>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</si>
  <si>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</si>
  <si>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</si>
  <si>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</si>
  <si>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</si>
  <si>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</si>
  <si>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</si>
  <si>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</si>
  <si>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</si>
  <si>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</si>
  <si>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</si>
  <si>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</si>
  <si>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</si>
  <si>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</si>
  <si>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</si>
  <si>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</si>
  <si>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</si>
  <si>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</si>
  <si>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</si>
  <si>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</si>
  <si>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</si>
  <si>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</si>
  <si>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</si>
  <si>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</si>
  <si>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</si>
  <si>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</si>
  <si>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</si>
  <si>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</si>
  <si>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</si>
  <si>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</si>
  <si>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</si>
  <si>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</si>
  <si>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</si>
  <si>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</si>
  <si>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</si>
  <si>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</si>
  <si>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</si>
  <si>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</si>
  <si>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</si>
  <si>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</si>
  <si>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</si>
  <si>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</si>
  <si>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</si>
  <si>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</si>
  <si>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</si>
  <si>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</si>
  <si>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</si>
  <si>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</si>
  <si>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</si>
  <si>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</si>
  <si>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</si>
  <si>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</si>
  <si>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</si>
  <si>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</si>
  <si>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</si>
  <si>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</si>
  <si>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</si>
  <si>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</si>
  <si>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</si>
  <si>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</si>
  <si>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</si>
  <si>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</si>
  <si>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</si>
  <si>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</si>
  <si>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</si>
  <si>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</si>
  <si>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</si>
  <si>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</si>
  <si>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</si>
  <si>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</si>
  <si>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</si>
  <si>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</si>
  <si>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</si>
  <si>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</si>
  <si>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</si>
  <si>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</si>
  <si>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</si>
  <si>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</si>
  <si>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</si>
  <si>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</si>
  <si>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</si>
  <si>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</si>
  <si>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</si>
  <si>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</si>
  <si>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</si>
  <si>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</si>
  <si>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</si>
  <si>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</si>
  <si>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</si>
  <si>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</si>
  <si>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</si>
  <si>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</si>
  <si>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</si>
  <si>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</si>
  <si>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</si>
  <si>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</si>
  <si>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</si>
  <si>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</si>
  <si>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</si>
  <si>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</si>
  <si>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</si>
  <si>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</si>
  <si>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</si>
  <si>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</si>
  <si>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</si>
  <si>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</si>
  <si>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</si>
  <si>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</si>
  <si>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</si>
  <si>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</si>
  <si>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</si>
  <si>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</si>
  <si>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</si>
  <si>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</si>
  <si>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</si>
  <si>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</si>
  <si>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</si>
  <si>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</si>
  <si>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</si>
  <si>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</si>
  <si>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</si>
  <si>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</si>
  <si>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</si>
  <si>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</si>
  <si>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</si>
  <si>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</si>
  <si>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</si>
  <si>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</si>
  <si>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</si>
  <si>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</si>
  <si>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</si>
  <si>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</si>
  <si>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</si>
  <si>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</si>
  <si>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</si>
  <si>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</si>
  <si>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</si>
  <si>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</si>
  <si>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</si>
  <si>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</si>
  <si>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</si>
  <si>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</si>
  <si>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</si>
  <si>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</si>
  <si>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</si>
  <si>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</si>
  <si>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</si>
  <si>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</si>
  <si>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</si>
  <si>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</si>
  <si>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</si>
  <si>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</si>
  <si>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</si>
  <si>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</si>
  <si>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</si>
  <si>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</si>
  <si>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</si>
  <si>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</si>
  <si>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</si>
  <si>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</si>
  <si>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</si>
  <si>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</si>
  <si>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</si>
  <si>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</si>
  <si>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</si>
  <si>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</si>
  <si>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</si>
  <si>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</si>
  <si>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</si>
  <si>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</si>
  <si>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</si>
  <si>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</si>
  <si>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</si>
  <si>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</si>
  <si>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</si>
  <si>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</si>
  <si>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</si>
  <si>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</si>
  <si>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</si>
  <si>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</si>
  <si>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</si>
  <si>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</si>
  <si>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</si>
  <si>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</si>
  <si>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</si>
  <si>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</si>
  <si>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</si>
  <si>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</si>
  <si>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</si>
  <si>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</si>
  <si>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</si>
  <si>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</si>
  <si>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</si>
  <si>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</si>
  <si>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</si>
  <si>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</si>
  <si>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</si>
  <si>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</si>
  <si>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</si>
  <si>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</si>
  <si>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</si>
  <si>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</si>
  <si>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</si>
  <si>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</si>
  <si>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</si>
  <si>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</si>
  <si>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</si>
  <si>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</si>
  <si>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</si>
  <si>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</si>
  <si>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</si>
  <si>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</si>
  <si>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</si>
  <si>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</si>
  <si>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</si>
  <si>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</si>
  <si>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</si>
  <si>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</si>
  <si>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</si>
  <si>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</si>
  <si>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</si>
  <si>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</si>
  <si>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</si>
  <si>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</si>
  <si>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</si>
  <si>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</si>
  <si>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</si>
  <si>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</si>
  <si>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</si>
  <si>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</si>
  <si>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</si>
  <si>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</si>
  <si>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</si>
  <si>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</si>
  <si>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</si>
  <si>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</si>
  <si>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</si>
  <si>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</si>
  <si>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</si>
  <si>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</si>
  <si>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</si>
  <si>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</si>
  <si>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</si>
  <si>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</si>
  <si>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</si>
  <si>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</si>
  <si>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</si>
  <si>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</si>
  <si>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</si>
  <si>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</si>
  <si>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</si>
  <si>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</si>
  <si>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</si>
  <si>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</si>
  <si>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</si>
  <si>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</si>
  <si>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</si>
  <si>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</si>
  <si>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</si>
  <si>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</si>
  <si>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</si>
  <si>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</si>
  <si>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</si>
  <si>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</si>
  <si>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</si>
  <si>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</si>
  <si>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</si>
  <si>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</si>
  <si>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</si>
  <si>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</si>
  <si>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</si>
  <si>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</si>
  <si>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</si>
  <si>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</si>
  <si>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</si>
  <si>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</si>
  <si>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</si>
  <si>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</si>
  <si>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</si>
  <si>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</si>
  <si>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</si>
  <si>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</si>
  <si>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</si>
  <si>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</si>
  <si>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</si>
  <si>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</si>
  <si>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</si>
  <si>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</si>
  <si>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</si>
  <si>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</si>
  <si>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</si>
  <si>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</si>
  <si>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</si>
  <si>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</si>
  <si>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</si>
  <si>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</si>
  <si>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</si>
  <si>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</si>
  <si>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</si>
  <si>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</si>
  <si>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</si>
  <si>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</si>
  <si>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</si>
  <si>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</si>
  <si>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</si>
  <si>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</si>
  <si>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</si>
  <si>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</si>
  <si>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</si>
  <si>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</si>
  <si>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</si>
  <si>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</si>
  <si>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</si>
  <si>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</si>
  <si>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</si>
  <si>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</si>
  <si>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</si>
  <si>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</si>
  <si>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</si>
  <si>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</si>
  <si>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</si>
  <si>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</si>
  <si>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</si>
  <si>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</si>
  <si>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</si>
  <si>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</si>
  <si>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</si>
  <si>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</si>
  <si>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</si>
  <si>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</si>
  <si>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</si>
  <si>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</si>
  <si>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</si>
  <si>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</si>
  <si>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</si>
  <si>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</si>
  <si>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</si>
  <si>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</si>
  <si>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</si>
  <si>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</si>
  <si>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</si>
  <si>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</si>
  <si>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</si>
  <si>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</si>
  <si>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</si>
  <si>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</si>
  <si>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</si>
  <si>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</si>
  <si>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</si>
  <si>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</si>
  <si>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</si>
  <si>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</si>
  <si>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</si>
  <si>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</si>
  <si>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</si>
  <si>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</si>
  <si>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</si>
  <si>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</si>
  <si>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</si>
  <si>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</si>
  <si>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</si>
  <si>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</si>
  <si>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</si>
  <si>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</si>
  <si>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</si>
  <si>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</si>
  <si>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</si>
  <si>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</si>
  <si>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</si>
  <si>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</si>
  <si>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</si>
  <si>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</si>
  <si>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</si>
  <si>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</si>
  <si>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</si>
  <si>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</si>
  <si>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</si>
  <si>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</si>
  <si>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</si>
  <si>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</si>
  <si>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</si>
  <si>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</si>
  <si>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</si>
  <si>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</si>
  <si>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</si>
  <si>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</si>
  <si>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</si>
  <si>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</si>
  <si>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</si>
  <si>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</si>
  <si>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</si>
  <si>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</si>
  <si>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</si>
  <si>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</si>
  <si>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</si>
  <si>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</si>
  <si>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</si>
  <si>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</si>
  <si>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</si>
  <si>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</si>
  <si>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</si>
  <si>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</si>
  <si>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</si>
  <si>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</si>
  <si>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</si>
  <si>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</si>
  <si>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</si>
  <si>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</si>
  <si>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</si>
  <si>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</si>
  <si>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</si>
  <si>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</si>
  <si>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</si>
  <si>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</si>
  <si>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</si>
  <si>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</si>
  <si>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</si>
  <si>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</si>
  <si>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</si>
  <si>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</si>
  <si>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</si>
  <si>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</si>
  <si>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</si>
  <si>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</si>
  <si>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</si>
  <si>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</si>
  <si>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</si>
  <si>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</si>
  <si>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</si>
  <si>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</si>
  <si>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</si>
  <si>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</si>
  <si>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</si>
  <si>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</si>
  <si>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</si>
  <si>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</si>
  <si>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</si>
  <si>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</si>
  <si>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</si>
  <si>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</si>
  <si>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</si>
  <si>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</si>
  <si>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</si>
  <si>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</si>
  <si>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</si>
  <si>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</si>
  <si>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</si>
  <si>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</si>
  <si>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</si>
  <si>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</si>
  <si>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</si>
  <si>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</si>
  <si>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</si>
  <si>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</si>
  <si>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</si>
  <si>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</si>
  <si>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</si>
  <si>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</si>
  <si>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</si>
  <si>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</si>
  <si>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</si>
  <si>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</si>
  <si>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</si>
  <si>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</si>
  <si>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</si>
  <si>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</si>
  <si>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</si>
  <si>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</si>
  <si>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</si>
  <si>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</si>
  <si>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</si>
  <si>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</si>
  <si>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</si>
  <si>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</si>
  <si>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</si>
  <si>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</si>
  <si>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</si>
  <si>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</si>
  <si>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</si>
  <si>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</si>
  <si>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</si>
  <si>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</si>
  <si>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</si>
  <si>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</si>
  <si>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</si>
  <si>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</si>
  <si>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</si>
  <si>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</si>
  <si>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</si>
  <si>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</si>
  <si>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</si>
  <si>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</si>
  <si>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</si>
  <si>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</si>
  <si>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</si>
  <si>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</si>
  <si>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</si>
  <si>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</si>
  <si>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</si>
  <si>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</si>
  <si>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</si>
  <si>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</si>
  <si>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</si>
  <si>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</si>
  <si>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</si>
  <si>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</si>
  <si>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</si>
  <si>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</si>
  <si>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</si>
  <si>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</si>
  <si>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</si>
  <si>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</si>
  <si>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</si>
  <si>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</si>
  <si>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</si>
  <si>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</si>
  <si>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</si>
  <si>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</si>
  <si>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</si>
  <si>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</si>
  <si>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</si>
  <si>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</si>
  <si>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</si>
  <si>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</si>
  <si>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</si>
  <si>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</si>
  <si>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</si>
  <si>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</si>
  <si>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</si>
  <si>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</si>
  <si>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</si>
  <si>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</si>
  <si>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</si>
  <si>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</si>
  <si>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</si>
  <si>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</si>
  <si>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</si>
  <si>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</si>
  <si>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</si>
  <si>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</si>
  <si>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</si>
  <si>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</si>
  <si>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</si>
  <si>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</si>
  <si>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</si>
  <si>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</si>
  <si>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</si>
  <si>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</si>
  <si>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</si>
  <si>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</si>
  <si>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</si>
  <si>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</si>
  <si>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</si>
  <si>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</si>
  <si>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</si>
  <si>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</si>
  <si>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</si>
  <si>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</si>
  <si>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</si>
  <si>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</si>
  <si>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</si>
  <si>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</si>
  <si>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</si>
  <si>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</si>
  <si>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</si>
  <si>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</si>
  <si>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</si>
  <si>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</si>
  <si>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</si>
  <si>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</si>
  <si>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</si>
  <si>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</si>
  <si>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</si>
  <si>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</si>
  <si>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</si>
  <si>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</si>
  <si>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</si>
  <si>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</si>
  <si>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</si>
  <si>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</si>
  <si>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</si>
  <si>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</si>
  <si>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</si>
  <si>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</si>
  <si>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</si>
  <si>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</si>
  <si>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</si>
  <si>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</si>
  <si>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</si>
  <si>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</si>
  <si>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</si>
  <si>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</si>
  <si>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</si>
  <si>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</si>
  <si>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</si>
  <si>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</si>
  <si>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</si>
  <si>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</si>
  <si>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</si>
  <si>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</si>
  <si>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</si>
  <si>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</si>
  <si>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</si>
  <si>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</si>
  <si>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</si>
  <si>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</si>
  <si>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</si>
  <si>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</si>
  <si>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</si>
  <si>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</si>
  <si>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</si>
  <si>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</si>
  <si>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</si>
  <si>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</si>
  <si>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</si>
  <si>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</si>
  <si>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</si>
  <si>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</si>
  <si>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</si>
  <si>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</si>
  <si>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</si>
  <si>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</si>
  <si>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</si>
  <si>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</si>
  <si>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</si>
  <si>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</si>
  <si>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</si>
  <si>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</si>
  <si>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</si>
  <si>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</si>
  <si>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</si>
  <si>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</si>
  <si>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</si>
  <si>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</si>
  <si>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</si>
  <si>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</si>
  <si>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</si>
  <si>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</si>
  <si>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</si>
  <si>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</si>
  <si>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</si>
  <si>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</si>
  <si>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</si>
  <si>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</si>
  <si>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</si>
  <si>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</si>
  <si>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</si>
  <si>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</si>
  <si>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</si>
  <si>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</si>
  <si>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</si>
  <si>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</si>
  <si>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</si>
  <si>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</si>
  <si>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</si>
  <si>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</si>
  <si>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</si>
  <si>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</si>
  <si>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</si>
  <si>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</si>
  <si>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</si>
  <si>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</si>
  <si>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</si>
  <si>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</si>
  <si>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</si>
  <si>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</si>
  <si>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</si>
  <si>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</si>
  <si>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</si>
  <si>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</si>
  <si>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</si>
  <si>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</si>
  <si>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</si>
  <si>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</si>
  <si>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</si>
  <si>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</si>
  <si>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</si>
  <si>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</si>
  <si>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</si>
  <si>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</si>
  <si>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</si>
  <si>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</si>
  <si>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</si>
  <si>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</si>
  <si>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</si>
  <si>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</si>
  <si>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</si>
  <si>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</si>
  <si>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</si>
  <si>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</si>
  <si>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</si>
  <si>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</si>
  <si>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</si>
  <si>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</si>
  <si>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</si>
  <si>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</si>
  <si>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</si>
  <si>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</si>
  <si>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</si>
  <si>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</si>
  <si>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</si>
  <si>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</si>
  <si>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</si>
  <si>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</si>
  <si>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</si>
  <si>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</si>
  <si>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</si>
  <si>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</si>
  <si>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</si>
  <si>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</si>
  <si>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</si>
  <si>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</si>
  <si>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</si>
  <si>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</si>
  <si>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</si>
  <si>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</si>
  <si>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</si>
  <si>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</si>
  <si>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</si>
  <si>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</si>
  <si>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</si>
  <si>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</si>
  <si>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</si>
  <si>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</si>
  <si>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</si>
  <si>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</si>
  <si>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</si>
  <si>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</si>
  <si>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</si>
  <si>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</si>
  <si>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</si>
  <si>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</si>
  <si>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</si>
  <si>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</si>
  <si>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</si>
  <si>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</si>
  <si>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</si>
  <si>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</si>
  <si>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</si>
  <si>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</si>
  <si>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</si>
  <si>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</si>
  <si>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</si>
  <si>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</si>
  <si>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</si>
  <si>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</si>
  <si>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</si>
  <si>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</si>
  <si>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</si>
  <si>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</si>
  <si>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</si>
  <si>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</si>
  <si>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</si>
  <si>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</si>
  <si>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</si>
  <si>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2022 Q3 Quarterly Update</t>
  </si>
  <si>
    <t>2022 Q3 First Revision</t>
  </si>
  <si>
    <t>Previous Forecast (October 2022)</t>
  </si>
  <si>
    <t xml:space="preserve"> 2022 Q3 plus Current Forecast (November 2022)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</si>
  <si>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</si>
  <si>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</si>
  <si>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</si>
  <si>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</si>
  <si>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</si>
  <si>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</si>
  <si>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</si>
  <si>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</si>
  <si>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</si>
  <si>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</si>
  <si>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</si>
  <si>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</si>
  <si>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</si>
  <si>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</si>
  <si>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</si>
  <si>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</si>
  <si>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</si>
  <si>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</si>
  <si>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</si>
  <si>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</si>
  <si>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</si>
  <si>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</si>
  <si>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</si>
  <si>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</si>
  <si>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</si>
  <si>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</si>
  <si>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</si>
  <si>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</si>
  <si>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</si>
  <si>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</si>
  <si>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</si>
  <si>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</si>
  <si>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</si>
  <si>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</si>
  <si>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</si>
  <si>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</si>
  <si>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</si>
  <si>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</si>
  <si>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</si>
  <si>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</si>
  <si>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</si>
  <si>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</si>
  <si>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</si>
  <si>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</si>
  <si>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</si>
  <si>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</si>
  <si>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</si>
  <si>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</si>
  <si>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</si>
  <si>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</si>
  <si>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</si>
  <si>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</si>
  <si>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</si>
  <si>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</si>
  <si>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</si>
  <si>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</si>
  <si>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</si>
  <si>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</si>
  <si>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</si>
  <si>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</si>
  <si>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</si>
  <si>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</si>
  <si>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</si>
  <si>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</si>
  <si>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</si>
  <si>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</si>
  <si>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</si>
  <si>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</si>
  <si>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</si>
  <si>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</si>
  <si>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</si>
  <si>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</si>
  <si>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</si>
  <si>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</si>
  <si>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</si>
  <si>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</si>
  <si>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</si>
  <si>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</si>
  <si>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</si>
  <si>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</si>
  <si>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</si>
  <si>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</si>
  <si>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</si>
  <si>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</si>
  <si>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</si>
  <si>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</si>
  <si>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</si>
  <si>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</si>
  <si>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</si>
  <si>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</si>
  <si>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</si>
  <si>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</si>
  <si>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</si>
  <si>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</si>
  <si>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</si>
  <si>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</si>
  <si>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</si>
  <si>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</si>
  <si>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</si>
  <si>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</si>
  <si>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</si>
  <si>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</si>
  <si>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</si>
  <si>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</si>
  <si>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</si>
  <si>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</si>
  <si>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</si>
  <si>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</si>
  <si>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</si>
  <si>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</si>
  <si>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</si>
  <si>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</si>
  <si>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</si>
  <si>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</si>
  <si>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</si>
  <si>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</si>
  <si>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</si>
  <si>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</si>
  <si>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</si>
  <si>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</si>
  <si>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</si>
  <si>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</si>
  <si>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</si>
  <si>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</si>
  <si>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</si>
  <si>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</si>
  <si>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</si>
  <si>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</si>
  <si>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</si>
  <si>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</si>
  <si>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</si>
  <si>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</si>
  <si>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</si>
  <si>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</si>
  <si>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</si>
  <si>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</si>
  <si>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</si>
  <si>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</si>
  <si>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</si>
  <si>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</si>
  <si>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</si>
  <si>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</si>
  <si>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</si>
  <si>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</si>
  <si>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</si>
  <si>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</si>
  <si>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</si>
  <si>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</si>
  <si>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</si>
  <si>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</si>
  <si>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</si>
  <si>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</si>
  <si>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</si>
  <si>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</si>
  <si>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</si>
  <si>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</si>
  <si>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</si>
  <si>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</si>
  <si>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</si>
  <si>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</si>
  <si>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</si>
  <si>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</si>
  <si>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</si>
  <si>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</si>
  <si>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</si>
  <si>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</si>
  <si>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</si>
  <si>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</si>
  <si>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</si>
  <si>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</si>
  <si>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</si>
  <si>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</si>
  <si>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</si>
  <si>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</si>
  <si>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</si>
  <si>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</si>
  <si>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</si>
  <si>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</si>
  <si>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</si>
  <si>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</si>
  <si>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</si>
  <si>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</si>
  <si>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</si>
  <si>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</si>
  <si>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</si>
  <si>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</si>
  <si>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</si>
  <si>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</si>
  <si>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</si>
  <si>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</si>
  <si>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</si>
  <si>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</si>
  <si>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</si>
  <si>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</si>
  <si>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</si>
  <si>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</si>
  <si>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</si>
  <si>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</si>
  <si>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</si>
  <si>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</si>
  <si>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</si>
  <si>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</si>
  <si>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</si>
  <si>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</si>
  <si>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</si>
  <si>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</si>
  <si>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</si>
  <si>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</si>
  <si>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</si>
  <si>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</si>
  <si>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</si>
  <si>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</si>
  <si>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</si>
  <si>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</si>
  <si>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</si>
  <si>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</si>
  <si>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</si>
  <si>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</si>
  <si>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</si>
  <si>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</si>
  <si>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</si>
  <si>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</si>
  <si>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</si>
  <si>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</si>
  <si>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</si>
  <si>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</si>
  <si>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</si>
  <si>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</si>
  <si>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</si>
  <si>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</si>
  <si>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</si>
  <si>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</si>
  <si>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</si>
  <si>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</si>
  <si>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</si>
  <si>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</si>
  <si>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</si>
  <si>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</si>
  <si>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</si>
  <si>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</si>
  <si>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</si>
  <si>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</si>
  <si>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</si>
  <si>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</si>
  <si>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</si>
  <si>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</si>
  <si>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</si>
  <si>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</si>
  <si>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</si>
  <si>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</si>
  <si>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</si>
  <si>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</si>
  <si>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</si>
  <si>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</si>
  <si>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</si>
  <si>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</si>
  <si>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</si>
  <si>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</si>
  <si>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</si>
  <si>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</si>
  <si>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</si>
  <si>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</si>
  <si>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</si>
  <si>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</si>
  <si>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</si>
  <si>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</si>
  <si>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</si>
  <si>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</si>
  <si>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</si>
  <si>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</si>
  <si>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</si>
  <si>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</si>
  <si>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</si>
  <si>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</si>
  <si>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</si>
  <si>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</si>
  <si>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</si>
  <si>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</si>
  <si>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</si>
  <si>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</si>
  <si>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</si>
  <si>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</si>
  <si>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</si>
  <si>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</si>
  <si>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</si>
  <si>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</si>
  <si>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</si>
  <si>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</si>
  <si>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</si>
  <si>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</si>
  <si>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</si>
  <si>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</si>
  <si>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</si>
  <si>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</si>
  <si>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</si>
  <si>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</si>
  <si>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</si>
  <si>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</si>
  <si>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</si>
  <si>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</si>
  <si>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</si>
  <si>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</si>
  <si>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</si>
  <si>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</si>
  <si>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</si>
  <si>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</si>
  <si>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</si>
  <si>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</si>
  <si>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</si>
  <si>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</si>
  <si>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</si>
  <si>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</si>
  <si>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</si>
  <si>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</si>
  <si>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</si>
  <si>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</si>
  <si>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</si>
  <si>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</si>
  <si>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</si>
  <si>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</si>
  <si>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</si>
  <si>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</si>
  <si>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</si>
  <si>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</si>
  <si>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</si>
  <si>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</si>
  <si>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</si>
  <si>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</si>
  <si>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</si>
  <si>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</si>
  <si>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</si>
  <si>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</si>
  <si>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</si>
  <si>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</si>
  <si>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</si>
  <si>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</si>
  <si>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</si>
  <si>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</si>
  <si>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</si>
  <si>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</si>
  <si>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</si>
  <si>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</si>
  <si>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</si>
  <si>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</si>
  <si>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</si>
  <si>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</si>
  <si>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</si>
  <si>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</si>
  <si>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</si>
  <si>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</si>
  <si>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</si>
  <si>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</si>
  <si>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</si>
  <si>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</si>
  <si>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</si>
  <si>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</si>
  <si>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</si>
  <si>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</si>
  <si>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</si>
  <si>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</si>
  <si>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</si>
  <si>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</si>
  <si>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</si>
  <si>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</si>
  <si>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</si>
  <si>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</si>
  <si>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</si>
  <si>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</si>
  <si>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</si>
  <si>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</si>
  <si>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</si>
  <si>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</si>
  <si>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</si>
  <si>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</si>
  <si>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</si>
  <si>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</si>
  <si>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</si>
  <si>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</si>
  <si>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</si>
  <si>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</si>
  <si>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</si>
  <si>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</si>
  <si>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</si>
  <si>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</si>
  <si>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</si>
  <si>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</si>
  <si>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</si>
  <si>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</si>
  <si>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</si>
  <si>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</si>
  <si>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</si>
  <si>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</si>
  <si>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</si>
  <si>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</si>
  <si>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</si>
  <si>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</si>
  <si>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</si>
  <si>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</si>
  <si>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</si>
  <si>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</si>
  <si>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</si>
  <si>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</si>
  <si>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</si>
  <si>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</si>
  <si>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</si>
  <si>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</si>
  <si>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</si>
  <si>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</si>
  <si>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</si>
  <si>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</si>
  <si>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</si>
  <si>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</si>
  <si>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</si>
  <si>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</si>
  <si>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</si>
  <si>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</si>
  <si>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</si>
  <si>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</si>
  <si>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</si>
  <si>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</si>
  <si>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</si>
  <si>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</si>
  <si>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</si>
  <si>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</si>
  <si>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</si>
  <si>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</si>
  <si>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</si>
  <si>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</si>
  <si>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</si>
  <si>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</si>
  <si>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</si>
  <si>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</si>
  <si>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</si>
  <si>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</si>
  <si>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</si>
  <si>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</si>
  <si>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</si>
  <si>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</si>
  <si>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</si>
  <si>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</si>
  <si>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</si>
  <si>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</si>
  <si>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</si>
  <si>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</si>
  <si>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</si>
  <si>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</si>
  <si>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</si>
  <si>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</si>
  <si>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</si>
  <si>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</si>
  <si>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</si>
  <si>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</si>
  <si>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</si>
  <si>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</si>
  <si>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</si>
  <si>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</si>
  <si>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</si>
  <si>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</si>
  <si>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</si>
  <si>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</si>
  <si>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</si>
  <si>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</si>
  <si>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</si>
  <si>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</si>
  <si>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</si>
  <si>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</si>
  <si>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</si>
  <si>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</si>
  <si>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</si>
  <si>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</si>
  <si>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</si>
  <si>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</si>
  <si>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</si>
  <si>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</si>
  <si>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</si>
  <si>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</si>
  <si>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</si>
  <si>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</si>
  <si>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name</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</si>
  <si>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</si>
  <si>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</si>
  <si>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</si>
  <si>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</si>
  <si>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</si>
  <si>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</si>
  <si>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</si>
  <si>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</si>
  <si>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</si>
  <si>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</si>
  <si>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</si>
  <si>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</si>
  <si>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</si>
  <si>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</si>
  <si>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</si>
  <si>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</si>
  <si>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</si>
  <si>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</si>
  <si>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</si>
  <si>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</si>
  <si>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</si>
  <si>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</si>
  <si>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</si>
  <si>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</si>
  <si>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</si>
  <si>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</si>
  <si>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</si>
  <si>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</si>
  <si>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</si>
  <si>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</si>
  <si>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</si>
  <si>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</si>
  <si>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</si>
  <si>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</si>
  <si>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</si>
  <si>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</si>
  <si>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</si>
  <si>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</si>
  <si>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</si>
  <si>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</si>
  <si>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</si>
  <si>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</si>
  <si>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</si>
  <si>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</si>
  <si>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</si>
  <si>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</si>
  <si>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</si>
  <si>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</si>
  <si>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</si>
  <si>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</si>
  <si>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</si>
  <si>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</si>
  <si>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</si>
  <si>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</si>
  <si>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</si>
  <si>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</si>
  <si>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</si>
  <si>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</si>
  <si>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</si>
  <si>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</si>
  <si>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</si>
  <si>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</si>
  <si>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</si>
  <si>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</si>
  <si>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</si>
  <si>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</si>
  <si>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</si>
  <si>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</si>
  <si>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</si>
  <si>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</si>
  <si>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</si>
  <si>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</si>
  <si>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</si>
  <si>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</si>
  <si>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</si>
  <si>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</si>
  <si>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</si>
  <si>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</si>
  <si>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</si>
  <si>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</si>
  <si>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</si>
  <si>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</si>
  <si>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</si>
  <si>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</si>
  <si>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</si>
  <si>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</si>
  <si>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</si>
  <si>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</si>
  <si>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consumption_deflator_growth_ann</t>
  </si>
  <si>
    <t>federal_purchases_deflator_growth_ann</t>
  </si>
  <si>
    <t>state_purchases_deflator_growth_ann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</si>
  <si>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</si>
  <si>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</si>
  <si>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</si>
  <si>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</si>
  <si>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</si>
  <si>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</si>
  <si>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</si>
  <si>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</si>
  <si>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</si>
  <si>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</si>
  <si>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</si>
  <si>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</si>
  <si>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</si>
  <si>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</si>
  <si>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</si>
  <si>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</si>
  <si>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</si>
  <si>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</si>
  <si>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</si>
  <si>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</si>
  <si>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</si>
  <si>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</si>
  <si>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</si>
  <si>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</si>
  <si>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</si>
  <si>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</si>
  <si>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</si>
  <si>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</si>
  <si>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</si>
  <si>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</si>
  <si>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</si>
  <si>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</si>
  <si>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</si>
  <si>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</si>
  <si>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</si>
  <si>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</si>
  <si>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</si>
  <si>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</si>
  <si>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</si>
  <si>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</si>
  <si>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</si>
  <si>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</si>
  <si>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</si>
  <si>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</si>
  <si>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</si>
  <si>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</si>
  <si>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</si>
  <si>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</si>
  <si>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</si>
  <si>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</si>
  <si>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</si>
  <si>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</si>
  <si>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</si>
  <si>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</si>
  <si>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</si>
  <si>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</si>
  <si>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</si>
  <si>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</si>
  <si>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</si>
  <si>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</si>
  <si>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</si>
  <si>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</si>
  <si>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</si>
  <si>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</si>
  <si>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</si>
  <si>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</si>
  <si>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</si>
  <si>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</si>
  <si>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</si>
  <si>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</si>
  <si>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</si>
  <si>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</si>
  <si>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</si>
  <si>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</si>
  <si>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</si>
  <si>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</si>
  <si>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</si>
  <si>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</si>
  <si>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</si>
  <si>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</si>
  <si>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</si>
  <si>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</si>
  <si>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</si>
  <si>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</si>
  <si>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</si>
  <si>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</si>
  <si>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</si>
  <si>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</si>
  <si>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</si>
  <si>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</si>
  <si>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</si>
  <si>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</si>
  <si>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</si>
  <si>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</si>
  <si>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</si>
  <si>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</si>
  <si>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</si>
  <si>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</si>
  <si>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</si>
  <si>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</si>
  <si>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</si>
  <si>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</si>
  <si>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</si>
  <si>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</si>
  <si>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</si>
  <si>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</si>
  <si>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</si>
  <si>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</si>
  <si>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</si>
  <si>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</si>
  <si>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</si>
  <si>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</si>
  <si>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</si>
  <si>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</si>
  <si>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</si>
  <si>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</si>
  <si>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</si>
  <si>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</si>
  <si>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</si>
  <si>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</si>
  <si>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</si>
  <si>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</si>
  <si>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</si>
  <si>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</si>
  <si>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</si>
  <si>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</si>
  <si>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</si>
  <si>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</si>
  <si>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</si>
  <si>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</si>
  <si>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</si>
  <si>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</si>
  <si>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</si>
  <si>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</si>
  <si>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</si>
  <si>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</si>
  <si>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</si>
  <si>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</si>
  <si>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</si>
  <si>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</si>
  <si>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</si>
  <si>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</si>
  <si>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</si>
  <si>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</si>
  <si>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</si>
  <si>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</si>
  <si>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</si>
  <si>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</si>
  <si>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</si>
  <si>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</si>
  <si>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</si>
  <si>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</si>
  <si>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</si>
  <si>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</si>
  <si>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</si>
  <si>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</si>
  <si>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</si>
  <si>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</si>
  <si>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</si>
  <si>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</si>
  <si>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</si>
  <si>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</si>
  <si>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</si>
  <si>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</si>
  <si>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</si>
  <si>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</si>
  <si>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</si>
  <si>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</si>
  <si>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</si>
  <si>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</si>
  <si>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</si>
  <si>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</si>
  <si>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</si>
  <si>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</si>
  <si>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</si>
  <si>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</si>
  <si>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</si>
  <si>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</si>
  <si>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</si>
  <si>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</si>
  <si>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</si>
  <si>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</si>
  <si>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</si>
  <si>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</si>
  <si>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</si>
  <si>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</si>
  <si>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</si>
  <si>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</si>
  <si>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</si>
  <si>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</si>
  <si>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</si>
  <si>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</si>
  <si>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</si>
  <si>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</si>
  <si>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</si>
  <si>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</si>
  <si>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</si>
  <si>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</si>
  <si>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</si>
  <si>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</si>
  <si>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</si>
  <si>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</si>
  <si>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</si>
  <si>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</si>
  <si>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</si>
  <si>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</si>
  <si>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</si>
  <si>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</si>
  <si>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</si>
  <si>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</si>
  <si>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</si>
  <si>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</si>
  <si>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</si>
  <si>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</si>
  <si>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</si>
  <si>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</si>
  <si>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</si>
  <si>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</si>
  <si>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</si>
  <si>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</si>
  <si>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</si>
  <si>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</si>
  <si>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</si>
  <si>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</si>
  <si>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</si>
  <si>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</si>
  <si>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</si>
  <si>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</si>
  <si>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</si>
  <si>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</si>
  <si>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</si>
  <si>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</si>
  <si>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</si>
  <si>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</si>
  <si>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</si>
  <si>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</si>
  <si>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</si>
  <si>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</si>
  <si>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</si>
  <si>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</si>
  <si>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</si>
  <si>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</si>
  <si>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</si>
  <si>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</si>
  <si>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</si>
  <si>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</si>
  <si>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</si>
  <si>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</si>
  <si>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</si>
  <si>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</si>
  <si>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</si>
  <si>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</si>
  <si>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</si>
  <si>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</si>
  <si>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</si>
  <si>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</si>
  <si>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</si>
  <si>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total medicaid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</si>
</sst>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s>
  <fonts count="69" x14ac:knownFonts="1">
    <font>
      <sz val="11"/>
      <color theme="1"/>
      <name val="Calibri"/>
      <family val="2"/>
      <scheme val="minor"/>
    </font>
    <font>
      <sz val="11"/>
      <color theme="1"/>
      <name val="Calibri"/>
    </font>
    <font>
      <sz val="11"/>
      <color theme="1"/>
      <name val="Arial"/>
    </font>
    <font>
      <b/>
      <sz val="11"/>
      <color theme="1"/>
      <name val="Calibri"/>
    </font>
    <font>
      <i/>
      <sz val="11"/>
      <color theme="1"/>
      <name val="Calibri"/>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u/>
      <sz val="11"/>
      <color theme="10"/>
      <name val="Calibri"/>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sz val="11"/>
      <color rgb="FF242424"/>
      <name val="Arial"/>
    </font>
    <font>
      <b/>
      <sz val="11"/>
      <color theme="0"/>
      <name val="Arial"/>
    </font>
    <font>
      <i/>
      <sz val="11"/>
      <color rgb="FF000000"/>
      <name val="Arial"/>
    </font>
    <font>
      <sz val="11"/>
      <color rgb="FF1F497D"/>
      <name val="Arial"/>
    </font>
    <font>
      <sz val="8.5"/>
      <color rgb="FF000000"/>
      <name val="Arial"/>
    </font>
    <font>
      <sz val="8"/>
      <color theme="1"/>
      <name val="Calibri"/>
    </font>
    <font>
      <sz val="9"/>
      <color theme="1"/>
      <name val="Arial"/>
    </font>
    <font>
      <sz val="9"/>
      <color rgb="FF000000"/>
      <name val="Arial"/>
    </font>
    <font>
      <sz val="9"/>
      <color theme="1"/>
      <name val="Calibri"/>
    </font>
    <font>
      <u/>
      <sz val="9"/>
      <color theme="10"/>
      <name val="Arial"/>
    </font>
    <font>
      <sz val="8.5"/>
      <color theme="1"/>
      <name val="Arial"/>
    </font>
    <font>
      <sz val="11"/>
      <color rgb="FF333333"/>
      <name val="Arial"/>
    </font>
    <font>
      <sz val="16"/>
      <color theme="1"/>
      <name val="Arial"/>
    </font>
    <font>
      <sz val="10"/>
      <color theme="1"/>
      <name val="Calibri"/>
    </font>
    <font>
      <sz val="10"/>
      <color theme="1"/>
      <name val="Arial"/>
    </font>
    <font>
      <sz val="11"/>
      <color rgb="FF980000"/>
      <name val="Calibri"/>
    </font>
    <font>
      <sz val="10"/>
      <color rgb="FF000000"/>
      <name val="Arial"/>
    </font>
    <font>
      <sz val="8"/>
      <color rgb="FF000000"/>
      <name val="Arial"/>
    </font>
    <font>
      <b/>
      <i/>
      <sz val="8"/>
      <color rgb="FF980000"/>
      <name val="Arial"/>
    </font>
    <font>
      <sz val="10"/>
      <color rgb="FF980000"/>
      <name val="Arial"/>
    </font>
    <font>
      <b/>
      <i/>
      <sz val="8"/>
      <color rgb="FF000000"/>
      <name val="Arial"/>
    </font>
    <font>
      <sz val="11"/>
      <color theme="1"/>
      <name val="Arial"/>
      <family val="2"/>
    </font>
    <font>
      <b/>
      <sz val="11"/>
      <color theme="1"/>
      <name val="Arial"/>
      <family val="2"/>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theme="1"/>
      <name val="Calibri"/>
      <family val="2"/>
      <scheme val="minor"/>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10"/>
      <color theme="1"/>
      <name val="Arial"/>
      <family val="2"/>
    </font>
    <font>
      <b/>
      <sz val="10"/>
      <color theme="1"/>
      <name val="Arial"/>
      <family val="2"/>
    </font>
    <font>
      <sz val="9"/>
      <color theme="1"/>
      <name val="Arial"/>
      <family val="2"/>
    </font>
    <font>
      <b/>
      <sz val="9"/>
      <color theme="1"/>
      <name val="Arial"/>
      <family val="2"/>
    </font>
    <font>
      <sz val="8.5"/>
      <name val="Arial"/>
      <family val="2"/>
    </font>
  </fonts>
  <fills count="37">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EFF5"/>
        <bgColor indexed="64"/>
      </patternFill>
    </fill>
    <fill>
      <patternFill patternType="solid">
        <fgColor rgb="FFB4C6E7"/>
        <bgColor rgb="FFB4C6E7"/>
      </patternFill>
    </fill>
    <fill>
      <patternFill patternType="solid">
        <fgColor rgb="FFBF8F00"/>
        <bgColor rgb="FFBF8F00"/>
      </patternFill>
    </fill>
    <fill>
      <patternFill patternType="solid">
        <fgColor rgb="FFA9D08E"/>
        <bgColor rgb="FFA9D08E"/>
      </patternFill>
    </fill>
    <fill>
      <patternFill patternType="solid">
        <fgColor rgb="FFFADCBC"/>
        <bgColor indexed="64"/>
      </patternFill>
    </fill>
    <fill>
      <patternFill patternType="solid">
        <fgColor rgb="FFFFFFFF"/>
        <bgColor rgb="FFFFFFFF"/>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62">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style="thin">
        <color indexed="64"/>
      </left>
      <right/>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theme="0" tint="-0.499984740745262"/>
      </top>
      <bottom style="thin">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medium">
        <color theme="0" tint="-0.499984740745262"/>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1239">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7" xfId="0" applyFont="1" applyFill="1" applyBorder="1" applyAlignment="1">
      <alignment vertical="top"/>
    </xf>
    <xf numFmtId="0" fontId="1" fillId="2" borderId="6"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4" xfId="0" applyFont="1" applyBorder="1" applyAlignment="1">
      <alignment wrapText="1"/>
    </xf>
    <xf numFmtId="0" fontId="1" fillId="0" borderId="6"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6"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6" xfId="0" applyFont="1" applyBorder="1" applyAlignment="1">
      <alignment vertical="center" wrapText="1"/>
    </xf>
    <xf numFmtId="0" fontId="3" fillId="7" borderId="9" xfId="0" applyFont="1" applyFill="1" applyBorder="1" applyAlignment="1">
      <alignment horizontal="center" wrapText="1"/>
    </xf>
    <xf numFmtId="0" fontId="3" fillId="7" borderId="10" xfId="0" applyFont="1" applyFill="1" applyBorder="1" applyAlignment="1">
      <alignment horizontal="center" wrapText="1"/>
    </xf>
    <xf numFmtId="0" fontId="3" fillId="7"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0" fontId="3" fillId="0" borderId="0" xfId="0" applyFont="1"/>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0" fontId="3" fillId="8" borderId="0" xfId="0" applyFont="1" applyFill="1" applyAlignment="1">
      <alignment horizontal="center"/>
    </xf>
    <xf numFmtId="0" fontId="1" fillId="0" borderId="15" xfId="0" applyFont="1" applyBorder="1" applyAlignment="1">
      <alignment horizontal="center"/>
    </xf>
    <xf numFmtId="0" fontId="3" fillId="9" borderId="16" xfId="0" applyFont="1" applyFill="1" applyBorder="1"/>
    <xf numFmtId="0" fontId="4" fillId="9" borderId="16" xfId="0" applyFont="1" applyFill="1" applyBorder="1"/>
    <xf numFmtId="0" fontId="4" fillId="0" borderId="16" xfId="0" applyFont="1" applyBorder="1"/>
    <xf numFmtId="0" fontId="4" fillId="0" borderId="16" xfId="0" applyFont="1" applyBorder="1" applyAlignment="1">
      <alignment horizontal="left"/>
    </xf>
    <xf numFmtId="0" fontId="1" fillId="0" borderId="16" xfId="0" applyFont="1" applyBorder="1" applyAlignment="1">
      <alignment horizontal="left"/>
    </xf>
    <xf numFmtId="0" fontId="1" fillId="9" borderId="16" xfId="0" applyFont="1" applyFill="1" applyBorder="1" applyAlignment="1">
      <alignment horizontal="left"/>
    </xf>
    <xf numFmtId="0" fontId="4" fillId="0" borderId="16" xfId="0" applyFont="1" applyBorder="1" applyAlignment="1">
      <alignment horizontal="left" indent="3"/>
    </xf>
    <xf numFmtId="0" fontId="3" fillId="0" borderId="17" xfId="0" applyFont="1" applyBorder="1"/>
    <xf numFmtId="0" fontId="3" fillId="0" borderId="0" xfId="0" applyFont="1" applyAlignment="1">
      <alignment horizontal="center"/>
    </xf>
    <xf numFmtId="0" fontId="1" fillId="10" borderId="16" xfId="0" applyFont="1" applyFill="1" applyBorder="1"/>
    <xf numFmtId="0" fontId="3" fillId="0" borderId="21" xfId="0" applyFont="1" applyBorder="1"/>
    <xf numFmtId="0" fontId="1" fillId="0" borderId="2" xfId="0" applyFont="1" applyBorder="1"/>
    <xf numFmtId="0" fontId="1" fillId="0" borderId="7" xfId="0" applyFont="1" applyBorder="1" applyAlignment="1">
      <alignment horizontal="center"/>
    </xf>
    <xf numFmtId="9" fontId="1" fillId="0" borderId="7" xfId="0" applyNumberFormat="1" applyFont="1" applyBorder="1"/>
    <xf numFmtId="9" fontId="1" fillId="11" borderId="7" xfId="0" applyNumberFormat="1" applyFont="1" applyFill="1" applyBorder="1"/>
    <xf numFmtId="2" fontId="1" fillId="11" borderId="22" xfId="0" applyNumberFormat="1" applyFont="1" applyFill="1" applyBorder="1"/>
    <xf numFmtId="2" fontId="1" fillId="10" borderId="22" xfId="0" applyNumberFormat="1" applyFont="1" applyFill="1" applyBorder="1"/>
    <xf numFmtId="9" fontId="1" fillId="0" borderId="8" xfId="0" applyNumberFormat="1" applyFont="1" applyBorder="1"/>
    <xf numFmtId="0" fontId="1" fillId="0" borderId="23" xfId="0" applyFont="1" applyBorder="1" applyAlignment="1">
      <alignment horizontal="center"/>
    </xf>
    <xf numFmtId="0" fontId="1" fillId="0" borderId="24" xfId="0" applyFont="1" applyBorder="1"/>
    <xf numFmtId="0" fontId="1" fillId="0" borderId="25" xfId="0" applyFont="1" applyBorder="1"/>
    <xf numFmtId="0" fontId="1" fillId="0" borderId="26" xfId="0" applyFont="1" applyBorder="1"/>
    <xf numFmtId="2" fontId="1" fillId="11" borderId="7" xfId="0" applyNumberFormat="1" applyFont="1" applyFill="1" applyBorder="1"/>
    <xf numFmtId="165" fontId="1" fillId="9" borderId="27" xfId="0" applyNumberFormat="1" applyFont="1" applyFill="1" applyBorder="1" applyAlignment="1">
      <alignment horizontal="right"/>
    </xf>
    <xf numFmtId="0" fontId="1" fillId="0" borderId="28" xfId="0" applyFont="1" applyBorder="1" applyAlignment="1">
      <alignment horizontal="center"/>
    </xf>
    <xf numFmtId="165" fontId="1" fillId="0" borderId="27" xfId="0" applyNumberFormat="1" applyFont="1" applyBorder="1" applyAlignment="1">
      <alignment horizontal="right"/>
    </xf>
    <xf numFmtId="0" fontId="1" fillId="0" borderId="29" xfId="0" applyFont="1" applyBorder="1"/>
    <xf numFmtId="0" fontId="3" fillId="9" borderId="0" xfId="0" applyFont="1" applyFill="1"/>
    <xf numFmtId="0" fontId="1" fillId="9" borderId="0" xfId="0" applyFont="1" applyFill="1"/>
    <xf numFmtId="0" fontId="3" fillId="0" borderId="18" xfId="0" applyFont="1" applyBorder="1"/>
    <xf numFmtId="0" fontId="1" fillId="11" borderId="0" xfId="0" applyFont="1" applyFill="1"/>
    <xf numFmtId="0" fontId="1" fillId="11" borderId="16" xfId="0" applyFont="1" applyFill="1" applyBorder="1"/>
    <xf numFmtId="0" fontId="1" fillId="11" borderId="16" xfId="0" applyFont="1" applyFill="1" applyBorder="1" applyAlignment="1">
      <alignment horizontal="left"/>
    </xf>
    <xf numFmtId="0" fontId="1" fillId="11" borderId="30" xfId="0" applyFont="1" applyFill="1" applyBorder="1"/>
    <xf numFmtId="0" fontId="1" fillId="0" borderId="0" xfId="0" applyFont="1" applyAlignment="1">
      <alignment horizontal="left" vertical="center" indent="2"/>
    </xf>
    <xf numFmtId="0" fontId="13" fillId="0" borderId="0" xfId="0" applyFont="1"/>
    <xf numFmtId="0" fontId="3" fillId="9" borderId="31" xfId="0" applyFont="1" applyFill="1" applyBorder="1"/>
    <xf numFmtId="0" fontId="3" fillId="0" borderId="16" xfId="0" applyFont="1" applyBorder="1"/>
    <xf numFmtId="165" fontId="3" fillId="9" borderId="32" xfId="0" applyNumberFormat="1" applyFont="1" applyFill="1" applyBorder="1" applyAlignment="1">
      <alignment horizontal="right"/>
    </xf>
    <xf numFmtId="165" fontId="3" fillId="0" borderId="27" xfId="0" applyNumberFormat="1" applyFont="1" applyBorder="1" applyAlignment="1">
      <alignment horizontal="right"/>
    </xf>
    <xf numFmtId="0" fontId="1" fillId="9" borderId="16" xfId="0" applyFont="1" applyFill="1" applyBorder="1"/>
    <xf numFmtId="165" fontId="3" fillId="9" borderId="33" xfId="0" applyNumberFormat="1" applyFont="1" applyFill="1" applyBorder="1" applyAlignment="1">
      <alignment horizontal="right"/>
    </xf>
    <xf numFmtId="165" fontId="3" fillId="0" borderId="34" xfId="0" applyNumberFormat="1" applyFont="1" applyBorder="1" applyAlignment="1">
      <alignment horizontal="right"/>
    </xf>
    <xf numFmtId="165" fontId="3" fillId="9" borderId="35" xfId="0" applyNumberFormat="1" applyFont="1" applyFill="1" applyBorder="1" applyAlignment="1">
      <alignment horizontal="right"/>
    </xf>
    <xf numFmtId="165" fontId="3" fillId="0" borderId="36" xfId="0" applyNumberFormat="1" applyFont="1" applyBorder="1" applyAlignment="1">
      <alignment horizontal="right"/>
    </xf>
    <xf numFmtId="165" fontId="1" fillId="9" borderId="34" xfId="0" applyNumberFormat="1" applyFont="1" applyFill="1" applyBorder="1" applyAlignment="1">
      <alignment horizontal="right"/>
    </xf>
    <xf numFmtId="165" fontId="3" fillId="9" borderId="27" xfId="0" applyNumberFormat="1" applyFont="1" applyFill="1" applyBorder="1" applyAlignment="1">
      <alignment horizontal="right"/>
    </xf>
    <xf numFmtId="165" fontId="1" fillId="9" borderId="36" xfId="0" applyNumberFormat="1" applyFont="1" applyFill="1" applyBorder="1" applyAlignment="1">
      <alignment horizontal="right"/>
    </xf>
    <xf numFmtId="165" fontId="1" fillId="0" borderId="34" xfId="0" applyNumberFormat="1" applyFont="1" applyBorder="1" applyAlignment="1">
      <alignment horizontal="right"/>
    </xf>
    <xf numFmtId="165" fontId="1" fillId="0" borderId="36" xfId="0" applyNumberFormat="1" applyFont="1" applyBorder="1" applyAlignment="1">
      <alignment horizontal="right"/>
    </xf>
    <xf numFmtId="165" fontId="3" fillId="9" borderId="34" xfId="0" applyNumberFormat="1" applyFont="1" applyFill="1" applyBorder="1" applyAlignment="1">
      <alignment horizontal="right"/>
    </xf>
    <xf numFmtId="165" fontId="3" fillId="9" borderId="36" xfId="0" applyNumberFormat="1" applyFont="1" applyFill="1" applyBorder="1" applyAlignment="1">
      <alignment horizontal="right"/>
    </xf>
    <xf numFmtId="165" fontId="3" fillId="0" borderId="37" xfId="0" applyNumberFormat="1" applyFont="1" applyBorder="1" applyAlignment="1">
      <alignment horizontal="right"/>
    </xf>
    <xf numFmtId="165" fontId="3" fillId="0" borderId="38" xfId="0" applyNumberFormat="1" applyFont="1" applyBorder="1" applyAlignment="1">
      <alignment horizontal="right"/>
    </xf>
    <xf numFmtId="0" fontId="1" fillId="0" borderId="0" xfId="0" applyFont="1" applyAlignment="1">
      <alignment horizontal="center"/>
    </xf>
    <xf numFmtId="165" fontId="3" fillId="0" borderId="39" xfId="0" applyNumberFormat="1" applyFont="1" applyBorder="1" applyAlignment="1">
      <alignment horizontal="right"/>
    </xf>
    <xf numFmtId="0" fontId="1" fillId="0" borderId="40" xfId="0" applyFont="1" applyBorder="1" applyAlignment="1">
      <alignment horizontal="center"/>
    </xf>
    <xf numFmtId="0" fontId="1" fillId="0" borderId="41" xfId="0" applyFont="1" applyBorder="1" applyAlignment="1">
      <alignment horizontal="center"/>
    </xf>
    <xf numFmtId="0" fontId="1" fillId="0" borderId="42" xfId="0" applyFont="1" applyBorder="1" applyAlignment="1">
      <alignment horizontal="center"/>
    </xf>
    <xf numFmtId="0" fontId="1" fillId="0" borderId="16" xfId="0" applyFont="1" applyBorder="1"/>
    <xf numFmtId="1" fontId="1" fillId="0" borderId="0" xfId="0" applyNumberFormat="1" applyFont="1"/>
    <xf numFmtId="0" fontId="12" fillId="0" borderId="0" xfId="0" applyFont="1" applyAlignment="1">
      <alignment horizontal="center"/>
    </xf>
    <xf numFmtId="3" fontId="1" fillId="0" borderId="0" xfId="0" applyNumberFormat="1" applyFont="1"/>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5" xfId="0" applyFont="1" applyFill="1" applyBorder="1" applyAlignment="1">
      <alignment horizontal="center"/>
    </xf>
    <xf numFmtId="0" fontId="2" fillId="12" borderId="3" xfId="0" applyFont="1" applyFill="1" applyBorder="1" applyAlignment="1">
      <alignment horizontal="center"/>
    </xf>
    <xf numFmtId="0" fontId="2" fillId="12" borderId="2" xfId="0" applyFont="1" applyFill="1" applyBorder="1" applyAlignment="1">
      <alignment horizontal="center"/>
    </xf>
    <xf numFmtId="0" fontId="12" fillId="12" borderId="44" xfId="0" applyFont="1" applyFill="1" applyBorder="1" applyAlignment="1">
      <alignment horizontal="center"/>
    </xf>
    <xf numFmtId="0" fontId="12" fillId="12" borderId="3" xfId="0" applyFont="1" applyFill="1" applyBorder="1" applyAlignment="1">
      <alignment horizontal="center"/>
    </xf>
    <xf numFmtId="0" fontId="12" fillId="12" borderId="2" xfId="0" applyFont="1" applyFill="1" applyBorder="1" applyAlignment="1">
      <alignment horizontal="center"/>
    </xf>
    <xf numFmtId="165" fontId="2" fillId="0" borderId="0" xfId="0" applyNumberFormat="1" applyFont="1" applyAlignment="1">
      <alignment horizontal="center"/>
    </xf>
    <xf numFmtId="0" fontId="2" fillId="0" borderId="4" xfId="0" applyFont="1" applyBorder="1"/>
    <xf numFmtId="0" fontId="2" fillId="0" borderId="0" xfId="0" applyFont="1" applyAlignment="1">
      <alignment horizontal="center" wrapText="1"/>
    </xf>
    <xf numFmtId="3" fontId="2" fillId="0" borderId="7" xfId="0" applyNumberFormat="1" applyFont="1" applyBorder="1" applyAlignment="1">
      <alignment horizontal="center"/>
    </xf>
    <xf numFmtId="0" fontId="2" fillId="12" borderId="0" xfId="0" applyFont="1" applyFill="1" applyAlignment="1">
      <alignment horizontal="center"/>
    </xf>
    <xf numFmtId="0" fontId="2" fillId="12" borderId="1" xfId="0" applyFont="1" applyFill="1" applyBorder="1" applyAlignment="1">
      <alignment horizontal="center"/>
    </xf>
    <xf numFmtId="0" fontId="2" fillId="0" borderId="7" xfId="0" applyFont="1" applyBorder="1" applyAlignment="1">
      <alignment horizontal="center"/>
    </xf>
    <xf numFmtId="0" fontId="2" fillId="0" borderId="0" xfId="0" applyFont="1"/>
    <xf numFmtId="0" fontId="2" fillId="12" borderId="8" xfId="0" applyFont="1" applyFill="1" applyBorder="1" applyAlignment="1">
      <alignment horizontal="center"/>
    </xf>
    <xf numFmtId="0" fontId="2" fillId="0" borderId="6" xfId="0" applyFont="1" applyBorder="1" applyAlignment="1">
      <alignment horizontal="center"/>
    </xf>
    <xf numFmtId="3" fontId="2" fillId="0" borderId="0" xfId="0" applyNumberFormat="1" applyFont="1" applyAlignment="1">
      <alignment horizontal="center"/>
    </xf>
    <xf numFmtId="3" fontId="12" fillId="0" borderId="0" xfId="0" applyNumberFormat="1" applyFont="1" applyAlignment="1">
      <alignment horizontal="center" wrapText="1"/>
    </xf>
    <xf numFmtId="3" fontId="2" fillId="0" borderId="0" xfId="0" applyNumberFormat="1" applyFont="1" applyAlignment="1">
      <alignment wrapText="1"/>
    </xf>
    <xf numFmtId="0" fontId="2" fillId="0" borderId="8" xfId="0" applyFont="1" applyBorder="1" applyAlignment="1">
      <alignment horizontal="center"/>
    </xf>
    <xf numFmtId="0" fontId="11" fillId="0" borderId="0" xfId="0" applyFont="1"/>
    <xf numFmtId="3" fontId="2" fillId="0" borderId="1" xfId="0" applyNumberFormat="1" applyFont="1" applyBorder="1" applyAlignment="1">
      <alignment horizontal="center"/>
    </xf>
    <xf numFmtId="167" fontId="2" fillId="0" borderId="0" xfId="0" applyNumberFormat="1" applyFont="1" applyAlignment="1">
      <alignment horizontal="left"/>
    </xf>
    <xf numFmtId="167" fontId="2" fillId="0" borderId="0" xfId="0" applyNumberFormat="1" applyFont="1" applyAlignment="1">
      <alignment horizontal="center"/>
    </xf>
    <xf numFmtId="2" fontId="2" fillId="0" borderId="0" xfId="0" applyNumberFormat="1" applyFont="1" applyAlignment="1">
      <alignment horizontal="center"/>
    </xf>
    <xf numFmtId="14" fontId="2" fillId="0" borderId="0" xfId="0" applyNumberFormat="1" applyFont="1" applyAlignment="1">
      <alignment horizontal="center"/>
    </xf>
    <xf numFmtId="14" fontId="2" fillId="12" borderId="12" xfId="0" applyNumberFormat="1" applyFont="1" applyFill="1" applyBorder="1" applyAlignment="1">
      <alignment horizontal="right"/>
    </xf>
    <xf numFmtId="14" fontId="2" fillId="12" borderId="13" xfId="0" applyNumberFormat="1" applyFont="1" applyFill="1" applyBorder="1" applyAlignment="1">
      <alignment horizontal="right"/>
    </xf>
    <xf numFmtId="2" fontId="2" fillId="0" borderId="1" xfId="0" applyNumberFormat="1" applyFont="1" applyBorder="1" applyAlignment="1">
      <alignment horizontal="center"/>
    </xf>
    <xf numFmtId="2" fontId="2" fillId="0" borderId="7" xfId="0" applyNumberFormat="1" applyFont="1" applyBorder="1" applyAlignment="1">
      <alignment horizontal="center"/>
    </xf>
    <xf numFmtId="2" fontId="2" fillId="0" borderId="4" xfId="0" applyNumberFormat="1" applyFont="1" applyBorder="1" applyAlignment="1">
      <alignment horizontal="center"/>
    </xf>
    <xf numFmtId="2" fontId="2" fillId="0" borderId="6" xfId="0" applyNumberFormat="1" applyFont="1" applyBorder="1" applyAlignment="1">
      <alignment horizontal="center"/>
    </xf>
    <xf numFmtId="0" fontId="2" fillId="12" borderId="4" xfId="0" applyFont="1" applyFill="1" applyBorder="1" applyAlignment="1">
      <alignment horizontal="center"/>
    </xf>
    <xf numFmtId="2" fontId="2" fillId="0" borderId="8" xfId="0" applyNumberFormat="1" applyFont="1" applyBorder="1" applyAlignment="1">
      <alignment horizontal="center"/>
    </xf>
    <xf numFmtId="0" fontId="2" fillId="12" borderId="6" xfId="0" applyFont="1" applyFill="1" applyBorder="1" applyAlignment="1">
      <alignment horizontal="center"/>
    </xf>
    <xf numFmtId="0" fontId="2" fillId="0" borderId="0" xfId="0" applyFont="1" applyAlignment="1">
      <alignment wrapText="1"/>
    </xf>
    <xf numFmtId="0" fontId="2" fillId="0" borderId="1" xfId="0" applyFont="1" applyBorder="1"/>
    <xf numFmtId="2" fontId="2" fillId="0" borderId="0" xfId="0" applyNumberFormat="1" applyFont="1"/>
    <xf numFmtId="0" fontId="12" fillId="0" borderId="0" xfId="0" applyFont="1"/>
    <xf numFmtId="0" fontId="2" fillId="0" borderId="0" xfId="0" applyFont="1" applyAlignment="1">
      <alignment horizontal="left"/>
    </xf>
    <xf numFmtId="167" fontId="2" fillId="0" borderId="4" xfId="0" applyNumberFormat="1" applyFont="1" applyBorder="1" applyAlignment="1">
      <alignment horizontal="center"/>
    </xf>
    <xf numFmtId="167" fontId="2" fillId="0" borderId="6" xfId="0" applyNumberFormat="1" applyFont="1" applyBorder="1" applyAlignment="1">
      <alignment horizontal="center"/>
    </xf>
    <xf numFmtId="167" fontId="2" fillId="0" borderId="8" xfId="0" applyNumberFormat="1" applyFont="1" applyBorder="1" applyAlignment="1">
      <alignment horizontal="center"/>
    </xf>
    <xf numFmtId="0" fontId="2" fillId="12" borderId="4" xfId="0" applyFont="1" applyFill="1" applyBorder="1" applyAlignment="1">
      <alignment horizontal="center" wrapText="1"/>
    </xf>
    <xf numFmtId="0" fontId="2" fillId="0" borderId="1" xfId="0" applyFont="1" applyBorder="1" applyAlignment="1">
      <alignment wrapText="1"/>
    </xf>
    <xf numFmtId="0" fontId="2" fillId="12" borderId="6" xfId="0" applyFont="1" applyFill="1" applyBorder="1" applyAlignment="1">
      <alignment horizontal="center" wrapText="1"/>
    </xf>
    <xf numFmtId="0" fontId="2" fillId="8" borderId="14" xfId="0" applyFont="1" applyFill="1" applyBorder="1"/>
    <xf numFmtId="0" fontId="2" fillId="12" borderId="3" xfId="0" applyFont="1" applyFill="1" applyBorder="1"/>
    <xf numFmtId="0" fontId="2" fillId="8" borderId="13" xfId="0" applyFont="1" applyFill="1" applyBorder="1" applyAlignment="1">
      <alignment horizontal="center" wrapText="1"/>
    </xf>
    <xf numFmtId="3" fontId="2" fillId="0" borderId="5" xfId="0" applyNumberFormat="1" applyFont="1" applyBorder="1" applyAlignment="1">
      <alignment horizontal="center"/>
    </xf>
    <xf numFmtId="3" fontId="2" fillId="0" borderId="3" xfId="0" applyNumberFormat="1" applyFont="1" applyBorder="1" applyAlignment="1">
      <alignment horizontal="center"/>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14" fontId="2" fillId="12" borderId="14" xfId="0" applyNumberFormat="1" applyFont="1" applyFill="1" applyBorder="1" applyAlignment="1">
      <alignment horizontal="right"/>
    </xf>
    <xf numFmtId="3" fontId="2" fillId="0" borderId="0" xfId="0" applyNumberFormat="1" applyFont="1"/>
    <xf numFmtId="165" fontId="1" fillId="12" borderId="2" xfId="0" applyNumberFormat="1" applyFont="1" applyFill="1" applyBorder="1" applyAlignment="1">
      <alignment horizontal="center"/>
    </xf>
    <xf numFmtId="165" fontId="1" fillId="12" borderId="7" xfId="0" applyNumberFormat="1" applyFont="1" applyFill="1" applyBorder="1" applyAlignment="1">
      <alignment horizontal="center"/>
    </xf>
    <xf numFmtId="0" fontId="1" fillId="12" borderId="8" xfId="0" applyFont="1" applyFill="1" applyBorder="1" applyAlignment="1">
      <alignment horizontal="center"/>
    </xf>
    <xf numFmtId="0" fontId="1" fillId="8" borderId="2" xfId="0" applyFont="1" applyFill="1" applyBorder="1"/>
    <xf numFmtId="0" fontId="1" fillId="0" borderId="0" xfId="0" applyFont="1" applyAlignment="1">
      <alignment horizontal="left" wrapText="1" indent="2"/>
    </xf>
    <xf numFmtId="165" fontId="1" fillId="0" borderId="0" xfId="0" applyNumberFormat="1" applyFont="1" applyAlignment="1">
      <alignment horizontal="center"/>
    </xf>
    <xf numFmtId="165" fontId="1" fillId="0" borderId="0" xfId="0" applyNumberFormat="1" applyFont="1"/>
    <xf numFmtId="0" fontId="2" fillId="12" borderId="7" xfId="0" applyFont="1" applyFill="1" applyBorder="1" applyAlignment="1">
      <alignment horizontal="center"/>
    </xf>
    <xf numFmtId="0" fontId="1" fillId="12" borderId="0" xfId="0" applyFont="1" applyFill="1" applyAlignment="1">
      <alignment horizontal="center"/>
    </xf>
    <xf numFmtId="0" fontId="1" fillId="0" borderId="6" xfId="0" applyFont="1" applyBorder="1" applyAlignment="1">
      <alignment horizontal="center"/>
    </xf>
    <xf numFmtId="0" fontId="1" fillId="0" borderId="5" xfId="0" applyFont="1" applyBorder="1" applyAlignment="1">
      <alignment horizontal="left" wrapText="1" indent="2"/>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8" borderId="7" xfId="0" applyFont="1" applyFill="1" applyBorder="1" applyAlignment="1">
      <alignment horizontal="center"/>
    </xf>
    <xf numFmtId="0" fontId="1" fillId="0" borderId="4" xfId="0" applyFont="1" applyBorder="1" applyAlignment="1">
      <alignment horizontal="left" indent="2"/>
    </xf>
    <xf numFmtId="0" fontId="1" fillId="8" borderId="8" xfId="0" applyFont="1" applyFill="1" applyBorder="1" applyAlignment="1">
      <alignment horizontal="center"/>
    </xf>
    <xf numFmtId="0" fontId="1" fillId="12" borderId="14" xfId="0" applyFont="1" applyFill="1" applyBorder="1" applyAlignment="1">
      <alignment horizontal="center" wrapText="1"/>
    </xf>
    <xf numFmtId="0" fontId="1" fillId="3" borderId="46" xfId="0" applyFont="1" applyFill="1" applyBorder="1" applyAlignment="1">
      <alignment wrapText="1"/>
    </xf>
    <xf numFmtId="0" fontId="1" fillId="3" borderId="45" xfId="0" applyFont="1" applyFill="1" applyBorder="1" applyAlignment="1">
      <alignment wrapText="1"/>
    </xf>
    <xf numFmtId="165" fontId="1" fillId="8" borderId="3" xfId="0" applyNumberFormat="1" applyFont="1" applyFill="1" applyBorder="1" applyAlignment="1">
      <alignment horizontal="center"/>
    </xf>
    <xf numFmtId="0" fontId="1" fillId="0" borderId="6" xfId="0" applyFont="1" applyBorder="1" applyAlignment="1">
      <alignment horizontal="left" indent="2"/>
    </xf>
    <xf numFmtId="0" fontId="1" fillId="0" borderId="3" xfId="0" applyFont="1" applyBorder="1" applyAlignment="1">
      <alignment horizontal="left" wrapText="1" indent="2"/>
    </xf>
    <xf numFmtId="165" fontId="1" fillId="0" borderId="3" xfId="0" applyNumberFormat="1" applyFont="1" applyBorder="1" applyAlignment="1">
      <alignment horizontal="center"/>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7" xfId="0" applyFont="1" applyFill="1" applyBorder="1" applyAlignment="1">
      <alignment horizontal="center"/>
    </xf>
    <xf numFmtId="0" fontId="1" fillId="11" borderId="13" xfId="0" applyFont="1" applyFill="1" applyBorder="1" applyAlignment="1">
      <alignment horizontal="center"/>
    </xf>
    <xf numFmtId="165" fontId="1" fillId="11" borderId="8" xfId="0" applyNumberFormat="1" applyFont="1" applyFill="1" applyBorder="1" applyAlignment="1">
      <alignment horizontal="center"/>
    </xf>
    <xf numFmtId="0" fontId="1" fillId="0" borderId="1" xfId="0" applyFont="1" applyBorder="1" applyAlignment="1">
      <alignment horizontal="center"/>
    </xf>
    <xf numFmtId="0" fontId="4" fillId="0" borderId="5" xfId="0" applyFont="1" applyBorder="1" applyAlignment="1">
      <alignment horizontal="left" wrapText="1" indent="2"/>
    </xf>
    <xf numFmtId="165" fontId="1" fillId="0" borderId="5" xfId="0" applyNumberFormat="1" applyFont="1" applyBorder="1" applyAlignment="1">
      <alignment horizontal="center"/>
    </xf>
    <xf numFmtId="0" fontId="1" fillId="0" borderId="4" xfId="0" applyFont="1" applyBorder="1" applyAlignment="1">
      <alignment horizontal="center"/>
    </xf>
    <xf numFmtId="165" fontId="1" fillId="0" borderId="1" xfId="0" applyNumberFormat="1" applyFont="1" applyBorder="1" applyAlignment="1">
      <alignment horizontal="center"/>
    </xf>
    <xf numFmtId="0" fontId="16" fillId="0" borderId="0" xfId="0" applyFont="1"/>
    <xf numFmtId="0" fontId="15" fillId="0" borderId="0" xfId="0" applyFont="1"/>
    <xf numFmtId="0" fontId="15" fillId="0" borderId="0" xfId="0" applyFont="1" applyAlignment="1">
      <alignment horizontal="left" indent="1"/>
    </xf>
    <xf numFmtId="0" fontId="15" fillId="0" borderId="0" xfId="0" applyFont="1" applyAlignment="1">
      <alignment horizontal="left" wrapText="1" indent="1"/>
    </xf>
    <xf numFmtId="0" fontId="15" fillId="0" borderId="0" xfId="0" applyFont="1" applyAlignment="1">
      <alignment horizontal="left" indent="2"/>
    </xf>
    <xf numFmtId="0" fontId="15" fillId="0" borderId="0" xfId="0" applyFont="1" applyAlignment="1">
      <alignment horizontal="center" wrapText="1"/>
    </xf>
    <xf numFmtId="9" fontId="15" fillId="0" borderId="0" xfId="0" applyNumberFormat="1" applyFont="1" applyAlignment="1">
      <alignment horizontal="center"/>
    </xf>
    <xf numFmtId="0" fontId="16" fillId="0" borderId="0" xfId="0" applyFont="1" applyAlignment="1">
      <alignment horizontal="center"/>
    </xf>
    <xf numFmtId="167" fontId="15" fillId="0" borderId="0" xfId="0" applyNumberFormat="1" applyFont="1" applyAlignment="1">
      <alignment horizontal="center"/>
    </xf>
    <xf numFmtId="167" fontId="1" fillId="0" borderId="0" xfId="0" applyNumberFormat="1" applyFont="1" applyAlignment="1">
      <alignment horizontal="center"/>
    </xf>
    <xf numFmtId="0" fontId="12" fillId="0" borderId="0" xfId="0" applyFont="1" applyAlignment="1">
      <alignment horizontal="left" vertical="top" wrapText="1"/>
    </xf>
    <xf numFmtId="0" fontId="2" fillId="8" borderId="5" xfId="0" applyFont="1" applyFill="1" applyBorder="1" applyAlignment="1">
      <alignment horizontal="center"/>
    </xf>
    <xf numFmtId="0" fontId="2" fillId="8" borderId="3" xfId="0" applyFont="1" applyFill="1" applyBorder="1" applyAlignment="1">
      <alignment horizontal="center"/>
    </xf>
    <xf numFmtId="0" fontId="2" fillId="8" borderId="2" xfId="0" applyFont="1" applyFill="1" applyBorder="1" applyAlignment="1">
      <alignment horizontal="center"/>
    </xf>
    <xf numFmtId="3" fontId="17" fillId="12" borderId="7" xfId="0" applyNumberFormat="1" applyFont="1" applyFill="1" applyBorder="1" applyAlignment="1">
      <alignment horizontal="center"/>
    </xf>
    <xf numFmtId="3" fontId="2" fillId="2" borderId="7" xfId="0" applyNumberFormat="1" applyFont="1" applyFill="1" applyBorder="1" applyAlignment="1">
      <alignment horizontal="center"/>
    </xf>
    <xf numFmtId="0" fontId="2" fillId="12" borderId="7" xfId="0" applyFont="1" applyFill="1" applyBorder="1" applyAlignment="1">
      <alignment horizontal="center" wrapText="1"/>
    </xf>
    <xf numFmtId="3" fontId="17" fillId="0" borderId="0" xfId="0" applyNumberFormat="1" applyFont="1" applyAlignment="1">
      <alignment horizontal="center"/>
    </xf>
    <xf numFmtId="165" fontId="17" fillId="0" borderId="0" xfId="0" applyNumberFormat="1" applyFont="1" applyAlignment="1">
      <alignment horizontal="center"/>
    </xf>
    <xf numFmtId="3" fontId="2" fillId="8" borderId="0" xfId="0" applyNumberFormat="1" applyFont="1" applyFill="1" applyAlignment="1">
      <alignment horizontal="center"/>
    </xf>
    <xf numFmtId="3" fontId="17" fillId="8" borderId="0" xfId="0" applyNumberFormat="1" applyFont="1" applyFill="1" applyAlignment="1">
      <alignment horizontal="center"/>
    </xf>
    <xf numFmtId="165" fontId="2" fillId="8" borderId="0" xfId="0" applyNumberFormat="1" applyFont="1" applyFill="1" applyAlignment="1">
      <alignment horizontal="center"/>
    </xf>
    <xf numFmtId="0" fontId="2" fillId="12" borderId="2" xfId="0" applyFont="1" applyFill="1" applyBorder="1"/>
    <xf numFmtId="3" fontId="2" fillId="8" borderId="7" xfId="0" applyNumberFormat="1" applyFont="1" applyFill="1" applyBorder="1" applyAlignment="1">
      <alignment horizontal="center"/>
    </xf>
    <xf numFmtId="165" fontId="17" fillId="0" borderId="1" xfId="0" applyNumberFormat="1" applyFont="1" applyBorder="1" applyAlignment="1">
      <alignment horizontal="center"/>
    </xf>
    <xf numFmtId="3" fontId="17" fillId="8" borderId="7" xfId="0" applyNumberFormat="1" applyFont="1" applyFill="1" applyBorder="1" applyAlignment="1">
      <alignment horizontal="center"/>
    </xf>
    <xf numFmtId="3" fontId="2" fillId="8" borderId="2" xfId="0" applyNumberFormat="1" applyFont="1" applyFill="1" applyBorder="1" applyAlignment="1">
      <alignment horizontal="center"/>
    </xf>
    <xf numFmtId="0" fontId="17" fillId="0" borderId="0" xfId="0" applyFont="1"/>
    <xf numFmtId="0" fontId="2" fillId="8"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5" xfId="0" applyFont="1" applyBorder="1" applyAlignment="1">
      <alignment horizontal="left"/>
    </xf>
    <xf numFmtId="0" fontId="2" fillId="0" borderId="0" xfId="0" applyFont="1" applyAlignment="1">
      <alignment horizontal="left" wrapText="1"/>
    </xf>
    <xf numFmtId="0" fontId="2" fillId="0" borderId="6" xfId="0" applyFont="1" applyBorder="1"/>
    <xf numFmtId="165" fontId="2" fillId="8" borderId="7" xfId="0" applyNumberFormat="1" applyFont="1" applyFill="1" applyBorder="1" applyAlignment="1">
      <alignment horizontal="center"/>
    </xf>
    <xf numFmtId="165" fontId="2" fillId="8" borderId="6"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8" borderId="6" xfId="0" applyNumberFormat="1" applyFont="1" applyFill="1" applyBorder="1" applyAlignment="1">
      <alignment horizontal="center"/>
    </xf>
    <xf numFmtId="0" fontId="2" fillId="0" borderId="1" xfId="0" applyFont="1" applyBorder="1" applyAlignment="1">
      <alignment horizontal="left" wrapText="1"/>
    </xf>
    <xf numFmtId="0" fontId="17" fillId="0" borderId="1" xfId="0" applyFont="1" applyBorder="1" applyAlignment="1">
      <alignment horizontal="left" wrapText="1"/>
    </xf>
    <xf numFmtId="168" fontId="2" fillId="0" borderId="0" xfId="0" applyNumberFormat="1" applyFont="1"/>
    <xf numFmtId="0" fontId="2" fillId="8" borderId="4" xfId="0" applyFont="1" applyFill="1" applyBorder="1" applyAlignment="1">
      <alignment horizontal="center"/>
    </xf>
    <xf numFmtId="0" fontId="2" fillId="8" borderId="6" xfId="0" applyFont="1" applyFill="1" applyBorder="1" applyAlignment="1">
      <alignment horizontal="center"/>
    </xf>
    <xf numFmtId="0" fontId="2" fillId="8" borderId="8" xfId="0" applyFont="1" applyFill="1" applyBorder="1" applyAlignment="1">
      <alignment horizontal="center"/>
    </xf>
    <xf numFmtId="165" fontId="2" fillId="8" borderId="8" xfId="0" applyNumberFormat="1" applyFont="1" applyFill="1" applyBorder="1" applyAlignment="1">
      <alignment horizontal="center"/>
    </xf>
    <xf numFmtId="0" fontId="2" fillId="8" borderId="13" xfId="0" applyFont="1" applyFill="1" applyBorder="1" applyAlignment="1">
      <alignment horizontal="center"/>
    </xf>
    <xf numFmtId="0" fontId="17" fillId="0" borderId="0" xfId="0" applyFont="1" applyAlignment="1">
      <alignment horizontal="left" wrapText="1"/>
    </xf>
    <xf numFmtId="0" fontId="2" fillId="0" borderId="3" xfId="0" applyFont="1" applyBorder="1" applyAlignment="1">
      <alignment horizontal="left"/>
    </xf>
    <xf numFmtId="3" fontId="2" fillId="8" borderId="3" xfId="0" applyNumberFormat="1" applyFont="1" applyFill="1" applyBorder="1" applyAlignment="1">
      <alignment horizontal="center"/>
    </xf>
    <xf numFmtId="0" fontId="2" fillId="0" borderId="1" xfId="0" applyFont="1" applyBorder="1" applyAlignment="1">
      <alignment horizontal="center" wrapText="1"/>
    </xf>
    <xf numFmtId="0" fontId="2" fillId="0" borderId="3" xfId="0" applyFont="1" applyBorder="1" applyAlignment="1">
      <alignment horizontal="center"/>
    </xf>
    <xf numFmtId="0" fontId="2" fillId="0" borderId="1" xfId="0" applyFont="1" applyBorder="1" applyAlignment="1">
      <alignment horizontal="center"/>
    </xf>
    <xf numFmtId="0" fontId="2" fillId="0" borderId="4" xfId="0" applyFont="1" applyBorder="1" applyAlignment="1">
      <alignment horizontal="center"/>
    </xf>
    <xf numFmtId="165" fontId="2" fillId="0" borderId="6" xfId="0" applyNumberFormat="1" applyFont="1" applyBorder="1" applyAlignment="1">
      <alignment horizontal="center"/>
    </xf>
    <xf numFmtId="0" fontId="2" fillId="0" borderId="5" xfId="0" applyFont="1" applyBorder="1" applyAlignment="1">
      <alignment horizontal="center"/>
    </xf>
    <xf numFmtId="0" fontId="2" fillId="8" borderId="2" xfId="0" applyFont="1" applyFill="1" applyBorder="1"/>
    <xf numFmtId="0" fontId="3" fillId="3" borderId="5"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7" xfId="0" applyNumberFormat="1" applyFont="1" applyBorder="1"/>
    <xf numFmtId="0" fontId="1" fillId="0" borderId="7" xfId="0" applyFont="1" applyBorder="1"/>
    <xf numFmtId="14" fontId="1" fillId="0" borderId="4" xfId="0" applyNumberFormat="1" applyFont="1" applyBorder="1"/>
    <xf numFmtId="0" fontId="1" fillId="0" borderId="8" xfId="0" applyFont="1" applyBorder="1"/>
    <xf numFmtId="0" fontId="3" fillId="3" borderId="2" xfId="0" applyFont="1" applyFill="1" applyBorder="1"/>
    <xf numFmtId="165" fontId="2" fillId="0" borderId="7" xfId="0" applyNumberFormat="1" applyFont="1" applyBorder="1" applyAlignment="1">
      <alignment horizontal="center"/>
    </xf>
    <xf numFmtId="168" fontId="2" fillId="0" borderId="6" xfId="0" applyNumberFormat="1" applyFont="1" applyBorder="1" applyAlignment="1">
      <alignment horizontal="center"/>
    </xf>
    <xf numFmtId="168" fontId="2" fillId="0" borderId="8" xfId="0" applyNumberFormat="1" applyFont="1" applyBorder="1" applyAlignment="1">
      <alignment horizontal="center"/>
    </xf>
    <xf numFmtId="0" fontId="2" fillId="0" borderId="7" xfId="0" applyFont="1" applyBorder="1" applyAlignment="1">
      <alignment horizontal="center" wrapText="1"/>
    </xf>
    <xf numFmtId="165" fontId="2" fillId="12" borderId="7" xfId="0" applyNumberFormat="1" applyFont="1" applyFill="1" applyBorder="1" applyAlignment="1">
      <alignment horizontal="center" wrapText="1"/>
    </xf>
    <xf numFmtId="1" fontId="2" fillId="12" borderId="7" xfId="0" applyNumberFormat="1" applyFont="1" applyFill="1" applyBorder="1" applyAlignment="1">
      <alignment horizontal="center" wrapText="1"/>
    </xf>
    <xf numFmtId="3" fontId="2" fillId="12" borderId="8" xfId="0" applyNumberFormat="1" applyFont="1" applyFill="1" applyBorder="1" applyAlignment="1">
      <alignment horizontal="center" vertical="top" wrapText="1"/>
    </xf>
    <xf numFmtId="1" fontId="2" fillId="12" borderId="2" xfId="0" applyNumberFormat="1" applyFont="1" applyFill="1" applyBorder="1" applyAlignment="1">
      <alignment horizontal="center"/>
    </xf>
    <xf numFmtId="1" fontId="2" fillId="0" borderId="5" xfId="0" applyNumberFormat="1" applyFont="1" applyBorder="1" applyAlignment="1">
      <alignment horizontal="center"/>
    </xf>
    <xf numFmtId="1" fontId="2" fillId="0" borderId="3" xfId="0" applyNumberFormat="1" applyFont="1" applyBorder="1" applyAlignment="1">
      <alignment horizontal="center"/>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0" fontId="17" fillId="0" borderId="7" xfId="0" applyFont="1" applyBorder="1" applyAlignment="1">
      <alignment horizontal="left"/>
    </xf>
    <xf numFmtId="2" fontId="2" fillId="0" borderId="6" xfId="0" applyNumberFormat="1" applyFont="1" applyBorder="1"/>
    <xf numFmtId="165" fontId="2" fillId="6" borderId="0" xfId="0" applyNumberFormat="1" applyFont="1" applyFill="1" applyAlignment="1">
      <alignment horizontal="center" wrapText="1"/>
    </xf>
    <xf numFmtId="3" fontId="2" fillId="8" borderId="0" xfId="0" applyNumberFormat="1" applyFont="1" applyFill="1" applyAlignment="1">
      <alignment horizontal="center" wrapText="1"/>
    </xf>
    <xf numFmtId="165" fontId="2" fillId="8" borderId="0" xfId="0" applyNumberFormat="1" applyFont="1" applyFill="1" applyAlignment="1">
      <alignment horizontal="center" wrapText="1"/>
    </xf>
    <xf numFmtId="0" fontId="17" fillId="0" borderId="0" xfId="0" applyFont="1" applyAlignment="1">
      <alignment horizontal="center" wrapText="1"/>
    </xf>
    <xf numFmtId="165" fontId="17" fillId="0" borderId="0" xfId="0" applyNumberFormat="1" applyFont="1" applyAlignment="1">
      <alignment horizontal="center" wrapText="1"/>
    </xf>
    <xf numFmtId="165" fontId="17" fillId="14" borderId="0" xfId="0" applyNumberFormat="1" applyFont="1" applyFill="1" applyAlignment="1">
      <alignment horizontal="center" wrapText="1"/>
    </xf>
    <xf numFmtId="165" fontId="2" fillId="0" borderId="0" xfId="0" applyNumberFormat="1" applyFont="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12" fillId="14" borderId="0" xfId="0" applyNumberFormat="1" applyFont="1" applyFill="1" applyAlignment="1">
      <alignment horizontal="center" vertical="top" wrapText="1"/>
    </xf>
    <xf numFmtId="2" fontId="2" fillId="8" borderId="6" xfId="0" applyNumberFormat="1" applyFont="1" applyFill="1" applyBorder="1"/>
    <xf numFmtId="165" fontId="2" fillId="0" borderId="0" xfId="0" applyNumberFormat="1" applyFont="1" applyAlignment="1">
      <alignment vertical="top" wrapText="1"/>
    </xf>
    <xf numFmtId="0" fontId="2" fillId="0" borderId="4" xfId="0" applyFont="1" applyBorder="1" applyAlignment="1">
      <alignment horizontal="left" vertical="top" wrapText="1" indent="2"/>
    </xf>
    <xf numFmtId="0" fontId="2" fillId="0" borderId="0" xfId="0" applyFont="1" applyAlignment="1">
      <alignment horizontal="left" vertical="top" wrapText="1" indent="2"/>
    </xf>
    <xf numFmtId="0" fontId="2" fillId="0" borderId="7"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7" xfId="0" applyNumberFormat="1" applyFont="1" applyBorder="1" applyAlignment="1">
      <alignment horizontal="center" wrapText="1"/>
    </xf>
    <xf numFmtId="3" fontId="2" fillId="0" borderId="8" xfId="0" applyNumberFormat="1" applyFont="1" applyBorder="1" applyAlignment="1">
      <alignment horizontal="center" wrapText="1"/>
    </xf>
    <xf numFmtId="165" fontId="17" fillId="8" borderId="3" xfId="0" applyNumberFormat="1" applyFont="1" applyFill="1" applyBorder="1" applyAlignment="1">
      <alignment horizontal="center" wrapText="1"/>
    </xf>
    <xf numFmtId="165" fontId="17" fillId="8" borderId="2" xfId="0" applyNumberFormat="1" applyFont="1" applyFill="1" applyBorder="1" applyAlignment="1">
      <alignment horizontal="center" wrapText="1"/>
    </xf>
    <xf numFmtId="0" fontId="2" fillId="0" borderId="43" xfId="0" applyFont="1" applyBorder="1" applyAlignment="1">
      <alignment wrapText="1"/>
    </xf>
    <xf numFmtId="0" fontId="2" fillId="0" borderId="44" xfId="0" applyFont="1" applyBorder="1"/>
    <xf numFmtId="0" fontId="2" fillId="0" borderId="4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1" xfId="0" applyNumberFormat="1" applyFont="1" applyBorder="1" applyAlignment="1">
      <alignment horizontal="center" vertical="top" wrapText="1"/>
    </xf>
    <xf numFmtId="3" fontId="2" fillId="0" borderId="2" xfId="0" applyNumberFormat="1" applyFont="1" applyBorder="1" applyAlignment="1">
      <alignment horizontal="center"/>
    </xf>
    <xf numFmtId="3" fontId="2" fillId="0" borderId="4" xfId="0" applyNumberFormat="1" applyFont="1" applyBorder="1" applyAlignment="1">
      <alignment horizontal="center" vertical="top" wrapText="1"/>
    </xf>
    <xf numFmtId="0" fontId="2" fillId="0" borderId="0" xfId="0" applyFont="1" applyAlignment="1">
      <alignment horizontal="left" wrapText="1" indent="2"/>
    </xf>
    <xf numFmtId="3" fontId="2" fillId="0" borderId="6" xfId="0" applyNumberFormat="1" applyFont="1" applyBorder="1" applyAlignment="1">
      <alignment horizontal="center" vertical="top" wrapText="1"/>
    </xf>
    <xf numFmtId="0" fontId="2" fillId="0" borderId="0" xfId="0" applyFont="1" applyAlignment="1">
      <alignment horizontal="left" wrapText="1" indent="4"/>
    </xf>
    <xf numFmtId="0" fontId="2" fillId="0" borderId="7" xfId="0" applyFont="1" applyBorder="1" applyAlignment="1">
      <alignment wrapText="1"/>
    </xf>
    <xf numFmtId="0" fontId="2" fillId="0" borderId="4" xfId="0" applyFont="1" applyBorder="1" applyAlignment="1">
      <alignment horizontal="left" wrapText="1" indent="4"/>
    </xf>
    <xf numFmtId="3" fontId="18" fillId="0" borderId="0" xfId="0" applyNumberFormat="1" applyFont="1" applyAlignment="1">
      <alignment horizontal="center" wrapText="1"/>
    </xf>
    <xf numFmtId="3" fontId="2" fillId="0" borderId="6"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4" xfId="0" applyNumberFormat="1" applyFont="1" applyBorder="1" applyAlignment="1">
      <alignment horizontal="center" wrapText="1"/>
    </xf>
    <xf numFmtId="0" fontId="19" fillId="0" borderId="0" xfId="0" applyFont="1"/>
    <xf numFmtId="165" fontId="2" fillId="8" borderId="6" xfId="0" applyNumberFormat="1" applyFont="1" applyFill="1" applyBorder="1" applyAlignment="1">
      <alignment horizontal="center" wrapText="1"/>
    </xf>
    <xf numFmtId="165" fontId="2" fillId="8"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8" borderId="1" xfId="0" applyFont="1" applyFill="1" applyBorder="1" applyAlignment="1">
      <alignment horizontal="center"/>
    </xf>
    <xf numFmtId="0" fontId="2" fillId="8" borderId="0" xfId="0" applyFont="1" applyFill="1" applyAlignment="1">
      <alignment horizontal="center"/>
    </xf>
    <xf numFmtId="165" fontId="2" fillId="8"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6" xfId="0" applyNumberFormat="1" applyFont="1" applyBorder="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2" fillId="0" borderId="5" xfId="0" applyFont="1" applyBorder="1" applyAlignment="1">
      <alignment horizontal="left" wrapText="1"/>
    </xf>
    <xf numFmtId="0" fontId="12" fillId="0" borderId="0" xfId="0" applyFont="1" applyAlignment="1">
      <alignment horizontal="left" vertical="top" wrapText="1" indent="2"/>
    </xf>
    <xf numFmtId="165" fontId="17" fillId="14" borderId="7" xfId="0" applyNumberFormat="1" applyFont="1" applyFill="1" applyBorder="1" applyAlignment="1">
      <alignment horizontal="center" wrapText="1"/>
    </xf>
    <xf numFmtId="165" fontId="2" fillId="14" borderId="7"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7" xfId="0" applyNumberFormat="1" applyFont="1" applyFill="1" applyBorder="1" applyAlignment="1">
      <alignment horizontal="center" wrapText="1"/>
    </xf>
    <xf numFmtId="0" fontId="2" fillId="8" borderId="7" xfId="0" applyFont="1" applyFill="1" applyBorder="1" applyAlignment="1">
      <alignment horizontal="center"/>
    </xf>
    <xf numFmtId="3" fontId="12" fillId="0" borderId="46" xfId="0" applyNumberFormat="1" applyFont="1" applyBorder="1" applyAlignment="1">
      <alignment horizontal="left" wrapText="1"/>
    </xf>
    <xf numFmtId="0" fontId="17" fillId="0" borderId="5" xfId="0" applyFont="1" applyBorder="1" applyAlignment="1">
      <alignment horizontal="left" wrapText="1"/>
    </xf>
    <xf numFmtId="165" fontId="2" fillId="0" borderId="12" xfId="0" applyNumberFormat="1" applyFont="1" applyBorder="1" applyAlignment="1">
      <alignment horizontal="center" wrapText="1"/>
    </xf>
    <xf numFmtId="168" fontId="2" fillId="0" borderId="12" xfId="0" applyNumberFormat="1" applyFont="1" applyBorder="1" applyAlignment="1">
      <alignment horizontal="center" wrapText="1"/>
    </xf>
    <xf numFmtId="3" fontId="2" fillId="0" borderId="13" xfId="0" applyNumberFormat="1" applyFont="1" applyBorder="1" applyAlignment="1">
      <alignment horizontal="center" vertical="top"/>
    </xf>
    <xf numFmtId="0" fontId="12" fillId="0" borderId="0" xfId="0" applyFont="1" applyAlignment="1">
      <alignment horizontal="center" vertical="center" wrapText="1"/>
    </xf>
    <xf numFmtId="0" fontId="2" fillId="3" borderId="45"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6"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8" borderId="12" xfId="0" applyFont="1" applyFill="1" applyBorder="1" applyAlignment="1">
      <alignment horizontal="center"/>
    </xf>
    <xf numFmtId="0" fontId="2" fillId="0" borderId="1" xfId="0" applyFont="1" applyBorder="1" applyAlignment="1">
      <alignment horizontal="left" wrapText="1" indent="2"/>
    </xf>
    <xf numFmtId="165" fontId="2" fillId="8" borderId="7" xfId="0" applyNumberFormat="1" applyFont="1" applyFill="1" applyBorder="1" applyAlignment="1">
      <alignment horizontal="center" wrapText="1"/>
    </xf>
    <xf numFmtId="3" fontId="2" fillId="8" borderId="7" xfId="0" applyNumberFormat="1" applyFont="1" applyFill="1" applyBorder="1" applyAlignment="1">
      <alignment horizontal="center" wrapText="1"/>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0" fontId="17" fillId="0" borderId="3" xfId="0" applyFont="1" applyBorder="1" applyAlignment="1">
      <alignment horizontal="center" wrapText="1"/>
    </xf>
    <xf numFmtId="168" fontId="2" fillId="8" borderId="0" xfId="0" applyNumberFormat="1" applyFont="1" applyFill="1" applyAlignment="1">
      <alignment horizontal="center" wrapText="1"/>
    </xf>
    <xf numFmtId="168" fontId="2" fillId="8" borderId="7" xfId="0" applyNumberFormat="1" applyFont="1" applyFill="1" applyBorder="1" applyAlignment="1">
      <alignment horizontal="center" wrapText="1"/>
    </xf>
    <xf numFmtId="0" fontId="2"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44" xfId="0" applyNumberFormat="1" applyFont="1" applyBorder="1" applyAlignment="1">
      <alignment horizontal="center" wrapText="1"/>
    </xf>
    <xf numFmtId="0" fontId="2" fillId="0" borderId="1" xfId="0" applyFont="1" applyBorder="1" applyAlignment="1">
      <alignment horizontal="left" vertical="top" wrapText="1" indent="2"/>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7" xfId="0" applyNumberFormat="1" applyFont="1" applyBorder="1" applyAlignment="1">
      <alignment horizontal="center" wrapText="1"/>
    </xf>
    <xf numFmtId="3" fontId="2" fillId="0" borderId="1" xfId="0" applyNumberFormat="1" applyFont="1" applyBorder="1" applyAlignment="1">
      <alignment horizontal="center" wrapText="1"/>
    </xf>
    <xf numFmtId="3" fontId="2" fillId="8" borderId="8" xfId="0" applyNumberFormat="1" applyFont="1" applyFill="1" applyBorder="1" applyAlignment="1">
      <alignment horizontal="center"/>
    </xf>
    <xf numFmtId="0" fontId="17" fillId="0" borderId="1" xfId="0" applyFont="1" applyBorder="1" applyAlignment="1">
      <alignment wrapText="1"/>
    </xf>
    <xf numFmtId="0" fontId="17" fillId="0" borderId="0" xfId="0" applyFont="1" applyAlignment="1">
      <alignment horizontal="left"/>
    </xf>
    <xf numFmtId="165" fontId="17" fillId="8" borderId="0" xfId="0" applyNumberFormat="1" applyFont="1" applyFill="1" applyAlignment="1">
      <alignment horizontal="center"/>
    </xf>
    <xf numFmtId="0" fontId="1" fillId="0" borderId="4" xfId="0" applyFont="1" applyBorder="1"/>
    <xf numFmtId="0" fontId="17" fillId="0" borderId="5" xfId="0" applyFont="1" applyBorder="1" applyAlignment="1">
      <alignment horizontal="center" wrapText="1"/>
    </xf>
    <xf numFmtId="165" fontId="17" fillId="0" borderId="3" xfId="0" applyNumberFormat="1" applyFont="1" applyBorder="1" applyAlignment="1">
      <alignment horizontal="center" wrapText="1"/>
    </xf>
    <xf numFmtId="165" fontId="17" fillId="0" borderId="7" xfId="0" applyNumberFormat="1" applyFont="1" applyBorder="1" applyAlignment="1">
      <alignment horizontal="center" wrapText="1"/>
    </xf>
    <xf numFmtId="0" fontId="17" fillId="0" borderId="1" xfId="0" applyFont="1" applyBorder="1" applyAlignment="1">
      <alignment horizontal="center" wrapText="1"/>
    </xf>
    <xf numFmtId="165" fontId="2" fillId="0" borderId="7" xfId="0" applyNumberFormat="1" applyFont="1" applyBorder="1" applyAlignment="1">
      <alignment horizontal="center" vertical="top" wrapText="1"/>
    </xf>
    <xf numFmtId="165" fontId="2" fillId="0" borderId="1" xfId="0" applyNumberFormat="1" applyFont="1" applyBorder="1" applyAlignment="1">
      <alignment horizontal="center" vertical="top" wrapText="1"/>
    </xf>
    <xf numFmtId="165" fontId="17" fillId="0" borderId="2" xfId="0" applyNumberFormat="1" applyFont="1" applyBorder="1" applyAlignment="1">
      <alignment horizontal="center" wrapText="1"/>
    </xf>
    <xf numFmtId="165" fontId="12" fillId="0" borderId="7" xfId="0" applyNumberFormat="1" applyFont="1" applyBorder="1" applyAlignment="1">
      <alignment horizontal="center" vertical="top" wrapText="1"/>
    </xf>
    <xf numFmtId="0" fontId="12" fillId="0" borderId="1" xfId="0" applyFont="1" applyBorder="1" applyAlignment="1">
      <alignment horizontal="center" vertical="top" wrapText="1"/>
    </xf>
    <xf numFmtId="3" fontId="17" fillId="0" borderId="7" xfId="0" applyNumberFormat="1" applyFont="1" applyBorder="1" applyAlignment="1">
      <alignment horizontal="center"/>
    </xf>
    <xf numFmtId="2" fontId="2" fillId="12" borderId="7" xfId="0" applyNumberFormat="1" applyFont="1" applyFill="1" applyBorder="1" applyAlignment="1">
      <alignment horizontal="center"/>
    </xf>
    <xf numFmtId="3" fontId="2" fillId="12" borderId="2" xfId="0" applyNumberFormat="1" applyFont="1" applyFill="1" applyBorder="1" applyAlignment="1">
      <alignment horizontal="center"/>
    </xf>
    <xf numFmtId="168" fontId="2" fillId="12" borderId="7" xfId="0" applyNumberFormat="1" applyFont="1" applyFill="1" applyBorder="1" applyAlignment="1">
      <alignment horizontal="center"/>
    </xf>
    <xf numFmtId="3" fontId="2" fillId="12" borderId="7" xfId="0" applyNumberFormat="1" applyFont="1" applyFill="1" applyBorder="1" applyAlignment="1">
      <alignment horizontal="center"/>
    </xf>
    <xf numFmtId="1" fontId="2" fillId="0" borderId="2" xfId="0" applyNumberFormat="1" applyFont="1" applyBorder="1" applyAlignment="1">
      <alignment horizontal="center"/>
    </xf>
    <xf numFmtId="1" fontId="2" fillId="0" borderId="0" xfId="0" applyNumberFormat="1" applyFont="1" applyAlignment="1">
      <alignment horizontal="center"/>
    </xf>
    <xf numFmtId="168" fontId="2" fillId="0" borderId="7" xfId="0" applyNumberFormat="1" applyFont="1" applyBorder="1" applyAlignment="1">
      <alignment horizontal="center"/>
    </xf>
    <xf numFmtId="1" fontId="2" fillId="0" borderId="0" xfId="0" applyNumberFormat="1" applyFont="1"/>
    <xf numFmtId="1" fontId="2" fillId="2" borderId="7" xfId="0" applyNumberFormat="1" applyFont="1" applyFill="1" applyBorder="1"/>
    <xf numFmtId="165" fontId="2" fillId="11" borderId="3" xfId="0" applyNumberFormat="1" applyFont="1" applyFill="1" applyBorder="1" applyAlignment="1">
      <alignment horizontal="center"/>
    </xf>
    <xf numFmtId="165" fontId="2" fillId="2" borderId="2" xfId="0" applyNumberFormat="1" applyFont="1" applyFill="1" applyBorder="1" applyAlignment="1">
      <alignment horizontal="center"/>
    </xf>
    <xf numFmtId="165" fontId="2" fillId="8" borderId="1" xfId="0" applyNumberFormat="1" applyFont="1" applyFill="1" applyBorder="1" applyAlignment="1">
      <alignment horizontal="center"/>
    </xf>
    <xf numFmtId="168" fontId="2" fillId="8" borderId="0" xfId="0" applyNumberFormat="1" applyFont="1" applyFill="1" applyAlignment="1">
      <alignment horizontal="center"/>
    </xf>
    <xf numFmtId="1" fontId="17" fillId="8" borderId="0" xfId="0" applyNumberFormat="1" applyFont="1" applyFill="1" applyAlignment="1">
      <alignment horizontal="center"/>
    </xf>
    <xf numFmtId="1" fontId="2" fillId="8" borderId="0" xfId="0" applyNumberFormat="1" applyFont="1" applyFill="1"/>
    <xf numFmtId="10" fontId="1" fillId="0" borderId="0" xfId="0" applyNumberFormat="1" applyFont="1"/>
    <xf numFmtId="2" fontId="1" fillId="0" borderId="0" xfId="0" applyNumberFormat="1" applyFont="1"/>
    <xf numFmtId="165" fontId="2" fillId="0" borderId="8" xfId="0" applyNumberFormat="1" applyFont="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0" fontId="2" fillId="0" borderId="4" xfId="0" applyFont="1" applyBorder="1" applyAlignment="1">
      <alignment horizontal="left" wrapText="1"/>
    </xf>
    <xf numFmtId="0" fontId="2" fillId="0" borderId="6" xfId="0" applyFont="1" applyBorder="1" applyAlignment="1">
      <alignment horizontal="left" wrapText="1"/>
    </xf>
    <xf numFmtId="165" fontId="2" fillId="0" borderId="3" xfId="0" applyNumberFormat="1" applyFont="1" applyBorder="1" applyAlignment="1">
      <alignment horizontal="center"/>
    </xf>
    <xf numFmtId="17" fontId="12" fillId="3" borderId="47"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2" fillId="8" borderId="2" xfId="0" applyNumberFormat="1" applyFont="1" applyFill="1" applyBorder="1" applyAlignment="1">
      <alignment horizontal="center"/>
    </xf>
    <xf numFmtId="0" fontId="2" fillId="0" borderId="4" xfId="0" applyFont="1" applyBorder="1" applyAlignment="1">
      <alignment wrapText="1"/>
    </xf>
    <xf numFmtId="0" fontId="2" fillId="0" borderId="1" xfId="0" applyFont="1" applyBorder="1" applyAlignment="1">
      <alignment horizontal="left"/>
    </xf>
    <xf numFmtId="0" fontId="2" fillId="12" borderId="12" xfId="0" applyFont="1" applyFill="1" applyBorder="1" applyAlignment="1">
      <alignment horizontal="center"/>
    </xf>
    <xf numFmtId="3" fontId="2" fillId="0" borderId="6" xfId="0" applyNumberFormat="1" applyFont="1" applyBorder="1" applyAlignment="1">
      <alignment horizontal="center"/>
    </xf>
    <xf numFmtId="165" fontId="2" fillId="0" borderId="0" xfId="0" applyNumberFormat="1" applyFont="1"/>
    <xf numFmtId="1" fontId="2" fillId="8" borderId="1" xfId="0" applyNumberFormat="1" applyFont="1" applyFill="1" applyBorder="1" applyAlignment="1">
      <alignment horizontal="center"/>
    </xf>
    <xf numFmtId="1" fontId="2" fillId="8" borderId="0" xfId="0" applyNumberFormat="1" applyFont="1" applyFill="1" applyAlignment="1">
      <alignment horizontal="center"/>
    </xf>
    <xf numFmtId="1" fontId="2" fillId="8" borderId="7" xfId="0" applyNumberFormat="1" applyFont="1" applyFill="1" applyBorder="1" applyAlignment="1">
      <alignment horizontal="center"/>
    </xf>
    <xf numFmtId="3" fontId="2" fillId="8" borderId="1" xfId="0" applyNumberFormat="1" applyFont="1" applyFill="1" applyBorder="1" applyAlignment="1">
      <alignment horizontal="center"/>
    </xf>
    <xf numFmtId="165" fontId="2" fillId="8" borderId="3" xfId="0" applyNumberFormat="1" applyFont="1" applyFill="1" applyBorder="1" applyAlignment="1">
      <alignment horizontal="center"/>
    </xf>
    <xf numFmtId="3" fontId="2" fillId="0" borderId="4" xfId="0" applyNumberFormat="1" applyFont="1" applyBorder="1" applyAlignment="1">
      <alignment horizontal="center"/>
    </xf>
    <xf numFmtId="3" fontId="2" fillId="8" borderId="4" xfId="0" applyNumberFormat="1" applyFont="1" applyFill="1" applyBorder="1" applyAlignment="1">
      <alignment horizontal="center"/>
    </xf>
    <xf numFmtId="0" fontId="2" fillId="0" borderId="3" xfId="0" applyFont="1" applyBorder="1" applyAlignment="1">
      <alignment horizontal="left" wrapText="1"/>
    </xf>
    <xf numFmtId="0" fontId="12" fillId="3" borderId="5" xfId="0" applyFont="1" applyFill="1" applyBorder="1" applyAlignment="1">
      <alignment horizontal="left" wrapText="1"/>
    </xf>
    <xf numFmtId="1" fontId="2" fillId="0" borderId="1" xfId="0" applyNumberFormat="1" applyFont="1" applyBorder="1" applyAlignment="1">
      <alignment horizontal="center"/>
    </xf>
    <xf numFmtId="0" fontId="2" fillId="0" borderId="6" xfId="0" applyFont="1" applyBorder="1" applyAlignment="1">
      <alignment wrapText="1"/>
    </xf>
    <xf numFmtId="165" fontId="2" fillId="14" borderId="0" xfId="0" applyNumberFormat="1" applyFont="1" applyFill="1" applyAlignment="1">
      <alignment horizontal="center"/>
    </xf>
    <xf numFmtId="165" fontId="2" fillId="0" borderId="1" xfId="0" applyNumberFormat="1" applyFont="1" applyBorder="1" applyAlignment="1">
      <alignment horizontal="center"/>
    </xf>
    <xf numFmtId="0" fontId="2" fillId="0" borderId="5" xfId="0" applyFont="1" applyBorder="1" applyAlignment="1">
      <alignment wrapText="1"/>
    </xf>
    <xf numFmtId="165" fontId="2" fillId="0" borderId="5" xfId="0" applyNumberFormat="1" applyFont="1" applyBorder="1" applyAlignment="1">
      <alignment horizontal="center"/>
    </xf>
    <xf numFmtId="0" fontId="2" fillId="0" borderId="4" xfId="0" applyFont="1" applyBorder="1" applyAlignment="1">
      <alignment vertical="top" wrapText="1"/>
    </xf>
    <xf numFmtId="17" fontId="12" fillId="3" borderId="43" xfId="0" applyNumberFormat="1" applyFont="1" applyFill="1" applyBorder="1" applyAlignment="1">
      <alignment horizontal="left" wrapText="1"/>
    </xf>
    <xf numFmtId="17" fontId="12" fillId="3" borderId="44"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 fillId="12" borderId="14" xfId="0" applyFont="1" applyFill="1" applyBorder="1" applyAlignment="1">
      <alignment horizontal="center"/>
    </xf>
    <xf numFmtId="165" fontId="2" fillId="8" borderId="5" xfId="0" applyNumberFormat="1" applyFont="1" applyFill="1" applyBorder="1" applyAlignment="1">
      <alignment horizontal="center"/>
    </xf>
    <xf numFmtId="0" fontId="17" fillId="0" borderId="1" xfId="0" applyFont="1" applyBorder="1" applyAlignment="1">
      <alignment horizontal="left" vertical="top" wrapText="1"/>
    </xf>
    <xf numFmtId="0" fontId="20" fillId="0" borderId="0" xfId="0" applyFont="1" applyAlignment="1">
      <alignment horizontal="center" vertical="center" wrapText="1"/>
    </xf>
    <xf numFmtId="0" fontId="21" fillId="0" borderId="1" xfId="0" applyFont="1" applyBorder="1" applyAlignment="1">
      <alignment wrapText="1"/>
    </xf>
    <xf numFmtId="0" fontId="21" fillId="0" borderId="1" xfId="0" applyFont="1" applyBorder="1" applyAlignment="1">
      <alignment vertical="center" wrapText="1"/>
    </xf>
    <xf numFmtId="0" fontId="2" fillId="0" borderId="1" xfId="0" applyFont="1" applyBorder="1" applyAlignment="1">
      <alignment vertical="center" wrapText="1"/>
    </xf>
    <xf numFmtId="168" fontId="2" fillId="0" borderId="0" xfId="0" applyNumberFormat="1" applyFont="1" applyAlignment="1">
      <alignment horizont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1" fontId="2" fillId="12" borderId="2" xfId="0" applyNumberFormat="1" applyFont="1" applyFill="1" applyBorder="1" applyAlignment="1">
      <alignment horizontal="center" wrapText="1"/>
    </xf>
    <xf numFmtId="1" fontId="2" fillId="0" borderId="7" xfId="0" applyNumberFormat="1" applyFont="1" applyBorder="1" applyAlignment="1">
      <alignment horizontal="center" wrapText="1"/>
    </xf>
    <xf numFmtId="1" fontId="2" fillId="0" borderId="3" xfId="0" applyNumberFormat="1" applyFont="1" applyBorder="1" applyAlignment="1">
      <alignment horizontal="center" wrapText="1"/>
    </xf>
    <xf numFmtId="170" fontId="2" fillId="0" borderId="3" xfId="0" applyNumberFormat="1" applyFont="1" applyBorder="1" applyAlignment="1">
      <alignment horizontal="center" wrapText="1"/>
    </xf>
    <xf numFmtId="3" fontId="2" fillId="0" borderId="2" xfId="0" applyNumberFormat="1" applyFont="1" applyBorder="1" applyAlignment="1">
      <alignment horizontal="center" wrapText="1"/>
    </xf>
    <xf numFmtId="3" fontId="17" fillId="0" borderId="7" xfId="0" applyNumberFormat="1" applyFont="1" applyBorder="1" applyAlignment="1">
      <alignment horizontal="center" wrapText="1"/>
    </xf>
    <xf numFmtId="0" fontId="17" fillId="0" borderId="4" xfId="0" applyFont="1" applyBorder="1"/>
    <xf numFmtId="0" fontId="17" fillId="0" borderId="6" xfId="0" applyFont="1" applyBorder="1"/>
    <xf numFmtId="1" fontId="17" fillId="0" borderId="8" xfId="0" applyNumberFormat="1" applyFont="1" applyBorder="1" applyAlignment="1">
      <alignment horizontal="center"/>
    </xf>
    <xf numFmtId="1" fontId="12" fillId="0" borderId="0" xfId="0" applyNumberFormat="1" applyFont="1" applyAlignment="1">
      <alignment horizontal="center" wrapText="1"/>
    </xf>
    <xf numFmtId="0" fontId="22" fillId="0" borderId="0" xfId="0" applyFont="1"/>
    <xf numFmtId="3" fontId="12" fillId="0" borderId="7" xfId="0" applyNumberFormat="1" applyFont="1" applyBorder="1" applyAlignment="1">
      <alignment horizontal="center" wrapText="1"/>
    </xf>
    <xf numFmtId="170" fontId="2" fillId="0" borderId="0" xfId="0" applyNumberFormat="1" applyFont="1" applyAlignment="1">
      <alignment horizontal="center" wrapText="1"/>
    </xf>
    <xf numFmtId="0" fontId="12" fillId="0" borderId="3" xfId="0" applyFont="1" applyBorder="1" applyAlignment="1">
      <alignment horizontal="center" wrapText="1"/>
    </xf>
    <xf numFmtId="3" fontId="2" fillId="0" borderId="3" xfId="0" applyNumberFormat="1" applyFont="1" applyBorder="1" applyAlignment="1">
      <alignment vertical="top"/>
    </xf>
    <xf numFmtId="3" fontId="2" fillId="8" borderId="5" xfId="0" applyNumberFormat="1" applyFont="1" applyFill="1" applyBorder="1" applyAlignment="1">
      <alignment horizontal="center" wrapText="1"/>
    </xf>
    <xf numFmtId="3" fontId="2" fillId="8" borderId="1" xfId="0" applyNumberFormat="1" applyFont="1" applyFill="1" applyBorder="1" applyAlignment="1">
      <alignment horizontal="center" wrapText="1"/>
    </xf>
    <xf numFmtId="0" fontId="1" fillId="8" borderId="0" xfId="0" applyFont="1" applyFill="1"/>
    <xf numFmtId="1" fontId="2" fillId="8" borderId="1" xfId="0" applyNumberFormat="1" applyFont="1" applyFill="1" applyBorder="1" applyAlignment="1">
      <alignment horizontal="center" wrapText="1"/>
    </xf>
    <xf numFmtId="1" fontId="2" fillId="8" borderId="0" xfId="0" applyNumberFormat="1" applyFont="1" applyFill="1" applyAlignment="1">
      <alignment horizontal="center" wrapText="1"/>
    </xf>
    <xf numFmtId="3" fontId="1" fillId="8" borderId="0" xfId="0" applyNumberFormat="1" applyFont="1" applyFill="1"/>
    <xf numFmtId="3" fontId="12" fillId="8" borderId="1" xfId="0" applyNumberFormat="1" applyFont="1" applyFill="1" applyBorder="1" applyAlignment="1">
      <alignment horizontal="center" wrapText="1"/>
    </xf>
    <xf numFmtId="3" fontId="12" fillId="8" borderId="0" xfId="0" applyNumberFormat="1" applyFont="1" applyFill="1" applyAlignment="1">
      <alignment horizontal="center" wrapText="1"/>
    </xf>
    <xf numFmtId="3" fontId="12" fillId="8" borderId="7" xfId="0" applyNumberFormat="1" applyFont="1" applyFill="1" applyBorder="1" applyAlignment="1">
      <alignment horizontal="center" wrapText="1"/>
    </xf>
    <xf numFmtId="3" fontId="12" fillId="8" borderId="4"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0" fontId="17" fillId="0" borderId="0" xfId="0" applyFont="1" applyAlignment="1">
      <alignment wrapText="1"/>
    </xf>
    <xf numFmtId="3" fontId="17" fillId="0" borderId="0" xfId="0" applyNumberFormat="1" applyFont="1" applyAlignment="1">
      <alignment horizontal="center" wrapText="1"/>
    </xf>
    <xf numFmtId="170" fontId="17" fillId="0" borderId="0" xfId="0" applyNumberFormat="1" applyFont="1" applyAlignment="1">
      <alignment wrapText="1"/>
    </xf>
    <xf numFmtId="1" fontId="17" fillId="0" borderId="0" xfId="0" applyNumberFormat="1" applyFont="1" applyAlignment="1">
      <alignment horizontal="center"/>
    </xf>
    <xf numFmtId="0" fontId="23" fillId="0" borderId="1" xfId="0" applyFont="1" applyBorder="1" applyAlignment="1">
      <alignment horizontal="left" indent="2"/>
    </xf>
    <xf numFmtId="3" fontId="12" fillId="8" borderId="6" xfId="0" applyNumberFormat="1" applyFont="1" applyFill="1" applyBorder="1" applyAlignment="1">
      <alignment horizontal="center" wrapText="1"/>
    </xf>
    <xf numFmtId="0" fontId="24" fillId="0" borderId="1" xfId="0" applyFont="1" applyBorder="1" applyAlignment="1">
      <alignment horizontal="left" indent="2"/>
    </xf>
    <xf numFmtId="3" fontId="17" fillId="8" borderId="0" xfId="0" applyNumberFormat="1" applyFont="1" applyFill="1" applyAlignment="1">
      <alignment horizontal="center" wrapText="1"/>
    </xf>
    <xf numFmtId="1" fontId="17" fillId="8" borderId="6" xfId="0" applyNumberFormat="1" applyFont="1" applyFill="1" applyBorder="1" applyAlignment="1">
      <alignment horizontal="center"/>
    </xf>
    <xf numFmtId="1" fontId="17" fillId="8" borderId="8" xfId="0" applyNumberFormat="1" applyFont="1" applyFill="1" applyBorder="1" applyAlignment="1">
      <alignment horizontal="center"/>
    </xf>
    <xf numFmtId="3" fontId="2" fillId="8" borderId="2" xfId="0" applyNumberFormat="1" applyFont="1" applyFill="1" applyBorder="1" applyAlignment="1">
      <alignment horizontal="center" wrapText="1"/>
    </xf>
    <xf numFmtId="0" fontId="1" fillId="8" borderId="7" xfId="0" applyFont="1" applyFill="1" applyBorder="1"/>
    <xf numFmtId="0" fontId="24"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3" xfId="0" applyNumberFormat="1" applyFont="1" applyFill="1" applyBorder="1" applyAlignment="1">
      <alignment horizontal="center" wrapText="1"/>
    </xf>
    <xf numFmtId="0" fontId="1" fillId="8" borderId="3" xfId="0" applyFont="1" applyFill="1" applyBorder="1"/>
    <xf numFmtId="1" fontId="2" fillId="8" borderId="7" xfId="0" applyNumberFormat="1" applyFont="1" applyFill="1" applyBorder="1" applyAlignment="1">
      <alignment horizontal="center" wrapText="1"/>
    </xf>
    <xf numFmtId="3" fontId="17" fillId="8" borderId="7" xfId="0" applyNumberFormat="1" applyFont="1" applyFill="1" applyBorder="1" applyAlignment="1">
      <alignment horizontal="center" wrapText="1"/>
    </xf>
    <xf numFmtId="1" fontId="17" fillId="0" borderId="6"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7" xfId="0" applyFont="1" applyBorder="1" applyAlignment="1">
      <alignment horizontal="left" wrapText="1" indent="3"/>
    </xf>
    <xf numFmtId="168" fontId="2" fillId="12" borderId="2" xfId="0" applyNumberFormat="1" applyFont="1" applyFill="1" applyBorder="1" applyAlignment="1">
      <alignment horizontal="center"/>
    </xf>
    <xf numFmtId="169" fontId="2" fillId="12" borderId="8" xfId="0" applyNumberFormat="1" applyFont="1" applyFill="1" applyBorder="1" applyAlignment="1">
      <alignment horizontal="center"/>
    </xf>
    <xf numFmtId="168" fontId="17" fillId="12" borderId="2" xfId="0" applyNumberFormat="1" applyFont="1" applyFill="1" applyBorder="1" applyAlignment="1">
      <alignment horizontal="center"/>
    </xf>
    <xf numFmtId="168" fontId="17" fillId="0" borderId="0" xfId="0" applyNumberFormat="1" applyFont="1" applyAlignment="1">
      <alignment horizontal="center"/>
    </xf>
    <xf numFmtId="1" fontId="2" fillId="0" borderId="0" xfId="0" applyNumberFormat="1" applyFont="1" applyAlignment="1">
      <alignment horizontal="right"/>
    </xf>
    <xf numFmtId="168" fontId="12" fillId="0" borderId="0" xfId="0" applyNumberFormat="1" applyFont="1" applyAlignment="1">
      <alignment horizontal="right"/>
    </xf>
    <xf numFmtId="168" fontId="12" fillId="0" borderId="7" xfId="0" applyNumberFormat="1" applyFont="1" applyBorder="1" applyAlignment="1">
      <alignment horizontal="right"/>
    </xf>
    <xf numFmtId="169" fontId="2" fillId="0" borderId="0" xfId="0" applyNumberFormat="1" applyFont="1" applyAlignment="1">
      <alignment horizontal="center"/>
    </xf>
    <xf numFmtId="169" fontId="2" fillId="0" borderId="7" xfId="0" applyNumberFormat="1" applyFont="1" applyBorder="1" applyAlignment="1">
      <alignment horizontal="center"/>
    </xf>
    <xf numFmtId="168" fontId="1" fillId="0" borderId="0" xfId="0" applyNumberFormat="1" applyFont="1"/>
    <xf numFmtId="0" fontId="26" fillId="0" borderId="1" xfId="0" applyFont="1" applyBorder="1" applyAlignment="1">
      <alignment horizontal="left" wrapText="1"/>
    </xf>
    <xf numFmtId="169" fontId="2" fillId="0" borderId="6" xfId="0" applyNumberFormat="1" applyFont="1" applyBorder="1" applyAlignment="1">
      <alignment horizontal="center"/>
    </xf>
    <xf numFmtId="0" fontId="2" fillId="0" borderId="5" xfId="0" applyFont="1" applyBorder="1"/>
    <xf numFmtId="0" fontId="17" fillId="0" borderId="1" xfId="0" applyFont="1" applyBorder="1"/>
    <xf numFmtId="168" fontId="17" fillId="8" borderId="2" xfId="0" applyNumberFormat="1" applyFont="1" applyFill="1" applyBorder="1" applyAlignment="1">
      <alignment horizontal="center"/>
    </xf>
    <xf numFmtId="172" fontId="2" fillId="0" borderId="0" xfId="0" applyNumberFormat="1" applyFont="1"/>
    <xf numFmtId="169" fontId="2" fillId="0" borderId="1" xfId="0" applyNumberFormat="1" applyFont="1" applyBorder="1" applyAlignment="1">
      <alignment horizontal="center"/>
    </xf>
    <xf numFmtId="169" fontId="2" fillId="0" borderId="0" xfId="0" applyNumberFormat="1" applyFont="1"/>
    <xf numFmtId="168" fontId="2" fillId="0" borderId="3" xfId="0" applyNumberFormat="1" applyFont="1" applyBorder="1" applyAlignment="1">
      <alignment horizontal="center"/>
    </xf>
    <xf numFmtId="0" fontId="12" fillId="13" borderId="43" xfId="0" applyFont="1" applyFill="1" applyBorder="1"/>
    <xf numFmtId="168" fontId="17" fillId="8" borderId="0" xfId="0" applyNumberFormat="1" applyFont="1" applyFill="1" applyAlignment="1">
      <alignment horizontal="center"/>
    </xf>
    <xf numFmtId="0" fontId="12" fillId="3" borderId="43" xfId="0" applyFont="1" applyFill="1" applyBorder="1"/>
    <xf numFmtId="0" fontId="12" fillId="3" borderId="44" xfId="0" applyFont="1" applyFill="1" applyBorder="1"/>
    <xf numFmtId="0" fontId="12" fillId="3" borderId="46" xfId="0" applyFont="1" applyFill="1" applyBorder="1"/>
    <xf numFmtId="0" fontId="12" fillId="3" borderId="44" xfId="0" applyFont="1" applyFill="1" applyBorder="1" applyAlignment="1">
      <alignment horizontal="center"/>
    </xf>
    <xf numFmtId="0" fontId="12" fillId="3" borderId="46" xfId="0" applyFont="1" applyFill="1" applyBorder="1" applyAlignment="1">
      <alignment horizontal="center"/>
    </xf>
    <xf numFmtId="4" fontId="2" fillId="0" borderId="1" xfId="0" applyNumberFormat="1" applyFont="1" applyBorder="1" applyAlignment="1">
      <alignment horizontal="center"/>
    </xf>
    <xf numFmtId="0" fontId="2" fillId="13" borderId="43" xfId="0" applyFont="1" applyFill="1" applyBorder="1" applyAlignment="1">
      <alignment horizontal="center"/>
    </xf>
    <xf numFmtId="0" fontId="2" fillId="13" borderId="44" xfId="0" applyFont="1" applyFill="1" applyBorder="1" applyAlignment="1">
      <alignment horizontal="center"/>
    </xf>
    <xf numFmtId="0" fontId="2" fillId="13" borderId="46" xfId="0" applyFont="1" applyFill="1" applyBorder="1" applyAlignment="1">
      <alignment horizontal="center"/>
    </xf>
    <xf numFmtId="168" fontId="2" fillId="8" borderId="6" xfId="0" applyNumberFormat="1" applyFont="1" applyFill="1" applyBorder="1" applyAlignment="1">
      <alignment horizontal="center"/>
    </xf>
    <xf numFmtId="168" fontId="2" fillId="8" borderId="8" xfId="0" applyNumberFormat="1" applyFont="1" applyFill="1" applyBorder="1" applyAlignment="1">
      <alignment horizontal="center"/>
    </xf>
    <xf numFmtId="168" fontId="17" fillId="8" borderId="3" xfId="0" applyNumberFormat="1" applyFont="1" applyFill="1" applyBorder="1" applyAlignment="1">
      <alignment horizontal="center"/>
    </xf>
    <xf numFmtId="0" fontId="17" fillId="0" borderId="5" xfId="0" applyFont="1" applyBorder="1"/>
    <xf numFmtId="0" fontId="17" fillId="0" borderId="3" xfId="0" applyFont="1" applyBorder="1"/>
    <xf numFmtId="168" fontId="17" fillId="0" borderId="1" xfId="0" applyNumberFormat="1" applyFont="1" applyBorder="1" applyAlignment="1">
      <alignment horizontal="center"/>
    </xf>
    <xf numFmtId="168" fontId="2" fillId="0" borderId="1" xfId="0" applyNumberFormat="1" applyFont="1" applyBorder="1" applyAlignment="1">
      <alignment horizontal="center"/>
    </xf>
    <xf numFmtId="168" fontId="17" fillId="0" borderId="5" xfId="0" applyNumberFormat="1" applyFont="1" applyBorder="1" applyAlignment="1">
      <alignment horizontal="center"/>
    </xf>
    <xf numFmtId="168" fontId="17" fillId="0" borderId="3" xfId="0" applyNumberFormat="1" applyFont="1" applyBorder="1" applyAlignment="1">
      <alignment horizontal="center"/>
    </xf>
    <xf numFmtId="168" fontId="2" fillId="0" borderId="4" xfId="0" applyNumberFormat="1" applyFont="1" applyBorder="1" applyAlignment="1">
      <alignment horizontal="center"/>
    </xf>
    <xf numFmtId="168" fontId="2" fillId="0" borderId="5" xfId="0" applyNumberFormat="1" applyFont="1" applyBorder="1" applyAlignment="1">
      <alignment horizontal="center"/>
    </xf>
    <xf numFmtId="0" fontId="27" fillId="0" borderId="1" xfId="0" applyFont="1" applyBorder="1" applyAlignment="1">
      <alignment horizontal="left" wrapText="1"/>
    </xf>
    <xf numFmtId="169" fontId="2" fillId="0" borderId="4"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8" fontId="17" fillId="0" borderId="7" xfId="0" applyNumberFormat="1" applyFont="1" applyBorder="1" applyAlignment="1">
      <alignment horizontal="center"/>
    </xf>
    <xf numFmtId="169" fontId="2" fillId="8" borderId="6" xfId="0" applyNumberFormat="1" applyFont="1" applyFill="1" applyBorder="1" applyAlignment="1">
      <alignment horizontal="center"/>
    </xf>
    <xf numFmtId="169" fontId="2" fillId="8" borderId="8" xfId="0" applyNumberFormat="1" applyFont="1" applyFill="1" applyBorder="1" applyAlignment="1">
      <alignment horizontal="center"/>
    </xf>
    <xf numFmtId="3" fontId="2" fillId="0" borderId="7" xfId="0" applyNumberFormat="1" applyFont="1" applyBorder="1" applyAlignment="1">
      <alignment horizontal="right"/>
    </xf>
    <xf numFmtId="168" fontId="2" fillId="12" borderId="7" xfId="0" applyNumberFormat="1" applyFont="1" applyFill="1" applyBorder="1" applyAlignment="1">
      <alignment horizontal="center" wrapText="1"/>
    </xf>
    <xf numFmtId="168" fontId="2" fillId="15" borderId="0" xfId="0" applyNumberFormat="1" applyFont="1" applyFill="1" applyAlignment="1">
      <alignment horizontal="center" wrapText="1"/>
    </xf>
    <xf numFmtId="168" fontId="2" fillId="15" borderId="0" xfId="0" applyNumberFormat="1" applyFont="1" applyFill="1" applyAlignment="1">
      <alignment horizontal="center"/>
    </xf>
    <xf numFmtId="168" fontId="17" fillId="8" borderId="5" xfId="0" applyNumberFormat="1" applyFont="1" applyFill="1" applyBorder="1" applyAlignment="1">
      <alignment horizontal="center"/>
    </xf>
    <xf numFmtId="168" fontId="2" fillId="16" borderId="1" xfId="0" applyNumberFormat="1" applyFont="1" applyFill="1" applyBorder="1" applyAlignment="1">
      <alignment horizontal="center" wrapText="1"/>
    </xf>
    <xf numFmtId="168" fontId="2" fillId="16" borderId="0" xfId="0" applyNumberFormat="1" applyFont="1" applyFill="1" applyAlignment="1">
      <alignment horizontal="center" wrapText="1"/>
    </xf>
    <xf numFmtId="169" fontId="2" fillId="8" borderId="4" xfId="0" applyNumberFormat="1" applyFont="1" applyFill="1" applyBorder="1" applyAlignment="1">
      <alignment horizontal="center"/>
    </xf>
    <xf numFmtId="2" fontId="2" fillId="0" borderId="0" xfId="0" applyNumberFormat="1" applyFont="1" applyAlignment="1">
      <alignment horizontal="right"/>
    </xf>
    <xf numFmtId="0" fontId="3" fillId="0" borderId="7" xfId="0" applyFont="1" applyBorder="1"/>
    <xf numFmtId="0" fontId="1" fillId="15" borderId="0" xfId="0" applyFont="1" applyFill="1"/>
    <xf numFmtId="0" fontId="2" fillId="0" borderId="0" xfId="0" applyFont="1" applyAlignment="1">
      <alignment horizontal="left" indent="4"/>
    </xf>
    <xf numFmtId="0" fontId="2" fillId="0" borderId="8" xfId="0" applyFont="1" applyBorder="1"/>
    <xf numFmtId="0" fontId="12" fillId="0" borderId="1" xfId="0" applyFont="1" applyBorder="1"/>
    <xf numFmtId="169" fontId="2" fillId="0" borderId="6" xfId="0" applyNumberFormat="1" applyFont="1" applyBorder="1"/>
    <xf numFmtId="0" fontId="17" fillId="0" borderId="5" xfId="0" applyFont="1" applyBorder="1" applyAlignment="1">
      <alignment horizontal="left"/>
    </xf>
    <xf numFmtId="0" fontId="2" fillId="0" borderId="4" xfId="0" applyFont="1" applyBorder="1" applyAlignment="1">
      <alignment horizontal="left" indent="4"/>
    </xf>
    <xf numFmtId="3" fontId="29" fillId="0" borderId="0" xfId="0" applyNumberFormat="1" applyFont="1"/>
    <xf numFmtId="0" fontId="2" fillId="0" borderId="7" xfId="0" applyFont="1" applyBorder="1"/>
    <xf numFmtId="173" fontId="2" fillId="0" borderId="0" xfId="0" applyNumberFormat="1" applyFont="1"/>
    <xf numFmtId="0" fontId="2" fillId="17" borderId="5" xfId="0" applyFont="1" applyFill="1" applyBorder="1"/>
    <xf numFmtId="0" fontId="2" fillId="17" borderId="3" xfId="0" applyFont="1" applyFill="1" applyBorder="1"/>
    <xf numFmtId="0" fontId="2" fillId="17" borderId="2" xfId="0" applyFont="1" applyFill="1" applyBorder="1"/>
    <xf numFmtId="0" fontId="2" fillId="0" borderId="4" xfId="0" applyFont="1" applyBorder="1" applyAlignment="1">
      <alignment horizontal="right"/>
    </xf>
    <xf numFmtId="2" fontId="2" fillId="0" borderId="1" xfId="0" applyNumberFormat="1" applyFont="1" applyBorder="1"/>
    <xf numFmtId="168" fontId="2" fillId="0" borderId="1" xfId="0" applyNumberFormat="1" applyFont="1" applyBorder="1"/>
    <xf numFmtId="0" fontId="2" fillId="15" borderId="1" xfId="0" applyFont="1" applyFill="1" applyBorder="1" applyAlignment="1">
      <alignment horizontal="left" vertical="top" wrapText="1" indent="3"/>
    </xf>
    <xf numFmtId="168" fontId="2" fillId="15" borderId="1" xfId="0" applyNumberFormat="1" applyFont="1" applyFill="1" applyBorder="1" applyAlignment="1">
      <alignment horizontal="center"/>
    </xf>
    <xf numFmtId="168" fontId="2" fillId="16" borderId="7" xfId="0" applyNumberFormat="1" applyFont="1" applyFill="1" applyBorder="1" applyAlignment="1">
      <alignment horizontal="center" wrapText="1"/>
    </xf>
    <xf numFmtId="0" fontId="17" fillId="12" borderId="0" xfId="0" applyFont="1" applyFill="1" applyAlignment="1">
      <alignment horizontal="center"/>
    </xf>
    <xf numFmtId="0" fontId="17" fillId="0" borderId="0" xfId="0" applyFont="1" applyAlignment="1">
      <alignment horizontal="center"/>
    </xf>
    <xf numFmtId="0" fontId="17" fillId="8" borderId="1" xfId="0" applyFont="1" applyFill="1" applyBorder="1" applyAlignment="1">
      <alignment horizontal="center"/>
    </xf>
    <xf numFmtId="0" fontId="17" fillId="8" borderId="0" xfId="0" applyFont="1" applyFill="1" applyAlignment="1">
      <alignment horizontal="center"/>
    </xf>
    <xf numFmtId="0" fontId="17" fillId="8" borderId="4" xfId="0" applyFont="1" applyFill="1" applyBorder="1" applyAlignment="1">
      <alignment horizontal="center"/>
    </xf>
    <xf numFmtId="0" fontId="17" fillId="8" borderId="6" xfId="0" applyFont="1" applyFill="1" applyBorder="1" applyAlignment="1">
      <alignment horizontal="center"/>
    </xf>
    <xf numFmtId="0" fontId="17"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4" xfId="0" applyFont="1" applyFill="1" applyBorder="1" applyAlignment="1">
      <alignment horizontal="center"/>
    </xf>
    <xf numFmtId="0" fontId="1" fillId="12" borderId="6" xfId="0" applyFont="1" applyFill="1" applyBorder="1" applyAlignment="1">
      <alignment horizontal="center"/>
    </xf>
    <xf numFmtId="165" fontId="1" fillId="0" borderId="6" xfId="0" applyNumberFormat="1" applyFont="1" applyBorder="1" applyAlignment="1">
      <alignment horizontal="center"/>
    </xf>
    <xf numFmtId="165" fontId="1" fillId="0" borderId="8" xfId="0" applyNumberFormat="1" applyFont="1" applyBorder="1" applyAlignment="1">
      <alignment horizontal="center"/>
    </xf>
    <xf numFmtId="0" fontId="17" fillId="0" borderId="6" xfId="0" applyFont="1" applyBorder="1" applyAlignment="1">
      <alignment horizontal="center"/>
    </xf>
    <xf numFmtId="0" fontId="17" fillId="8" borderId="7" xfId="0" applyFont="1" applyFill="1" applyBorder="1" applyAlignment="1">
      <alignment horizontal="center"/>
    </xf>
    <xf numFmtId="0" fontId="1" fillId="0" borderId="8" xfId="0" applyFont="1" applyBorder="1" applyAlignment="1">
      <alignment horizontal="center"/>
    </xf>
    <xf numFmtId="10" fontId="1" fillId="0" borderId="3" xfId="0" applyNumberFormat="1" applyFont="1" applyBorder="1" applyAlignment="1">
      <alignment horizontal="center"/>
    </xf>
    <xf numFmtId="10" fontId="1" fillId="0" borderId="2" xfId="0" applyNumberFormat="1"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0" fontId="1" fillId="0" borderId="0" xfId="0" applyNumberFormat="1" applyFont="1" applyAlignment="1">
      <alignment horizontal="center"/>
    </xf>
    <xf numFmtId="10" fontId="1" fillId="0" borderId="7" xfId="0" applyNumberFormat="1" applyFont="1" applyBorder="1" applyAlignment="1">
      <alignment horizontal="center"/>
    </xf>
    <xf numFmtId="1" fontId="1" fillId="0" borderId="6" xfId="0" applyNumberFormat="1" applyFont="1" applyBorder="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11" borderId="7" xfId="0" applyFont="1" applyFill="1" applyBorder="1" applyAlignment="1">
      <alignment horizontal="center"/>
    </xf>
    <xf numFmtId="168" fontId="2" fillId="13" borderId="7" xfId="0" applyNumberFormat="1" applyFont="1" applyFill="1" applyBorder="1" applyAlignment="1">
      <alignment horizontal="center"/>
    </xf>
    <xf numFmtId="168" fontId="1" fillId="13" borderId="0" xfId="0" applyNumberFormat="1" applyFont="1" applyFill="1"/>
    <xf numFmtId="165" fontId="2" fillId="12" borderId="0" xfId="0" applyNumberFormat="1" applyFont="1" applyFill="1" applyAlignment="1">
      <alignment horizontal="center"/>
    </xf>
    <xf numFmtId="168" fontId="17" fillId="12" borderId="7" xfId="0" applyNumberFormat="1" applyFont="1" applyFill="1" applyBorder="1" applyAlignment="1">
      <alignment horizontal="center"/>
    </xf>
    <xf numFmtId="168" fontId="2" fillId="12" borderId="7" xfId="0" applyNumberFormat="1" applyFont="1" applyFill="1" applyBorder="1"/>
    <xf numFmtId="0" fontId="2" fillId="12" borderId="7" xfId="0" applyFont="1" applyFill="1" applyBorder="1"/>
    <xf numFmtId="168" fontId="2" fillId="12" borderId="8" xfId="0" applyNumberFormat="1" applyFont="1" applyFill="1" applyBorder="1"/>
    <xf numFmtId="0" fontId="2" fillId="0" borderId="2" xfId="0" applyFont="1" applyBorder="1" applyAlignment="1">
      <alignment horizontal="center"/>
    </xf>
    <xf numFmtId="0" fontId="17" fillId="0" borderId="1" xfId="0" applyFont="1" applyBorder="1" applyAlignment="1">
      <alignment horizontal="center"/>
    </xf>
    <xf numFmtId="0" fontId="17" fillId="0" borderId="7" xfId="0" applyFont="1" applyBorder="1" applyAlignment="1">
      <alignment horizontal="center"/>
    </xf>
    <xf numFmtId="168" fontId="12" fillId="0" borderId="7" xfId="0" applyNumberFormat="1" applyFont="1" applyBorder="1" applyAlignment="1">
      <alignment horizontal="center"/>
    </xf>
    <xf numFmtId="168" fontId="17" fillId="0" borderId="4" xfId="0" applyNumberFormat="1" applyFont="1" applyBorder="1" applyAlignment="1">
      <alignment horizontal="center"/>
    </xf>
    <xf numFmtId="168" fontId="17" fillId="0" borderId="6" xfId="0" applyNumberFormat="1" applyFont="1" applyBorder="1" applyAlignment="1">
      <alignment horizontal="center"/>
    </xf>
    <xf numFmtId="168" fontId="17" fillId="0" borderId="8" xfId="0" applyNumberFormat="1" applyFont="1" applyBorder="1" applyAlignment="1">
      <alignment horizontal="center"/>
    </xf>
    <xf numFmtId="168" fontId="2" fillId="3" borderId="0" xfId="0" applyNumberFormat="1" applyFont="1" applyFill="1"/>
    <xf numFmtId="168" fontId="2" fillId="18" borderId="0" xfId="0" applyNumberFormat="1" applyFont="1" applyFill="1"/>
    <xf numFmtId="168" fontId="2" fillId="8" borderId="1" xfId="0" applyNumberFormat="1" applyFont="1" applyFill="1" applyBorder="1" applyAlignment="1">
      <alignment horizontal="center"/>
    </xf>
    <xf numFmtId="168" fontId="17" fillId="8" borderId="1" xfId="0" applyNumberFormat="1" applyFont="1" applyFill="1" applyBorder="1" applyAlignment="1">
      <alignment horizontal="center"/>
    </xf>
    <xf numFmtId="0" fontId="2" fillId="8" borderId="1" xfId="0" applyFont="1" applyFill="1" applyBorder="1" applyAlignment="1">
      <alignment horizontal="center" wrapText="1"/>
    </xf>
    <xf numFmtId="0" fontId="2" fillId="8" borderId="0" xfId="0" applyFont="1" applyFill="1" applyAlignment="1">
      <alignment horizontal="center" wrapText="1"/>
    </xf>
    <xf numFmtId="168" fontId="12" fillId="8" borderId="1" xfId="0" applyNumberFormat="1" applyFont="1" applyFill="1" applyBorder="1" applyAlignment="1">
      <alignment horizontal="center"/>
    </xf>
    <xf numFmtId="168" fontId="12" fillId="8" borderId="0" xfId="0" applyNumberFormat="1" applyFont="1" applyFill="1" applyAlignment="1">
      <alignment horizontal="center"/>
    </xf>
    <xf numFmtId="168" fontId="12" fillId="8" borderId="7" xfId="0" applyNumberFormat="1" applyFont="1" applyFill="1" applyBorder="1" applyAlignment="1">
      <alignment horizontal="center"/>
    </xf>
    <xf numFmtId="0" fontId="2" fillId="8" borderId="1" xfId="0" applyFont="1" applyFill="1" applyBorder="1"/>
    <xf numFmtId="0" fontId="2" fillId="8" borderId="0" xfId="0" applyFont="1" applyFill="1"/>
    <xf numFmtId="168" fontId="2" fillId="8" borderId="4" xfId="0" applyNumberFormat="1" applyFont="1" applyFill="1" applyBorder="1" applyAlignment="1">
      <alignment horizontal="center"/>
    </xf>
    <xf numFmtId="168" fontId="17" fillId="8" borderId="4" xfId="0" applyNumberFormat="1" applyFont="1" applyFill="1" applyBorder="1" applyAlignment="1">
      <alignment horizontal="center"/>
    </xf>
    <xf numFmtId="168" fontId="17" fillId="8" borderId="6" xfId="0" applyNumberFormat="1" applyFont="1" applyFill="1" applyBorder="1" applyAlignment="1">
      <alignment horizontal="center"/>
    </xf>
    <xf numFmtId="168" fontId="17" fillId="8" borderId="8" xfId="0" applyNumberFormat="1" applyFont="1" applyFill="1" applyBorder="1" applyAlignment="1">
      <alignment horizontal="center"/>
    </xf>
    <xf numFmtId="0" fontId="2" fillId="8" borderId="3" xfId="0" applyFont="1" applyFill="1" applyBorder="1"/>
    <xf numFmtId="168" fontId="2" fillId="8" borderId="3" xfId="0" applyNumberFormat="1" applyFont="1" applyFill="1" applyBorder="1" applyAlignment="1">
      <alignment horizontal="center"/>
    </xf>
    <xf numFmtId="168" fontId="17" fillId="8" borderId="7"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3" xfId="0" applyFont="1" applyBorder="1"/>
    <xf numFmtId="0" fontId="2" fillId="0" borderId="13"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8" borderId="7" xfId="0" applyFont="1" applyFill="1" applyBorder="1" applyAlignment="1">
      <alignment horizontal="center" wrapText="1"/>
    </xf>
    <xf numFmtId="168" fontId="2" fillId="8" borderId="0" xfId="0" applyNumberFormat="1" applyFont="1" applyFill="1"/>
    <xf numFmtId="168" fontId="2" fillId="6" borderId="0" xfId="0" applyNumberFormat="1" applyFont="1" applyFill="1"/>
    <xf numFmtId="168" fontId="2" fillId="6" borderId="7" xfId="0" applyNumberFormat="1" applyFont="1" applyFill="1" applyBorder="1"/>
    <xf numFmtId="168" fontId="2" fillId="0" borderId="6" xfId="0" applyNumberFormat="1" applyFont="1" applyBorder="1"/>
    <xf numFmtId="168" fontId="2" fillId="8" borderId="6" xfId="0" applyNumberFormat="1" applyFont="1" applyFill="1" applyBorder="1"/>
    <xf numFmtId="168" fontId="2" fillId="0" borderId="4" xfId="0" applyNumberFormat="1" applyFont="1" applyBorder="1"/>
    <xf numFmtId="0" fontId="2" fillId="0" borderId="12" xfId="0" applyFont="1" applyBorder="1"/>
    <xf numFmtId="0" fontId="12" fillId="0" borderId="44" xfId="0" applyFont="1" applyBorder="1"/>
    <xf numFmtId="0" fontId="12" fillId="0" borderId="46" xfId="0" applyFont="1" applyBorder="1"/>
    <xf numFmtId="169" fontId="2" fillId="11" borderId="6" xfId="0" applyNumberFormat="1" applyFont="1" applyFill="1" applyBorder="1"/>
    <xf numFmtId="4" fontId="2" fillId="0" borderId="0" xfId="0" applyNumberFormat="1" applyFont="1"/>
    <xf numFmtId="168" fontId="2" fillId="8" borderId="7" xfId="0" applyNumberFormat="1" applyFont="1" applyFill="1" applyBorder="1" applyAlignment="1">
      <alignment horizontal="center"/>
    </xf>
    <xf numFmtId="0" fontId="2" fillId="8" borderId="7" xfId="0" applyFont="1" applyFill="1" applyBorder="1"/>
    <xf numFmtId="0" fontId="2" fillId="11" borderId="4" xfId="0" applyFont="1" applyFill="1" applyBorder="1" applyAlignment="1">
      <alignment wrapText="1"/>
    </xf>
    <xf numFmtId="168" fontId="2" fillId="3" borderId="7" xfId="0" applyNumberFormat="1" applyFont="1" applyFill="1" applyBorder="1"/>
    <xf numFmtId="3" fontId="2" fillId="0" borderId="7" xfId="0" applyNumberFormat="1" applyFont="1" applyBorder="1"/>
    <xf numFmtId="169" fontId="2" fillId="11" borderId="8" xfId="0" applyNumberFormat="1" applyFont="1" applyFill="1" applyBorder="1"/>
    <xf numFmtId="3" fontId="2" fillId="0" borderId="5" xfId="0" applyNumberFormat="1" applyFont="1" applyBorder="1"/>
    <xf numFmtId="0" fontId="1" fillId="0" borderId="5" xfId="0" applyFont="1" applyBorder="1"/>
    <xf numFmtId="0" fontId="1" fillId="0" borderId="3" xfId="0" applyFont="1" applyBorder="1"/>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168" fontId="2" fillId="0" borderId="7" xfId="0" applyNumberFormat="1" applyFont="1" applyBorder="1" applyAlignment="1">
      <alignment horizontal="center" vertical="top" wrapText="1"/>
    </xf>
    <xf numFmtId="168" fontId="30" fillId="8" borderId="8" xfId="0" applyNumberFormat="1" applyFont="1" applyFill="1" applyBorder="1" applyAlignment="1">
      <alignment horizontal="center"/>
    </xf>
    <xf numFmtId="167" fontId="2" fillId="0" borderId="3" xfId="0" applyNumberFormat="1" applyFont="1" applyBorder="1" applyAlignment="1">
      <alignment horizontal="center"/>
    </xf>
    <xf numFmtId="167" fontId="2" fillId="8" borderId="3" xfId="0" applyNumberFormat="1" applyFont="1" applyFill="1" applyBorder="1" applyAlignment="1">
      <alignment horizontal="center"/>
    </xf>
    <xf numFmtId="1" fontId="2" fillId="8" borderId="5" xfId="0" applyNumberFormat="1" applyFont="1" applyFill="1" applyBorder="1" applyAlignment="1">
      <alignment horizontal="center"/>
    </xf>
    <xf numFmtId="1" fontId="2" fillId="8" borderId="4" xfId="0" applyNumberFormat="1" applyFont="1" applyFill="1" applyBorder="1" applyAlignment="1">
      <alignment horizontal="center"/>
    </xf>
    <xf numFmtId="167" fontId="2" fillId="8" borderId="0" xfId="0" applyNumberFormat="1" applyFont="1" applyFill="1" applyAlignment="1">
      <alignment horizontal="center"/>
    </xf>
    <xf numFmtId="167" fontId="2" fillId="8" borderId="2"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6"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0" borderId="2" xfId="0" applyNumberFormat="1" applyFont="1" applyBorder="1" applyAlignment="1">
      <alignment horizontal="center"/>
    </xf>
    <xf numFmtId="167" fontId="2" fillId="0" borderId="7" xfId="0" applyNumberFormat="1" applyFont="1" applyBorder="1" applyAlignment="1">
      <alignment horizontal="center"/>
    </xf>
    <xf numFmtId="167" fontId="2" fillId="12" borderId="0" xfId="0" applyNumberFormat="1" applyFont="1" applyFill="1" applyAlignment="1">
      <alignment horizontal="center"/>
    </xf>
    <xf numFmtId="9" fontId="2" fillId="8" borderId="0" xfId="0" applyNumberFormat="1" applyFont="1" applyFill="1" applyAlignment="1">
      <alignment horizontal="center"/>
    </xf>
    <xf numFmtId="168" fontId="17" fillId="0" borderId="0" xfId="0" applyNumberFormat="1" applyFont="1" applyAlignment="1">
      <alignment horizontal="center" vertical="top" wrapText="1"/>
    </xf>
    <xf numFmtId="168" fontId="17" fillId="12" borderId="6" xfId="0" applyNumberFormat="1" applyFont="1" applyFill="1" applyBorder="1" applyAlignment="1">
      <alignment horizontal="center" vertical="top" wrapText="1"/>
    </xf>
    <xf numFmtId="1" fontId="2" fillId="0" borderId="7" xfId="0" applyNumberFormat="1" applyFont="1" applyBorder="1" applyAlignment="1">
      <alignment horizontal="center" vertical="top" wrapText="1"/>
    </xf>
    <xf numFmtId="168" fontId="2" fillId="12" borderId="7" xfId="0" applyNumberFormat="1" applyFont="1" applyFill="1" applyBorder="1" applyAlignment="1">
      <alignment horizontal="center" vertical="top" wrapText="1"/>
    </xf>
    <xf numFmtId="167" fontId="2" fillId="12" borderId="7" xfId="0" applyNumberFormat="1" applyFont="1" applyFill="1" applyBorder="1" applyAlignment="1">
      <alignment horizontal="center"/>
    </xf>
    <xf numFmtId="1" fontId="2" fillId="12" borderId="7" xfId="0" applyNumberFormat="1" applyFont="1" applyFill="1" applyBorder="1" applyAlignment="1">
      <alignment horizontal="center"/>
    </xf>
    <xf numFmtId="168" fontId="2" fillId="19" borderId="0" xfId="0" applyNumberFormat="1" applyFont="1" applyFill="1" applyAlignment="1">
      <alignment horizontal="center" vertical="top" wrapText="1"/>
    </xf>
    <xf numFmtId="1" fontId="2" fillId="12" borderId="0" xfId="0" applyNumberFormat="1" applyFont="1" applyFill="1" applyAlignment="1">
      <alignment horizontal="center"/>
    </xf>
    <xf numFmtId="167" fontId="2" fillId="12" borderId="6" xfId="0" applyNumberFormat="1" applyFont="1" applyFill="1" applyBorder="1" applyAlignment="1">
      <alignment horizontal="center"/>
    </xf>
    <xf numFmtId="168" fontId="17" fillId="12" borderId="0" xfId="0" applyNumberFormat="1" applyFont="1" applyFill="1" applyAlignment="1">
      <alignment horizontal="center" vertical="top" wrapText="1"/>
    </xf>
    <xf numFmtId="1" fontId="2" fillId="0" borderId="7" xfId="0" applyNumberFormat="1" applyFont="1" applyBorder="1" applyAlignment="1">
      <alignment horizontal="center"/>
    </xf>
    <xf numFmtId="168" fontId="2" fillId="0" borderId="0" xfId="0" applyNumberFormat="1" applyFont="1" applyAlignment="1">
      <alignment horizontal="right" vertical="top" wrapText="1"/>
    </xf>
    <xf numFmtId="168" fontId="2" fillId="0" borderId="0" xfId="0" applyNumberFormat="1" applyFont="1" applyAlignment="1">
      <alignment horizontal="center" vertical="top" wrapText="1"/>
    </xf>
    <xf numFmtId="1" fontId="17" fillId="0" borderId="0" xfId="0" applyNumberFormat="1" applyFont="1" applyAlignment="1">
      <alignment horizontal="center" vertical="top" wrapText="1"/>
    </xf>
    <xf numFmtId="9" fontId="2" fillId="0" borderId="0" xfId="0" applyNumberFormat="1" applyFont="1" applyAlignment="1">
      <alignment horizontal="right" vertical="top" wrapText="1"/>
    </xf>
    <xf numFmtId="168" fontId="2" fillId="0" borderId="3" xfId="0" applyNumberFormat="1" applyFont="1" applyBorder="1" applyAlignment="1">
      <alignment horizontal="right" vertical="top" wrapText="1"/>
    </xf>
    <xf numFmtId="168" fontId="2" fillId="0" borderId="2" xfId="0" applyNumberFormat="1" applyFont="1" applyBorder="1" applyAlignment="1">
      <alignment horizontal="right" vertical="top" wrapText="1"/>
    </xf>
    <xf numFmtId="1" fontId="17" fillId="0" borderId="7" xfId="0" applyNumberFormat="1" applyFont="1" applyBorder="1" applyAlignment="1">
      <alignment horizontal="center" vertical="top" wrapText="1"/>
    </xf>
    <xf numFmtId="168" fontId="17" fillId="0" borderId="6" xfId="0" applyNumberFormat="1" applyFont="1" applyBorder="1" applyAlignment="1">
      <alignment horizontal="center" vertical="top" wrapText="1"/>
    </xf>
    <xf numFmtId="1" fontId="2" fillId="0" borderId="8" xfId="0" applyNumberFormat="1" applyFont="1" applyBorder="1" applyAlignment="1">
      <alignment horizontal="center" vertical="top" wrapText="1"/>
    </xf>
    <xf numFmtId="168" fontId="2" fillId="0" borderId="7" xfId="0" applyNumberFormat="1" applyFont="1" applyBorder="1" applyAlignment="1">
      <alignment horizontal="right" vertical="top" wrapText="1"/>
    </xf>
    <xf numFmtId="168" fontId="17" fillId="0" borderId="7" xfId="0" applyNumberFormat="1" applyFont="1" applyBorder="1" applyAlignment="1">
      <alignment horizontal="center" vertical="top" wrapText="1"/>
    </xf>
    <xf numFmtId="1" fontId="2" fillId="0" borderId="6" xfId="0" applyNumberFormat="1" applyFont="1" applyBorder="1" applyAlignment="1">
      <alignment horizontal="center"/>
    </xf>
    <xf numFmtId="1" fontId="2" fillId="0" borderId="8" xfId="0" applyNumberFormat="1" applyFont="1" applyBorder="1" applyAlignment="1">
      <alignment horizontal="center"/>
    </xf>
    <xf numFmtId="167" fontId="2" fillId="0" borderId="1" xfId="0" applyNumberFormat="1" applyFont="1" applyBorder="1" applyAlignment="1">
      <alignment horizontal="center"/>
    </xf>
    <xf numFmtId="1" fontId="2" fillId="8" borderId="6" xfId="0" applyNumberFormat="1" applyFont="1" applyFill="1" applyBorder="1" applyAlignment="1">
      <alignment horizontal="center"/>
    </xf>
    <xf numFmtId="1" fontId="2" fillId="8" borderId="8" xfId="0" applyNumberFormat="1" applyFont="1" applyFill="1" applyBorder="1" applyAlignment="1">
      <alignment horizontal="center"/>
    </xf>
    <xf numFmtId="168" fontId="2" fillId="14" borderId="0" xfId="0" applyNumberFormat="1" applyFont="1" applyFill="1" applyAlignment="1">
      <alignment horizontal="right" vertical="top" wrapText="1"/>
    </xf>
    <xf numFmtId="0" fontId="21" fillId="0" borderId="0" xfId="0" applyFont="1" applyAlignment="1">
      <alignment horizontal="center" vertical="top" wrapText="1"/>
    </xf>
    <xf numFmtId="1" fontId="17" fillId="14" borderId="0" xfId="0" applyNumberFormat="1" applyFont="1" applyFill="1" applyAlignment="1">
      <alignment horizontal="center" vertical="top" wrapText="1"/>
    </xf>
    <xf numFmtId="1" fontId="17" fillId="14" borderId="7" xfId="0" applyNumberFormat="1" applyFont="1" applyFill="1" applyBorder="1" applyAlignment="1">
      <alignment horizontal="center" vertical="top" wrapText="1"/>
    </xf>
    <xf numFmtId="1" fontId="2" fillId="8" borderId="0" xfId="0" applyNumberFormat="1" applyFont="1" applyFill="1" applyAlignment="1">
      <alignment horizontal="center" vertical="top" wrapText="1"/>
    </xf>
    <xf numFmtId="1" fontId="2" fillId="8" borderId="7" xfId="0" applyNumberFormat="1" applyFont="1" applyFill="1" applyBorder="1" applyAlignment="1">
      <alignment horizontal="center" vertical="top" wrapText="1"/>
    </xf>
    <xf numFmtId="1" fontId="2" fillId="8" borderId="51" xfId="0" applyNumberFormat="1" applyFont="1" applyFill="1" applyBorder="1" applyAlignment="1">
      <alignment horizontal="center" vertical="top" wrapText="1"/>
    </xf>
    <xf numFmtId="0" fontId="24" fillId="0" borderId="52" xfId="0" applyFont="1" applyBorder="1" applyAlignment="1">
      <alignment horizontal="left" indent="2"/>
    </xf>
    <xf numFmtId="1" fontId="2" fillId="8" borderId="53" xfId="0" applyNumberFormat="1" applyFont="1" applyFill="1" applyBorder="1" applyAlignment="1">
      <alignment horizontal="center" vertical="top" wrapText="1"/>
    </xf>
    <xf numFmtId="0" fontId="17" fillId="0" borderId="0" xfId="0" applyFont="1" applyAlignment="1">
      <alignment horizontal="center" vertical="top" wrapText="1"/>
    </xf>
    <xf numFmtId="3" fontId="17" fillId="0" borderId="0" xfId="0" applyNumberFormat="1" applyFont="1" applyAlignment="1">
      <alignment horizontal="center" vertical="top" wrapText="1"/>
    </xf>
    <xf numFmtId="168" fontId="17" fillId="14"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68" fontId="2" fillId="14" borderId="7" xfId="0" applyNumberFormat="1" applyFont="1" applyFill="1" applyBorder="1" applyAlignment="1">
      <alignment horizontal="center" vertical="top" wrapText="1"/>
    </xf>
    <xf numFmtId="168" fontId="30" fillId="8" borderId="6" xfId="0" applyNumberFormat="1" applyFont="1" applyFill="1" applyBorder="1" applyAlignment="1">
      <alignment horizontal="center"/>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17" fillId="0" borderId="0" xfId="0" applyFont="1" applyAlignment="1">
      <alignment horizontal="left" vertical="top" wrapText="1"/>
    </xf>
    <xf numFmtId="0" fontId="23" fillId="0" borderId="5" xfId="0" applyFont="1" applyBorder="1" applyAlignment="1">
      <alignment horizontal="left"/>
    </xf>
    <xf numFmtId="168" fontId="2" fillId="14" borderId="3"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68" fontId="17" fillId="14" borderId="7" xfId="0" applyNumberFormat="1" applyFont="1" applyFill="1" applyBorder="1" applyAlignment="1">
      <alignment horizontal="center" vertical="top" wrapText="1"/>
    </xf>
    <xf numFmtId="0" fontId="24" fillId="0" borderId="54" xfId="0" applyFont="1" applyBorder="1" applyAlignment="1">
      <alignment horizontal="left" indent="2"/>
    </xf>
    <xf numFmtId="165" fontId="2" fillId="0" borderId="55" xfId="0" applyNumberFormat="1" applyFont="1" applyBorder="1" applyAlignment="1">
      <alignment horizontal="center" vertical="top" wrapText="1"/>
    </xf>
    <xf numFmtId="1" fontId="2" fillId="8" borderId="55" xfId="0" applyNumberFormat="1" applyFont="1" applyFill="1" applyBorder="1" applyAlignment="1">
      <alignment horizontal="center" vertical="top" wrapText="1"/>
    </xf>
    <xf numFmtId="3" fontId="2" fillId="0" borderId="48" xfId="0" applyNumberFormat="1" applyFont="1" applyBorder="1" applyAlignment="1">
      <alignment horizontal="center" vertical="top" wrapText="1"/>
    </xf>
    <xf numFmtId="1" fontId="2" fillId="8" borderId="48" xfId="0" applyNumberFormat="1" applyFont="1" applyFill="1" applyBorder="1" applyAlignment="1">
      <alignment horizontal="center" vertical="top" wrapText="1"/>
    </xf>
    <xf numFmtId="9" fontId="2" fillId="11" borderId="0" xfId="0" applyNumberFormat="1" applyFont="1" applyFill="1"/>
    <xf numFmtId="9" fontId="2" fillId="11" borderId="6" xfId="0" applyNumberFormat="1" applyFont="1" applyFill="1" applyBorder="1"/>
    <xf numFmtId="168" fontId="2" fillId="0" borderId="5" xfId="0" applyNumberFormat="1" applyFont="1" applyBorder="1" applyAlignment="1">
      <alignment horizontal="right" vertical="top" wrapText="1"/>
    </xf>
    <xf numFmtId="174" fontId="24" fillId="0" borderId="0" xfId="0" applyNumberFormat="1" applyFont="1" applyAlignment="1">
      <alignment horizontal="center"/>
    </xf>
    <xf numFmtId="9" fontId="2" fillId="0" borderId="0" xfId="0" applyNumberFormat="1" applyFont="1"/>
    <xf numFmtId="9" fontId="2" fillId="0" borderId="7" xfId="0" applyNumberFormat="1" applyFont="1" applyBorder="1"/>
    <xf numFmtId="9" fontId="2" fillId="0" borderId="6" xfId="0" applyNumberFormat="1" applyFont="1" applyBorder="1"/>
    <xf numFmtId="9" fontId="2" fillId="0" borderId="8" xfId="0" applyNumberFormat="1" applyFont="1" applyBorder="1"/>
    <xf numFmtId="0" fontId="12" fillId="14" borderId="43" xfId="0" applyFont="1" applyFill="1" applyBorder="1" applyAlignment="1">
      <alignment horizontal="center"/>
    </xf>
    <xf numFmtId="0" fontId="2" fillId="0" borderId="5" xfId="0" applyFont="1" applyBorder="1" applyAlignment="1">
      <alignment horizontal="left" indent="1"/>
    </xf>
    <xf numFmtId="0" fontId="23" fillId="0" borderId="1" xfId="0" applyFont="1" applyBorder="1" applyAlignment="1">
      <alignment horizontal="left" wrapText="1"/>
    </xf>
    <xf numFmtId="43" fontId="24" fillId="0" borderId="0" xfId="0" applyNumberFormat="1" applyFont="1"/>
    <xf numFmtId="167" fontId="2" fillId="0" borderId="0" xfId="0" applyNumberFormat="1" applyFont="1"/>
    <xf numFmtId="10" fontId="2" fillId="0" borderId="0" xfId="0" applyNumberFormat="1" applyFont="1"/>
    <xf numFmtId="0" fontId="2" fillId="0" borderId="1" xfId="0" applyFont="1" applyBorder="1" applyAlignment="1">
      <alignment horizontal="left" indent="2"/>
    </xf>
    <xf numFmtId="0" fontId="31" fillId="0" borderId="0" xfId="0" applyFont="1"/>
    <xf numFmtId="0" fontId="24" fillId="0" borderId="0" xfId="0" applyFont="1"/>
    <xf numFmtId="0" fontId="23" fillId="0" borderId="0" xfId="0" applyFont="1"/>
    <xf numFmtId="174" fontId="24" fillId="0" borderId="0" xfId="0" applyNumberFormat="1" applyFont="1"/>
    <xf numFmtId="0" fontId="32" fillId="0" borderId="1" xfId="0" applyFont="1" applyBorder="1" applyAlignment="1">
      <alignment horizontal="left"/>
    </xf>
    <xf numFmtId="174" fontId="24" fillId="0" borderId="7" xfId="0" applyNumberFormat="1" applyFont="1" applyBorder="1" applyAlignment="1">
      <alignment horizontal="center"/>
    </xf>
    <xf numFmtId="0" fontId="24" fillId="0" borderId="0" xfId="0" applyFont="1" applyAlignment="1">
      <alignment horizontal="center"/>
    </xf>
    <xf numFmtId="167" fontId="17" fillId="0" borderId="0" xfId="0" applyNumberFormat="1" applyFont="1"/>
    <xf numFmtId="0" fontId="17" fillId="0" borderId="4" xfId="0" applyFont="1" applyBorder="1" applyAlignment="1">
      <alignment horizontal="left" vertical="top" wrapText="1"/>
    </xf>
    <xf numFmtId="0" fontId="12" fillId="0" borderId="45" xfId="0" applyFont="1" applyBorder="1"/>
    <xf numFmtId="0" fontId="2" fillId="0" borderId="13" xfId="0" applyFont="1" applyBorder="1" applyAlignment="1">
      <alignment horizontal="left" indent="1"/>
    </xf>
    <xf numFmtId="0" fontId="2" fillId="0" borderId="12" xfId="0" applyFont="1" applyBorder="1" applyAlignment="1">
      <alignment horizontal="left" indent="1"/>
    </xf>
    <xf numFmtId="0" fontId="24" fillId="0" borderId="12" xfId="0" applyFont="1" applyBorder="1" applyAlignment="1">
      <alignment horizontal="left" indent="1"/>
    </xf>
    <xf numFmtId="0" fontId="24" fillId="0" borderId="13" xfId="0" applyFont="1" applyBorder="1" applyAlignment="1">
      <alignment horizontal="left" indent="1"/>
    </xf>
    <xf numFmtId="0" fontId="2" fillId="0" borderId="56" xfId="0" applyFont="1" applyBorder="1"/>
    <xf numFmtId="168" fontId="17" fillId="0" borderId="0" xfId="0" applyNumberFormat="1" applyFont="1" applyAlignment="1">
      <alignment horizontal="right" vertical="top" wrapText="1"/>
    </xf>
    <xf numFmtId="174" fontId="23" fillId="0" borderId="0" xfId="0" applyNumberFormat="1" applyFont="1" applyAlignment="1">
      <alignment horizontal="center"/>
    </xf>
    <xf numFmtId="1" fontId="24" fillId="0" borderId="0" xfId="0" applyNumberFormat="1" applyFont="1" applyAlignment="1">
      <alignment horizontal="center"/>
    </xf>
    <xf numFmtId="43" fontId="2" fillId="0" borderId="0" xfId="0" applyNumberFormat="1" applyFont="1"/>
    <xf numFmtId="1" fontId="23" fillId="0" borderId="0" xfId="0" applyNumberFormat="1" applyFont="1" applyAlignment="1">
      <alignment horizontal="center"/>
    </xf>
    <xf numFmtId="174" fontId="23" fillId="0" borderId="0" xfId="0" applyNumberFormat="1" applyFont="1"/>
    <xf numFmtId="0" fontId="23" fillId="0" borderId="0" xfId="0" applyFont="1" applyAlignment="1">
      <alignment horizontal="left" indent="2"/>
    </xf>
    <xf numFmtId="175" fontId="23" fillId="0" borderId="0" xfId="0" applyNumberFormat="1" applyFont="1" applyAlignment="1">
      <alignment horizontal="center"/>
    </xf>
    <xf numFmtId="1" fontId="12" fillId="0" borderId="0" xfId="0" applyNumberFormat="1" applyFont="1" applyAlignment="1">
      <alignment horizontal="center"/>
    </xf>
    <xf numFmtId="174" fontId="23" fillId="0" borderId="3" xfId="0" applyNumberFormat="1" applyFont="1" applyBorder="1" applyAlignment="1">
      <alignment horizontal="center"/>
    </xf>
    <xf numFmtId="174" fontId="23" fillId="14" borderId="3" xfId="0" applyNumberFormat="1" applyFont="1" applyFill="1" applyBorder="1" applyAlignment="1">
      <alignment horizontal="center"/>
    </xf>
    <xf numFmtId="169" fontId="2" fillId="0" borderId="3" xfId="0" applyNumberFormat="1" applyFont="1" applyBorder="1"/>
    <xf numFmtId="168" fontId="2" fillId="0" borderId="1" xfId="0" applyNumberFormat="1" applyFont="1" applyBorder="1" applyAlignment="1">
      <alignment horizontal="right" vertical="top" wrapText="1"/>
    </xf>
    <xf numFmtId="3" fontId="17" fillId="0" borderId="6" xfId="0" applyNumberFormat="1" applyFont="1" applyBorder="1" applyAlignment="1">
      <alignment horizontal="center" vertical="top" wrapText="1"/>
    </xf>
    <xf numFmtId="168" fontId="2" fillId="0" borderId="1" xfId="0" applyNumberFormat="1" applyFont="1" applyBorder="1" applyAlignment="1">
      <alignment horizontal="center" vertical="top" wrapText="1"/>
    </xf>
    <xf numFmtId="174" fontId="23" fillId="8" borderId="46" xfId="0" applyNumberFormat="1" applyFont="1" applyFill="1" applyBorder="1" applyAlignment="1">
      <alignment horizontal="center"/>
    </xf>
    <xf numFmtId="1" fontId="2" fillId="0" borderId="4" xfId="0" applyNumberFormat="1" applyFont="1" applyBorder="1" applyAlignment="1">
      <alignment horizontal="center"/>
    </xf>
    <xf numFmtId="175" fontId="24" fillId="0" borderId="0" xfId="0" applyNumberFormat="1" applyFont="1" applyAlignment="1">
      <alignment horizontal="center"/>
    </xf>
    <xf numFmtId="0" fontId="12" fillId="14" borderId="44" xfId="0" applyFont="1" applyFill="1" applyBorder="1" applyAlignment="1">
      <alignment horizontal="center"/>
    </xf>
    <xf numFmtId="0" fontId="12" fillId="14" borderId="46" xfId="0" applyFont="1" applyFill="1" applyBorder="1" applyAlignment="1">
      <alignment horizontal="center"/>
    </xf>
    <xf numFmtId="0" fontId="12" fillId="14" borderId="5"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1" fontId="24" fillId="0" borderId="5" xfId="0" applyNumberFormat="1" applyFont="1" applyBorder="1" applyAlignment="1">
      <alignment horizontal="center"/>
    </xf>
    <xf numFmtId="1" fontId="24" fillId="0" borderId="3" xfId="0" applyNumberFormat="1" applyFont="1" applyBorder="1" applyAlignment="1">
      <alignment horizontal="center"/>
    </xf>
    <xf numFmtId="1" fontId="24" fillId="0" borderId="1" xfId="0" applyNumberFormat="1" applyFont="1" applyBorder="1" applyAlignment="1">
      <alignment horizontal="center"/>
    </xf>
    <xf numFmtId="1" fontId="24" fillId="0" borderId="2" xfId="0" applyNumberFormat="1" applyFont="1" applyBorder="1" applyAlignment="1">
      <alignment horizontal="center"/>
    </xf>
    <xf numFmtId="0" fontId="24" fillId="0" borderId="1" xfId="0" applyFont="1" applyBorder="1"/>
    <xf numFmtId="174" fontId="23" fillId="14" borderId="5" xfId="0" applyNumberFormat="1" applyFont="1" applyFill="1" applyBorder="1" applyAlignment="1">
      <alignment horizontal="center"/>
    </xf>
    <xf numFmtId="174" fontId="23" fillId="14" borderId="2" xfId="0" applyNumberFormat="1" applyFont="1" applyFill="1" applyBorder="1" applyAlignment="1">
      <alignment horizontal="center"/>
    </xf>
    <xf numFmtId="174" fontId="23" fillId="0" borderId="44" xfId="0" applyNumberFormat="1" applyFont="1" applyBorder="1" applyAlignment="1">
      <alignment horizontal="center"/>
    </xf>
    <xf numFmtId="174" fontId="23" fillId="14" borderId="43" xfId="0" applyNumberFormat="1" applyFont="1" applyFill="1" applyBorder="1" applyAlignment="1">
      <alignment horizontal="center"/>
    </xf>
    <xf numFmtId="174" fontId="23" fillId="14" borderId="44" xfId="0" applyNumberFormat="1" applyFont="1" applyFill="1" applyBorder="1" applyAlignment="1">
      <alignment horizontal="center"/>
    </xf>
    <xf numFmtId="174" fontId="23" fillId="14" borderId="46" xfId="0" applyNumberFormat="1" applyFont="1" applyFill="1" applyBorder="1" applyAlignment="1">
      <alignment horizontal="center"/>
    </xf>
    <xf numFmtId="174" fontId="24" fillId="0" borderId="0" xfId="0" applyNumberFormat="1" applyFont="1" applyAlignment="1">
      <alignment horizontal="left"/>
    </xf>
    <xf numFmtId="0" fontId="2" fillId="0" borderId="1" xfId="0" applyFont="1" applyBorder="1" applyAlignment="1">
      <alignment horizontal="left" indent="1"/>
    </xf>
    <xf numFmtId="0" fontId="2" fillId="0" borderId="4" xfId="0" applyFont="1" applyBorder="1" applyAlignment="1">
      <alignment horizontal="left" indent="1"/>
    </xf>
    <xf numFmtId="0" fontId="24" fillId="0" borderId="1" xfId="0" applyFont="1" applyBorder="1" applyAlignment="1">
      <alignment horizontal="left" indent="1"/>
    </xf>
    <xf numFmtId="0" fontId="24" fillId="0" borderId="4"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3" xfId="0" applyNumberFormat="1" applyFont="1" applyFill="1" applyBorder="1" applyAlignment="1">
      <alignment horizontal="center"/>
    </xf>
    <xf numFmtId="1" fontId="2" fillId="8" borderId="2"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17" fillId="0" borderId="1" xfId="0" applyNumberFormat="1" applyFont="1" applyBorder="1" applyAlignment="1">
      <alignment horizontal="center" vertical="top" wrapText="1"/>
    </xf>
    <xf numFmtId="168" fontId="17" fillId="0" borderId="1" xfId="0" applyNumberFormat="1" applyFont="1" applyBorder="1" applyAlignment="1">
      <alignment horizontal="center" vertical="top" wrapText="1"/>
    </xf>
    <xf numFmtId="168" fontId="17" fillId="0" borderId="4" xfId="0" applyNumberFormat="1" applyFont="1" applyBorder="1" applyAlignment="1">
      <alignment horizontal="center" vertical="top" wrapText="1"/>
    </xf>
    <xf numFmtId="168" fontId="2" fillId="14" borderId="7" xfId="0" applyNumberFormat="1" applyFont="1" applyFill="1" applyBorder="1" applyAlignment="1">
      <alignment horizontal="right" vertical="top" wrapText="1"/>
    </xf>
    <xf numFmtId="174" fontId="23" fillId="8" borderId="43" xfId="0" applyNumberFormat="1" applyFont="1" applyFill="1" applyBorder="1" applyAlignment="1">
      <alignment horizontal="center"/>
    </xf>
    <xf numFmtId="174" fontId="23" fillId="8" borderId="44" xfId="0" applyNumberFormat="1" applyFont="1" applyFill="1" applyBorder="1" applyAlignment="1">
      <alignment horizontal="center"/>
    </xf>
    <xf numFmtId="1" fontId="24" fillId="0" borderId="7" xfId="0" applyNumberFormat="1" applyFont="1" applyBorder="1" applyAlignment="1">
      <alignment horizontal="center"/>
    </xf>
    <xf numFmtId="0" fontId="12" fillId="0" borderId="45"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57" xfId="0" applyNumberFormat="1" applyFont="1" applyBorder="1" applyAlignment="1">
      <alignment horizontal="right"/>
    </xf>
    <xf numFmtId="168" fontId="1" fillId="0" borderId="58" xfId="0" applyNumberFormat="1" applyFont="1" applyBorder="1" applyAlignment="1">
      <alignment horizontal="center"/>
    </xf>
    <xf numFmtId="0" fontId="23" fillId="0" borderId="47" xfId="0" applyFont="1" applyBorder="1" applyAlignment="1">
      <alignment wrapText="1"/>
    </xf>
    <xf numFmtId="0" fontId="12" fillId="0" borderId="47" xfId="0" applyFont="1" applyBorder="1"/>
    <xf numFmtId="1" fontId="2" fillId="0" borderId="0" xfId="0" applyNumberFormat="1" applyFont="1" applyAlignment="1">
      <alignment horizontal="center" vertical="center"/>
    </xf>
    <xf numFmtId="1" fontId="2" fillId="0" borderId="7" xfId="0" applyNumberFormat="1" applyFont="1" applyBorder="1" applyAlignment="1">
      <alignment horizontal="center" vertical="center"/>
    </xf>
    <xf numFmtId="1" fontId="2" fillId="0" borderId="6" xfId="0" applyNumberFormat="1" applyFont="1" applyBorder="1" applyAlignment="1">
      <alignment horizontal="center" vertical="center"/>
    </xf>
    <xf numFmtId="1" fontId="2" fillId="0" borderId="8" xfId="0" applyNumberFormat="1" applyFont="1" applyBorder="1" applyAlignment="1">
      <alignment horizontal="center" vertical="center"/>
    </xf>
    <xf numFmtId="174" fontId="24" fillId="0" borderId="8" xfId="0" applyNumberFormat="1" applyFont="1" applyBorder="1" applyAlignment="1">
      <alignment horizontal="center"/>
    </xf>
    <xf numFmtId="168" fontId="1" fillId="0" borderId="59" xfId="0" applyNumberFormat="1" applyFont="1" applyBorder="1" applyAlignment="1">
      <alignment horizontal="center"/>
    </xf>
    <xf numFmtId="10" fontId="17" fillId="0" borderId="0" xfId="0" applyNumberFormat="1" applyFont="1" applyAlignment="1">
      <alignment horizontal="center" vertical="top" wrapText="1"/>
    </xf>
    <xf numFmtId="0" fontId="2" fillId="0" borderId="6" xfId="0" applyFont="1" applyBorder="1" applyAlignment="1">
      <alignment horizontal="right"/>
    </xf>
    <xf numFmtId="0" fontId="2" fillId="0" borderId="0" xfId="0" applyFont="1" applyAlignment="1">
      <alignment horizontal="right"/>
    </xf>
    <xf numFmtId="0" fontId="2" fillId="0" borderId="0" xfId="0" applyFont="1" applyAlignment="1">
      <alignment horizontal="right" vertical="center"/>
    </xf>
    <xf numFmtId="0" fontId="2" fillId="0" borderId="6" xfId="0" applyFont="1" applyBorder="1" applyAlignment="1">
      <alignment vertical="center"/>
    </xf>
    <xf numFmtId="0" fontId="2" fillId="0" borderId="6" xfId="0" applyFont="1" applyBorder="1" applyAlignment="1">
      <alignment horizontal="right" vertical="center"/>
    </xf>
    <xf numFmtId="0" fontId="33" fillId="0" borderId="0" xfId="0" applyFont="1" applyAlignment="1">
      <alignment vertical="center"/>
    </xf>
    <xf numFmtId="0" fontId="2"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3" xfId="0" applyNumberFormat="1" applyFont="1" applyBorder="1" applyAlignment="1">
      <alignment horizontal="right"/>
    </xf>
    <xf numFmtId="1" fontId="2" fillId="0" borderId="6" xfId="0" applyNumberFormat="1" applyFont="1" applyBorder="1"/>
    <xf numFmtId="3" fontId="2" fillId="0" borderId="6" xfId="0" applyNumberFormat="1" applyFont="1" applyBorder="1"/>
    <xf numFmtId="3" fontId="2" fillId="0" borderId="6" xfId="0" applyNumberFormat="1" applyFont="1" applyBorder="1" applyAlignment="1">
      <alignment horizontal="right"/>
    </xf>
    <xf numFmtId="1" fontId="35" fillId="0" borderId="0" xfId="0" applyNumberFormat="1" applyFont="1"/>
    <xf numFmtId="1" fontId="36" fillId="20" borderId="0" xfId="0" applyNumberFormat="1" applyFont="1" applyFill="1" applyAlignment="1">
      <alignment horizontal="center"/>
    </xf>
    <xf numFmtId="0" fontId="37" fillId="21" borderId="0" xfId="0" applyFont="1" applyFill="1" applyAlignment="1">
      <alignment horizontal="center" vertical="center"/>
    </xf>
    <xf numFmtId="0" fontId="36" fillId="21" borderId="0" xfId="0" applyFont="1" applyFill="1" applyAlignment="1">
      <alignment horizontal="left" vertical="center" wrapText="1"/>
    </xf>
    <xf numFmtId="1" fontId="37" fillId="7" borderId="0" xfId="0" applyNumberFormat="1" applyFont="1" applyFill="1" applyAlignment="1">
      <alignment horizontal="center" vertical="top"/>
    </xf>
    <xf numFmtId="0" fontId="36" fillId="7" borderId="0" xfId="0" applyFont="1" applyFill="1" applyAlignment="1">
      <alignment horizontal="center" vertical="top"/>
    </xf>
    <xf numFmtId="0" fontId="35" fillId="0" borderId="0" xfId="0" applyFont="1"/>
    <xf numFmtId="0" fontId="3" fillId="22" borderId="0" xfId="0" applyFont="1" applyFill="1" applyAlignment="1">
      <alignment horizontal="left"/>
    </xf>
    <xf numFmtId="0" fontId="3" fillId="7" borderId="0" xfId="0" applyFont="1" applyFill="1" applyAlignment="1">
      <alignment horizontal="left"/>
    </xf>
    <xf numFmtId="0" fontId="3" fillId="8" borderId="0" xfId="0" applyFont="1" applyFill="1" applyAlignment="1">
      <alignment horizontal="left"/>
    </xf>
    <xf numFmtId="0" fontId="3" fillId="23" borderId="0" xfId="0" applyFont="1" applyFill="1" applyAlignment="1">
      <alignment horizontal="left"/>
    </xf>
    <xf numFmtId="0" fontId="3" fillId="24" borderId="0" xfId="0" applyFont="1" applyFill="1" applyAlignment="1">
      <alignment horizontal="left"/>
    </xf>
    <xf numFmtId="0" fontId="3" fillId="3" borderId="0" xfId="0" applyFont="1" applyFill="1" applyAlignment="1">
      <alignment horizontal="left"/>
    </xf>
    <xf numFmtId="169" fontId="35" fillId="0" borderId="0" xfId="0" applyNumberFormat="1" applyFont="1"/>
    <xf numFmtId="2" fontId="35" fillId="0" borderId="0" xfId="0" applyNumberFormat="1" applyFont="1"/>
    <xf numFmtId="0" fontId="38" fillId="0" borderId="0" xfId="0" applyFont="1"/>
    <xf numFmtId="0" fontId="36" fillId="0" borderId="0" xfId="0" applyFont="1" applyAlignment="1">
      <alignment horizontal="left"/>
    </xf>
    <xf numFmtId="0" fontId="36" fillId="0" borderId="0" xfId="0" applyFont="1" applyAlignment="1">
      <alignment horizontal="center" wrapText="1"/>
    </xf>
    <xf numFmtId="1" fontId="37" fillId="0" borderId="61" xfId="0" applyNumberFormat="1" applyFont="1" applyBorder="1" applyAlignment="1">
      <alignment horizontal="center" vertical="top"/>
    </xf>
    <xf numFmtId="0" fontId="36" fillId="21" borderId="61" xfId="0" applyFont="1" applyFill="1" applyBorder="1" applyAlignment="1">
      <alignment horizontal="center" vertical="top"/>
    </xf>
    <xf numFmtId="0" fontId="36" fillId="0" borderId="0" xfId="0" applyFont="1" applyAlignment="1">
      <alignment horizontal="center"/>
    </xf>
    <xf numFmtId="0" fontId="36" fillId="0" borderId="0" xfId="0" applyFont="1" applyAlignment="1">
      <alignment horizontal="left" wrapText="1"/>
    </xf>
    <xf numFmtId="0" fontId="37" fillId="0" borderId="0" xfId="0" applyFont="1" applyAlignment="1">
      <alignment horizontal="left" vertical="top"/>
    </xf>
    <xf numFmtId="0" fontId="37" fillId="0" borderId="0" xfId="0" applyFont="1" applyAlignment="1">
      <alignment horizontal="center" vertical="top" wrapText="1"/>
    </xf>
    <xf numFmtId="1" fontId="37" fillId="22" borderId="0" xfId="0" applyNumberFormat="1" applyFont="1" applyFill="1" applyAlignment="1">
      <alignment horizontal="center" vertical="top"/>
    </xf>
    <xf numFmtId="0" fontId="36" fillId="22" borderId="0" xfId="0" applyFont="1" applyFill="1" applyAlignment="1">
      <alignment horizontal="center" vertical="top"/>
    </xf>
    <xf numFmtId="0" fontId="36" fillId="22" borderId="0" xfId="0" applyFont="1" applyFill="1" applyAlignment="1">
      <alignment horizontal="left" vertical="top" wrapText="1"/>
    </xf>
    <xf numFmtId="0" fontId="36" fillId="0" borderId="0" xfId="0" applyFont="1" applyAlignment="1">
      <alignment horizontal="left" vertical="top" wrapText="1"/>
    </xf>
    <xf numFmtId="0" fontId="37" fillId="0" borderId="44" xfId="0" applyFont="1" applyBorder="1" applyAlignment="1">
      <alignment horizontal="left" vertical="top"/>
    </xf>
    <xf numFmtId="0" fontId="37" fillId="0" borderId="44" xfId="0" applyFont="1" applyBorder="1" applyAlignment="1">
      <alignment horizontal="center" vertical="top" wrapText="1"/>
    </xf>
    <xf numFmtId="1" fontId="37" fillId="3" borderId="44" xfId="0" applyNumberFormat="1" applyFont="1" applyFill="1" applyBorder="1" applyAlignment="1">
      <alignment horizontal="center" vertical="top"/>
    </xf>
    <xf numFmtId="3" fontId="37" fillId="3" borderId="44" xfId="0" applyNumberFormat="1" applyFont="1" applyFill="1" applyBorder="1" applyAlignment="1">
      <alignment horizontal="center" vertical="top"/>
    </xf>
    <xf numFmtId="0" fontId="36" fillId="3" borderId="44" xfId="0" applyFont="1" applyFill="1" applyBorder="1" applyAlignment="1">
      <alignment horizontal="center" vertical="top"/>
    </xf>
    <xf numFmtId="0" fontId="36" fillId="0" borderId="44" xfId="0" applyFont="1" applyBorder="1" applyAlignment="1">
      <alignment horizontal="left" vertical="top" wrapText="1"/>
    </xf>
    <xf numFmtId="0" fontId="37" fillId="0" borderId="3" xfId="0" applyFont="1" applyBorder="1" applyAlignment="1">
      <alignment horizontal="left" vertical="top"/>
    </xf>
    <xf numFmtId="0" fontId="37" fillId="0" borderId="3" xfId="0" applyFont="1" applyBorder="1" applyAlignment="1">
      <alignment horizontal="center" vertical="top" wrapText="1"/>
    </xf>
    <xf numFmtId="3" fontId="34" fillId="0" borderId="0" xfId="0" applyNumberFormat="1" applyFont="1" applyAlignment="1">
      <alignment vertical="top"/>
    </xf>
    <xf numFmtId="0" fontId="37" fillId="22" borderId="3" xfId="0" applyFont="1" applyFill="1" applyBorder="1" applyAlignment="1">
      <alignment horizontal="center" vertical="top"/>
    </xf>
    <xf numFmtId="0" fontId="36" fillId="0" borderId="3" xfId="0" applyFont="1" applyBorder="1" applyAlignment="1">
      <alignment horizontal="left" vertical="top" wrapText="1"/>
    </xf>
    <xf numFmtId="0" fontId="36" fillId="0" borderId="0" xfId="0" applyFont="1" applyAlignment="1">
      <alignment horizontal="left" vertical="top"/>
    </xf>
    <xf numFmtId="0" fontId="36" fillId="0" borderId="0" xfId="0" applyFont="1" applyAlignment="1">
      <alignment horizontal="center" vertical="top" wrapText="1"/>
    </xf>
    <xf numFmtId="3" fontId="37" fillId="22" borderId="0" xfId="0" applyNumberFormat="1" applyFont="1" applyFill="1" applyAlignment="1">
      <alignment horizontal="center" vertical="top"/>
    </xf>
    <xf numFmtId="0" fontId="37" fillId="22" borderId="0" xfId="0" applyFont="1" applyFill="1" applyAlignment="1">
      <alignment horizontal="center" vertical="top"/>
    </xf>
    <xf numFmtId="1" fontId="36" fillId="22" borderId="0" xfId="0" applyNumberFormat="1" applyFont="1" applyFill="1" applyAlignment="1">
      <alignment horizontal="center" vertical="top"/>
    </xf>
    <xf numFmtId="0" fontId="36" fillId="0" borderId="0" xfId="0" applyFont="1" applyAlignment="1">
      <alignment horizontal="center" vertical="top"/>
    </xf>
    <xf numFmtId="1" fontId="36" fillId="22" borderId="0" xfId="0" applyNumberFormat="1" applyFont="1" applyFill="1" applyAlignment="1">
      <alignment horizontal="center"/>
    </xf>
    <xf numFmtId="1" fontId="36" fillId="22" borderId="0" xfId="0" applyNumberFormat="1" applyFont="1" applyFill="1" applyAlignment="1">
      <alignment horizontal="center" vertical="center"/>
    </xf>
    <xf numFmtId="1" fontId="37" fillId="22" borderId="0" xfId="0" applyNumberFormat="1" applyFont="1" applyFill="1" applyAlignment="1">
      <alignment horizontal="center" vertical="center"/>
    </xf>
    <xf numFmtId="0" fontId="36" fillId="0" borderId="0" xfId="0" applyFont="1" applyAlignment="1">
      <alignment horizontal="left" vertical="center"/>
    </xf>
    <xf numFmtId="0" fontId="36" fillId="0" borderId="0" xfId="0" applyFont="1" applyAlignment="1">
      <alignment horizontal="center" vertical="center" wrapText="1"/>
    </xf>
    <xf numFmtId="0" fontId="37" fillId="0" borderId="0" xfId="0" applyFont="1" applyAlignment="1">
      <alignment horizontal="left" vertical="top" wrapText="1"/>
    </xf>
    <xf numFmtId="1" fontId="37" fillId="22" borderId="3" xfId="0" applyNumberFormat="1" applyFont="1" applyFill="1" applyBorder="1" applyAlignment="1">
      <alignment horizontal="center" vertical="top"/>
    </xf>
    <xf numFmtId="3" fontId="37" fillId="22" borderId="3" xfId="0" applyNumberFormat="1" applyFont="1" applyFill="1" applyBorder="1" applyAlignment="1">
      <alignment horizontal="center" vertical="top"/>
    </xf>
    <xf numFmtId="0" fontId="36" fillId="22" borderId="3" xfId="0" applyFont="1" applyFill="1" applyBorder="1" applyAlignment="1">
      <alignment horizontal="center" vertical="top"/>
    </xf>
    <xf numFmtId="0" fontId="13" fillId="22" borderId="3" xfId="0" applyFont="1" applyFill="1" applyBorder="1" applyAlignment="1">
      <alignment horizontal="left" vertical="top" wrapText="1"/>
    </xf>
    <xf numFmtId="0" fontId="37" fillId="21" borderId="0" xfId="0" applyFont="1" applyFill="1" applyAlignment="1">
      <alignment horizontal="center"/>
    </xf>
    <xf numFmtId="0" fontId="36" fillId="21" borderId="0" xfId="0" applyFont="1" applyFill="1" applyAlignment="1">
      <alignment horizontal="left" wrapText="1"/>
    </xf>
    <xf numFmtId="1" fontId="37" fillId="25" borderId="0" xfId="0" applyNumberFormat="1" applyFont="1" applyFill="1" applyAlignment="1">
      <alignment horizontal="center" vertical="top"/>
    </xf>
    <xf numFmtId="3" fontId="37" fillId="25" borderId="0" xfId="0" applyNumberFormat="1" applyFont="1" applyFill="1" applyAlignment="1">
      <alignment horizontal="center" vertical="top"/>
    </xf>
    <xf numFmtId="0" fontId="36" fillId="25" borderId="0" xfId="0" applyFont="1" applyFill="1" applyAlignment="1">
      <alignment horizontal="center" vertical="top"/>
    </xf>
    <xf numFmtId="0" fontId="36" fillId="25" borderId="0" xfId="0" applyFont="1" applyFill="1" applyAlignment="1">
      <alignment horizontal="left" vertical="top" wrapText="1"/>
    </xf>
    <xf numFmtId="1" fontId="36" fillId="26" borderId="0" xfId="0" applyNumberFormat="1" applyFont="1" applyFill="1" applyAlignment="1">
      <alignment horizontal="center" vertical="top"/>
    </xf>
    <xf numFmtId="0" fontId="36" fillId="26" borderId="0" xfId="0" applyFont="1" applyFill="1" applyAlignment="1">
      <alignment horizontal="center" vertical="top"/>
    </xf>
    <xf numFmtId="0" fontId="36" fillId="26" borderId="0" xfId="0" applyFont="1" applyFill="1" applyAlignment="1">
      <alignment horizontal="left" vertical="top" wrapText="1"/>
    </xf>
    <xf numFmtId="1" fontId="36" fillId="26" borderId="0" xfId="0" applyNumberFormat="1" applyFont="1" applyFill="1" applyAlignment="1">
      <alignment horizontal="center"/>
    </xf>
    <xf numFmtId="1" fontId="37" fillId="26" borderId="0" xfId="0" applyNumberFormat="1" applyFont="1" applyFill="1" applyAlignment="1">
      <alignment horizontal="center" vertical="top"/>
    </xf>
    <xf numFmtId="3" fontId="37" fillId="26" borderId="0" xfId="0" applyNumberFormat="1" applyFont="1" applyFill="1" applyAlignment="1">
      <alignment horizontal="center" vertical="top"/>
    </xf>
    <xf numFmtId="1" fontId="37" fillId="24" borderId="0" xfId="0" applyNumberFormat="1" applyFont="1" applyFill="1" applyAlignment="1">
      <alignment horizontal="center" vertical="top"/>
    </xf>
    <xf numFmtId="0" fontId="36" fillId="24" borderId="0" xfId="0" applyFont="1" applyFill="1" applyAlignment="1">
      <alignment horizontal="center" vertical="top"/>
    </xf>
    <xf numFmtId="3" fontId="37" fillId="24" borderId="0" xfId="0" applyNumberFormat="1" applyFont="1" applyFill="1" applyAlignment="1">
      <alignment horizontal="center" vertical="top"/>
    </xf>
    <xf numFmtId="0" fontId="37" fillId="24" borderId="0" xfId="0" applyFont="1" applyFill="1" applyAlignment="1">
      <alignment horizontal="center" vertical="top"/>
    </xf>
    <xf numFmtId="0" fontId="37" fillId="10" borderId="0" xfId="0" applyFont="1" applyFill="1" applyAlignment="1">
      <alignment horizontal="left" vertical="top"/>
    </xf>
    <xf numFmtId="0" fontId="37" fillId="10" borderId="0" xfId="0" applyFont="1" applyFill="1" applyAlignment="1">
      <alignment horizontal="center" vertical="top" wrapText="1"/>
    </xf>
    <xf numFmtId="0" fontId="36" fillId="10" borderId="0" xfId="0" applyFont="1" applyFill="1" applyAlignment="1">
      <alignment horizontal="left" vertical="top" wrapText="1"/>
    </xf>
    <xf numFmtId="1" fontId="37" fillId="24" borderId="43" xfId="0" applyNumberFormat="1" applyFont="1" applyFill="1" applyBorder="1" applyAlignment="1">
      <alignment horizontal="center" vertical="top"/>
    </xf>
    <xf numFmtId="1" fontId="37" fillId="24" borderId="44" xfId="0" applyNumberFormat="1" applyFont="1" applyFill="1" applyBorder="1" applyAlignment="1">
      <alignment horizontal="center" vertical="top"/>
    </xf>
    <xf numFmtId="3" fontId="37" fillId="24" borderId="44" xfId="0" applyNumberFormat="1" applyFont="1" applyFill="1" applyBorder="1" applyAlignment="1">
      <alignment horizontal="center" vertical="top"/>
    </xf>
    <xf numFmtId="0" fontId="36" fillId="24" borderId="46" xfId="0" applyFont="1" applyFill="1" applyBorder="1" applyAlignment="1">
      <alignment horizontal="center" vertical="top" wrapText="1"/>
    </xf>
    <xf numFmtId="1" fontId="37" fillId="12" borderId="0" xfId="0" applyNumberFormat="1" applyFont="1" applyFill="1" applyAlignment="1">
      <alignment horizontal="center" vertical="top"/>
    </xf>
    <xf numFmtId="1" fontId="36" fillId="12" borderId="0" xfId="0" applyNumberFormat="1" applyFont="1" applyFill="1" applyAlignment="1">
      <alignment horizontal="center" vertical="top"/>
    </xf>
    <xf numFmtId="0" fontId="37" fillId="12" borderId="0" xfId="0" applyFont="1" applyFill="1" applyAlignment="1">
      <alignment horizontal="center" vertical="top"/>
    </xf>
    <xf numFmtId="0" fontId="13" fillId="0" borderId="0" xfId="0" applyFont="1" applyAlignment="1">
      <alignment horizontal="left" vertical="top" wrapText="1"/>
    </xf>
    <xf numFmtId="1" fontId="37" fillId="20" borderId="0" xfId="0" applyNumberFormat="1" applyFont="1" applyFill="1" applyAlignment="1">
      <alignment horizontal="center" vertical="top"/>
    </xf>
    <xf numFmtId="3" fontId="37" fillId="20" borderId="0" xfId="0" applyNumberFormat="1" applyFont="1" applyFill="1" applyAlignment="1">
      <alignment horizontal="center" vertical="top"/>
    </xf>
    <xf numFmtId="0" fontId="37" fillId="0" borderId="0" xfId="0" applyFont="1" applyAlignment="1">
      <alignment horizontal="center" vertical="top"/>
    </xf>
    <xf numFmtId="0" fontId="36" fillId="20" borderId="0" xfId="0" applyFont="1" applyFill="1" applyAlignment="1">
      <alignment horizontal="left" vertical="top" wrapText="1"/>
    </xf>
    <xf numFmtId="0" fontId="36" fillId="20" borderId="0" xfId="0" applyFont="1" applyFill="1" applyAlignment="1">
      <alignment horizontal="center" vertical="top"/>
    </xf>
    <xf numFmtId="0" fontId="37" fillId="20" borderId="0" xfId="0" applyFont="1" applyFill="1" applyAlignment="1">
      <alignment horizontal="center" vertical="top"/>
    </xf>
    <xf numFmtId="0" fontId="39" fillId="20" borderId="0" xfId="0" applyFont="1" applyFill="1" applyAlignment="1">
      <alignment horizontal="left" vertical="top" wrapText="1"/>
    </xf>
    <xf numFmtId="1" fontId="34" fillId="0" borderId="61" xfId="0" applyNumberFormat="1" applyFont="1" applyBorder="1" applyAlignment="1">
      <alignment vertical="top"/>
    </xf>
    <xf numFmtId="1" fontId="34" fillId="0" borderId="61" xfId="0" applyNumberFormat="1" applyFont="1" applyBorder="1" applyAlignment="1">
      <alignment horizontal="right" vertical="top"/>
    </xf>
    <xf numFmtId="0" fontId="40" fillId="21" borderId="61"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6" xfId="0" applyNumberFormat="1" applyFont="1" applyBorder="1"/>
    <xf numFmtId="1" fontId="34" fillId="0" borderId="0" xfId="0" applyNumberFormat="1" applyFont="1" applyAlignment="1">
      <alignment vertical="top"/>
    </xf>
    <xf numFmtId="1" fontId="34" fillId="0" borderId="0" xfId="0" applyNumberFormat="1" applyFont="1" applyAlignment="1">
      <alignment horizontal="right" vertical="top"/>
    </xf>
    <xf numFmtId="0" fontId="40" fillId="21" borderId="0" xfId="0" applyFont="1" applyFill="1" applyAlignment="1">
      <alignment vertical="top"/>
    </xf>
    <xf numFmtId="0" fontId="40" fillId="21" borderId="6" xfId="0" applyFont="1" applyFill="1" applyBorder="1" applyAlignment="1">
      <alignment vertical="top"/>
    </xf>
    <xf numFmtId="0" fontId="2" fillId="2" borderId="0" xfId="0" applyFont="1" applyFill="1" applyAlignment="1">
      <alignment horizontal="left" indent="2"/>
    </xf>
    <xf numFmtId="0" fontId="2" fillId="2" borderId="0" xfId="0" applyFont="1" applyFill="1" applyAlignment="1">
      <alignment horizontal="right"/>
    </xf>
    <xf numFmtId="0" fontId="41" fillId="0" borderId="0" xfId="0" applyFont="1" applyAlignment="1">
      <alignment horizontal="left" vertical="top"/>
    </xf>
    <xf numFmtId="0" fontId="12" fillId="0" borderId="0" xfId="0" applyFont="1" applyAlignment="1">
      <alignment horizontal="left"/>
    </xf>
    <xf numFmtId="0" fontId="42" fillId="0" borderId="0" xfId="0" applyFont="1"/>
    <xf numFmtId="0" fontId="12" fillId="9" borderId="0" xfId="0" applyFont="1" applyFill="1"/>
    <xf numFmtId="0" fontId="12" fillId="9" borderId="0" xfId="0" applyFont="1" applyFill="1" applyAlignment="1">
      <alignment horizontal="left"/>
    </xf>
    <xf numFmtId="0" fontId="2" fillId="9" borderId="0" xfId="0" applyFont="1" applyFill="1" applyAlignment="1">
      <alignment horizontal="left" indent="2"/>
    </xf>
    <xf numFmtId="0" fontId="2" fillId="9" borderId="0" xfId="0" applyFont="1" applyFill="1" applyAlignment="1">
      <alignment horizontal="right"/>
    </xf>
    <xf numFmtId="0" fontId="43" fillId="28" borderId="0" xfId="0" applyFont="1" applyFill="1" applyAlignment="1">
      <alignment horizontal="center" wrapText="1"/>
    </xf>
    <xf numFmtId="0" fontId="7" fillId="29" borderId="0" xfId="0" applyFont="1" applyFill="1" applyAlignment="1">
      <alignment wrapText="1"/>
    </xf>
    <xf numFmtId="0" fontId="7" fillId="30" borderId="0" xfId="0" applyFont="1" applyFill="1" applyAlignment="1">
      <alignment horizontal="center" wrapText="1"/>
    </xf>
    <xf numFmtId="0" fontId="7" fillId="28" borderId="0" xfId="0" applyFont="1" applyFill="1" applyAlignment="1">
      <alignment horizontal="center"/>
    </xf>
    <xf numFmtId="1" fontId="7" fillId="0" borderId="0" xfId="0" applyNumberFormat="1" applyFont="1" applyAlignment="1">
      <alignment horizontal="right"/>
    </xf>
    <xf numFmtId="0" fontId="44" fillId="0" borderId="0" xfId="0" applyFont="1" applyAlignment="1">
      <alignment wrapText="1"/>
    </xf>
    <xf numFmtId="0" fontId="8" fillId="0" borderId="0" xfId="0" applyFont="1" applyAlignment="1">
      <alignment vertical="top"/>
    </xf>
    <xf numFmtId="0" fontId="7" fillId="31" borderId="0" xfId="0" applyFont="1" applyFill="1" applyAlignment="1">
      <alignment horizontal="center" wrapText="1"/>
    </xf>
    <xf numFmtId="0" fontId="8" fillId="32" borderId="0" xfId="0" applyFont="1" applyFill="1" applyAlignment="1">
      <alignment vertical="top"/>
    </xf>
    <xf numFmtId="0" fontId="44" fillId="32" borderId="0" xfId="0" applyFont="1" applyFill="1"/>
    <xf numFmtId="0" fontId="7" fillId="32" borderId="0" xfId="0" applyFont="1" applyFill="1"/>
    <xf numFmtId="0" fontId="45" fillId="32" borderId="0" xfId="0" applyFont="1" applyFill="1"/>
    <xf numFmtId="0" fontId="7" fillId="32" borderId="0" xfId="0" applyFont="1" applyFill="1" applyAlignment="1">
      <alignment horizontal="right"/>
    </xf>
    <xf numFmtId="0" fontId="1" fillId="32"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2" borderId="0" xfId="0" applyFont="1" applyFill="1" applyAlignment="1">
      <alignment vertical="top" wrapText="1"/>
    </xf>
    <xf numFmtId="0" fontId="8" fillId="28" borderId="0" xfId="0" applyFont="1" applyFill="1" applyAlignment="1">
      <alignment wrapText="1"/>
    </xf>
    <xf numFmtId="0" fontId="45" fillId="0" borderId="0" xfId="0" applyFont="1"/>
    <xf numFmtId="1" fontId="8" fillId="0" borderId="0" xfId="0" applyNumberFormat="1" applyFont="1" applyAlignment="1">
      <alignment vertical="top"/>
    </xf>
    <xf numFmtId="0" fontId="7" fillId="0" borderId="0" xfId="0" applyFont="1" applyAlignment="1">
      <alignment horizontal="right"/>
    </xf>
    <xf numFmtId="0" fontId="44" fillId="0" borderId="0" xfId="0" applyFont="1" applyAlignment="1">
      <alignment horizontal="right"/>
    </xf>
    <xf numFmtId="0" fontId="44"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0" fontId="44" fillId="11" borderId="0" xfId="0" applyFont="1" applyFill="1" applyAlignment="1">
      <alignment horizontal="right"/>
    </xf>
    <xf numFmtId="0" fontId="7" fillId="11" borderId="0" xfId="0" applyFont="1" applyFill="1" applyAlignment="1">
      <alignment horizontal="right"/>
    </xf>
    <xf numFmtId="0" fontId="46" fillId="0" borderId="0" xfId="0" applyFont="1"/>
    <xf numFmtId="170" fontId="47" fillId="0" borderId="0" xfId="0" applyNumberFormat="1" applyFont="1" applyAlignment="1">
      <alignment horizontal="right" vertical="top"/>
    </xf>
    <xf numFmtId="1" fontId="7" fillId="0" borderId="0" xfId="0" applyNumberFormat="1" applyFont="1"/>
    <xf numFmtId="0" fontId="47" fillId="0" borderId="0" xfId="0" applyFont="1" applyAlignment="1">
      <alignment horizontal="right" vertical="top"/>
    </xf>
    <xf numFmtId="3" fontId="44" fillId="0" borderId="0" xfId="0" applyNumberFormat="1" applyFont="1"/>
    <xf numFmtId="3" fontId="48" fillId="0" borderId="0" xfId="0" applyNumberFormat="1" applyFont="1" applyAlignment="1">
      <alignment horizontal="right" vertical="top"/>
    </xf>
    <xf numFmtId="0" fontId="46" fillId="33" borderId="0" xfId="0" applyFont="1" applyFill="1" applyAlignment="1">
      <alignment horizontal="right"/>
    </xf>
    <xf numFmtId="0" fontId="49" fillId="0" borderId="0" xfId="0" applyFont="1"/>
    <xf numFmtId="0" fontId="37" fillId="0" borderId="0" xfId="0" applyFont="1" applyAlignment="1">
      <alignment horizontal="right"/>
    </xf>
    <xf numFmtId="165" fontId="50" fillId="0" borderId="0" xfId="0" applyNumberFormat="1" applyFont="1" applyAlignment="1">
      <alignment horizontal="right" vertical="top"/>
    </xf>
    <xf numFmtId="165" fontId="46" fillId="33" borderId="0" xfId="0" applyNumberFormat="1" applyFont="1" applyFill="1" applyAlignment="1">
      <alignment horizontal="right"/>
    </xf>
    <xf numFmtId="3" fontId="7" fillId="0" borderId="0" xfId="0" applyNumberFormat="1" applyFont="1"/>
    <xf numFmtId="0" fontId="7" fillId="0" borderId="0" xfId="0" applyFont="1"/>
    <xf numFmtId="165" fontId="37" fillId="0" borderId="0" xfId="0" applyNumberFormat="1" applyFont="1" applyAlignment="1">
      <alignment horizontal="right"/>
    </xf>
    <xf numFmtId="3" fontId="37" fillId="0" borderId="0" xfId="0" applyNumberFormat="1" applyFont="1" applyAlignment="1">
      <alignment horizontal="right"/>
    </xf>
    <xf numFmtId="0" fontId="7" fillId="28" borderId="0" xfId="0" applyFont="1" applyFill="1" applyAlignment="1">
      <alignment wrapText="1"/>
    </xf>
    <xf numFmtId="0" fontId="8" fillId="28" borderId="0" xfId="0" applyFont="1" applyFill="1" applyAlignment="1">
      <alignment vertical="top"/>
    </xf>
    <xf numFmtId="0" fontId="7" fillId="28" borderId="0" xfId="0" applyFont="1" applyFill="1" applyAlignment="1">
      <alignment horizontal="right"/>
    </xf>
    <xf numFmtId="0" fontId="7" fillId="28" borderId="0" xfId="0" applyFont="1" applyFill="1"/>
    <xf numFmtId="168" fontId="7" fillId="28" borderId="0" xfId="0" applyNumberFormat="1" applyFont="1" applyFill="1" applyAlignment="1">
      <alignment horizontal="center"/>
    </xf>
    <xf numFmtId="0" fontId="1" fillId="28" borderId="0" xfId="0" applyFont="1" applyFill="1" applyAlignment="1">
      <alignment wrapText="1"/>
    </xf>
    <xf numFmtId="170" fontId="7" fillId="0" borderId="0" xfId="0" applyNumberFormat="1" applyFont="1" applyAlignment="1">
      <alignment horizontal="right"/>
    </xf>
    <xf numFmtId="9" fontId="1" fillId="0" borderId="0" xfId="0" applyNumberFormat="1" applyFont="1"/>
    <xf numFmtId="0" fontId="44" fillId="0" borderId="0" xfId="0" applyFont="1" applyAlignment="1">
      <alignment horizontal="center"/>
    </xf>
    <xf numFmtId="0" fontId="44" fillId="36" borderId="0" xfId="0" applyFont="1" applyFill="1" applyAlignment="1">
      <alignment wrapText="1"/>
    </xf>
    <xf numFmtId="0" fontId="1" fillId="36"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43"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3" fillId="0" borderId="0" xfId="0" applyFont="1" applyAlignment="1">
      <alignment horizontal="center" wrapText="1"/>
    </xf>
    <xf numFmtId="0" fontId="7" fillId="14" borderId="0" xfId="0" applyFont="1" applyFill="1"/>
    <xf numFmtId="0" fontId="24" fillId="22" borderId="1" xfId="0" applyFont="1" applyFill="1" applyBorder="1" applyAlignment="1">
      <alignment horizontal="left" indent="2"/>
    </xf>
    <xf numFmtId="167" fontId="3" fillId="0" borderId="0" xfId="0" applyNumberFormat="1" applyFont="1" applyAlignment="1">
      <alignment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7"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xf numFmtId="0" fontId="1" fillId="3" borderId="6"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7"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4" xfId="0" applyFont="1" applyBorder="1" applyAlignment="1">
      <alignment horizontal="center" wrapText="1"/>
    </xf>
    <xf numFmtId="0" fontId="5" fillId="0" borderId="6"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0" fontId="1" fillId="0" borderId="0" xfId="0" applyFont="1" applyAlignment="1">
      <alignment horizontal="left" wrapText="1"/>
    </xf>
    <xf numFmtId="0" fontId="3" fillId="0" borderId="0" xfId="0" applyFont="1" applyAlignment="1">
      <alignment horizontal="center"/>
    </xf>
    <xf numFmtId="0" fontId="3" fillId="0" borderId="18" xfId="0" applyFont="1" applyBorder="1" applyAlignment="1">
      <alignment horizontal="center"/>
    </xf>
    <xf numFmtId="0" fontId="1" fillId="0" borderId="19" xfId="0" applyFont="1" applyBorder="1" applyAlignment="1">
      <alignment horizontal="center"/>
    </xf>
    <xf numFmtId="0" fontId="1" fillId="0" borderId="15" xfId="0" applyFont="1" applyBorder="1" applyAlignment="1">
      <alignment horizontal="center"/>
    </xf>
    <xf numFmtId="0" fontId="1" fillId="0" borderId="20" xfId="0" applyFont="1" applyBorder="1" applyAlignment="1">
      <alignment horizontal="center"/>
    </xf>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5" xfId="0" applyFont="1" applyFill="1" applyBorder="1" applyAlignment="1">
      <alignment horizontal="center"/>
    </xf>
    <xf numFmtId="0" fontId="2" fillId="12" borderId="3" xfId="0" applyFont="1" applyFill="1" applyBorder="1" applyAlignment="1">
      <alignment horizontal="center"/>
    </xf>
    <xf numFmtId="0" fontId="12" fillId="12" borderId="5" xfId="0" applyFont="1" applyFill="1" applyBorder="1" applyAlignment="1">
      <alignment horizontal="center" wrapText="1"/>
    </xf>
    <xf numFmtId="0" fontId="12" fillId="12" borderId="2"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2" fillId="12" borderId="2" xfId="0" applyFont="1" applyFill="1" applyBorder="1" applyAlignment="1">
      <alignment horizontal="center"/>
    </xf>
    <xf numFmtId="0" fontId="12" fillId="12" borderId="43" xfId="0" applyFont="1" applyFill="1" applyBorder="1" applyAlignment="1">
      <alignment horizontal="center"/>
    </xf>
    <xf numFmtId="0" fontId="12" fillId="12" borderId="44" xfId="0" applyFont="1" applyFill="1" applyBorder="1" applyAlignment="1">
      <alignment horizontal="center"/>
    </xf>
    <xf numFmtId="0" fontId="12" fillId="12" borderId="3" xfId="0" applyFont="1" applyFill="1" applyBorder="1" applyAlignment="1">
      <alignment horizontal="center"/>
    </xf>
    <xf numFmtId="0" fontId="12" fillId="12" borderId="2" xfId="0" applyFont="1" applyFill="1" applyBorder="1" applyAlignment="1">
      <alignment horizontal="center"/>
    </xf>
    <xf numFmtId="0" fontId="1" fillId="0" borderId="0" xfId="0" applyFont="1" applyAlignment="1">
      <alignment horizontal="left" vertical="top" wrapText="1"/>
    </xf>
    <xf numFmtId="0" fontId="3" fillId="12" borderId="5" xfId="0" applyFont="1" applyFill="1" applyBorder="1" applyAlignment="1">
      <alignment horizontal="center" wrapText="1"/>
    </xf>
    <xf numFmtId="0" fontId="3" fillId="12" borderId="3" xfId="0" applyFont="1" applyFill="1" applyBorder="1" applyAlignment="1">
      <alignment horizontal="center" wrapText="1"/>
    </xf>
    <xf numFmtId="0" fontId="3" fillId="12" borderId="1" xfId="0" applyFont="1" applyFill="1" applyBorder="1" applyAlignment="1">
      <alignment horizontal="center" wrapText="1"/>
    </xf>
    <xf numFmtId="0" fontId="3" fillId="12" borderId="0" xfId="0" applyFont="1" applyFill="1" applyAlignment="1">
      <alignment horizontal="center" wrapText="1"/>
    </xf>
    <xf numFmtId="0" fontId="1" fillId="12" borderId="5" xfId="0" applyFont="1" applyFill="1" applyBorder="1" applyAlignment="1">
      <alignment horizontal="center"/>
    </xf>
    <xf numFmtId="0" fontId="1" fillId="12" borderId="3" xfId="0" applyFont="1" applyFill="1" applyBorder="1" applyAlignment="1">
      <alignment horizontal="center"/>
    </xf>
    <xf numFmtId="0" fontId="1" fillId="12" borderId="5" xfId="0" applyFont="1" applyFill="1" applyBorder="1" applyAlignment="1">
      <alignment horizontal="center" wrapText="1"/>
    </xf>
    <xf numFmtId="0" fontId="1" fillId="12" borderId="3" xfId="0" applyFont="1" applyFill="1" applyBorder="1" applyAlignment="1">
      <alignment horizontal="center" wrapText="1"/>
    </xf>
    <xf numFmtId="0" fontId="1" fillId="12" borderId="2" xfId="0" applyFont="1" applyFill="1" applyBorder="1" applyAlignment="1">
      <alignment horizontal="center" wrapText="1"/>
    </xf>
    <xf numFmtId="0" fontId="14" fillId="12" borderId="5" xfId="0" applyFont="1" applyFill="1" applyBorder="1" applyAlignment="1">
      <alignment horizontal="center"/>
    </xf>
    <xf numFmtId="0" fontId="14" fillId="12" borderId="3" xfId="0" applyFont="1" applyFill="1" applyBorder="1" applyAlignment="1">
      <alignment horizontal="center"/>
    </xf>
    <xf numFmtId="0" fontId="14" fillId="12" borderId="2" xfId="0" applyFont="1" applyFill="1" applyBorder="1" applyAlignment="1">
      <alignment horizontal="center"/>
    </xf>
    <xf numFmtId="0" fontId="15" fillId="0" borderId="0" xfId="0" applyFont="1" applyAlignment="1">
      <alignment horizontal="center"/>
    </xf>
    <xf numFmtId="0" fontId="12" fillId="0" borderId="0" xfId="0" applyFont="1" applyAlignment="1">
      <alignment horizontal="left" vertical="top" wrapText="1"/>
    </xf>
    <xf numFmtId="0" fontId="12" fillId="12" borderId="5" xfId="0" applyFont="1" applyFill="1" applyBorder="1" applyAlignment="1">
      <alignment horizontal="center"/>
    </xf>
    <xf numFmtId="0" fontId="12" fillId="12" borderId="1" xfId="0" applyFont="1" applyFill="1" applyBorder="1" applyAlignment="1">
      <alignment horizontal="center"/>
    </xf>
    <xf numFmtId="0" fontId="12" fillId="12" borderId="7" xfId="0" applyFont="1" applyFill="1" applyBorder="1" applyAlignment="1">
      <alignment horizontal="center"/>
    </xf>
    <xf numFmtId="0" fontId="2" fillId="8" borderId="5" xfId="0" applyFont="1" applyFill="1" applyBorder="1" applyAlignment="1">
      <alignment horizontal="center"/>
    </xf>
    <xf numFmtId="0" fontId="2" fillId="8" borderId="3" xfId="0" applyFont="1" applyFill="1" applyBorder="1" applyAlignment="1">
      <alignment horizontal="center"/>
    </xf>
    <xf numFmtId="0" fontId="2" fillId="8" borderId="2" xfId="0" applyFont="1" applyFill="1" applyBorder="1" applyAlignment="1">
      <alignment horizontal="center"/>
    </xf>
    <xf numFmtId="0" fontId="2" fillId="12" borderId="5" xfId="0" applyFont="1" applyFill="1" applyBorder="1" applyAlignment="1">
      <alignment horizontal="right"/>
    </xf>
    <xf numFmtId="0" fontId="2" fillId="12" borderId="3" xfId="0" applyFont="1" applyFill="1" applyBorder="1" applyAlignment="1">
      <alignment horizontal="right"/>
    </xf>
    <xf numFmtId="0" fontId="12" fillId="8" borderId="43" xfId="0" applyFont="1" applyFill="1" applyBorder="1" applyAlignment="1">
      <alignment horizontal="center"/>
    </xf>
    <xf numFmtId="0" fontId="12" fillId="8" borderId="44" xfId="0" applyFont="1" applyFill="1" applyBorder="1" applyAlignment="1">
      <alignment horizontal="center"/>
    </xf>
    <xf numFmtId="0" fontId="12" fillId="8" borderId="46" xfId="0" applyFont="1" applyFill="1" applyBorder="1" applyAlignment="1">
      <alignment horizontal="center"/>
    </xf>
    <xf numFmtId="0" fontId="2" fillId="0" borderId="7" xfId="0" applyFont="1" applyBorder="1" applyAlignment="1">
      <alignment horizontal="center" wrapText="1"/>
    </xf>
    <xf numFmtId="0" fontId="12" fillId="12" borderId="4" xfId="0" applyFont="1" applyFill="1" applyBorder="1" applyAlignment="1">
      <alignment horizontal="center"/>
    </xf>
    <xf numFmtId="0" fontId="12" fillId="12" borderId="8" xfId="0" applyFont="1" applyFill="1" applyBorder="1" applyAlignment="1">
      <alignment horizontal="center"/>
    </xf>
    <xf numFmtId="0" fontId="2" fillId="0" borderId="1" xfId="0" applyFont="1" applyBorder="1" applyAlignment="1">
      <alignment horizontal="left" vertical="top" wrapText="1"/>
    </xf>
    <xf numFmtId="0" fontId="12" fillId="13" borderId="43" xfId="0" applyFont="1" applyFill="1" applyBorder="1" applyAlignment="1">
      <alignment horizontal="center" vertical="center" wrapText="1"/>
    </xf>
    <xf numFmtId="0" fontId="12" fillId="13" borderId="44" xfId="0" applyFont="1" applyFill="1" applyBorder="1" applyAlignment="1">
      <alignment horizontal="center" vertical="center" wrapText="1"/>
    </xf>
    <xf numFmtId="0" fontId="12" fillId="13" borderId="3"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0" borderId="0" xfId="0" applyFont="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3" borderId="14"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2" xfId="0" applyFont="1" applyFill="1" applyBorder="1" applyAlignment="1">
      <alignment horizontal="center" wrapText="1"/>
    </xf>
    <xf numFmtId="0" fontId="2" fillId="3" borderId="7" xfId="0" applyFont="1" applyFill="1" applyBorder="1" applyAlignment="1">
      <alignment horizontal="center" wrapText="1"/>
    </xf>
    <xf numFmtId="0" fontId="2" fillId="3" borderId="8" xfId="0" applyFont="1" applyFill="1" applyBorder="1" applyAlignment="1">
      <alignment horizontal="center" wrapText="1"/>
    </xf>
    <xf numFmtId="0" fontId="2" fillId="12" borderId="7" xfId="0" applyFont="1" applyFill="1" applyBorder="1" applyAlignment="1">
      <alignment horizontal="center"/>
    </xf>
    <xf numFmtId="0" fontId="12" fillId="0" borderId="1" xfId="0" applyFont="1" applyBorder="1" applyAlignment="1">
      <alignment horizontal="center" wrapText="1"/>
    </xf>
    <xf numFmtId="0" fontId="2" fillId="0" borderId="0" xfId="0" applyFont="1" applyAlignment="1">
      <alignment horizontal="center" wrapText="1"/>
    </xf>
    <xf numFmtId="0" fontId="12" fillId="12" borderId="5"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0" xfId="0" applyFont="1" applyAlignment="1">
      <alignment horizontal="left" wrapText="1"/>
    </xf>
    <xf numFmtId="0" fontId="12" fillId="12" borderId="0" xfId="0" applyFont="1" applyFill="1" applyAlignment="1">
      <alignment horizontal="center"/>
    </xf>
    <xf numFmtId="0" fontId="12" fillId="12" borderId="6" xfId="0" applyFont="1" applyFill="1" applyBorder="1" applyAlignment="1">
      <alignment horizontal="center"/>
    </xf>
    <xf numFmtId="0" fontId="12" fillId="8" borderId="45" xfId="0" applyFont="1" applyFill="1" applyBorder="1" applyAlignment="1">
      <alignment horizontal="center"/>
    </xf>
    <xf numFmtId="0" fontId="12" fillId="12" borderId="46" xfId="0" applyFont="1" applyFill="1" applyBorder="1" applyAlignment="1">
      <alignment horizont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7" xfId="0" applyFont="1" applyBorder="1" applyAlignment="1">
      <alignment horizontal="left" wrapText="1" indent="3"/>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7"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2" fillId="0" borderId="4" xfId="0" applyFont="1" applyBorder="1" applyAlignment="1">
      <alignment horizontal="left" wrapText="1"/>
    </xf>
    <xf numFmtId="0" fontId="2" fillId="0" borderId="6"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7"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7" xfId="0" applyFont="1" applyBorder="1" applyAlignment="1">
      <alignment horizontal="left" wrapText="1"/>
    </xf>
    <xf numFmtId="0" fontId="25" fillId="0" borderId="0" xfId="0" applyFont="1" applyAlignment="1">
      <alignment horizontal="left" vertical="top" wrapText="1"/>
    </xf>
    <xf numFmtId="0" fontId="28"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6" xfId="0" applyFont="1" applyBorder="1" applyAlignment="1">
      <alignment horizontal="left" vertical="top" wrapText="1"/>
    </xf>
    <xf numFmtId="0" fontId="12" fillId="13" borderId="0" xfId="0" applyFont="1" applyFill="1" applyAlignment="1">
      <alignment horizontal="center"/>
    </xf>
    <xf numFmtId="0" fontId="12" fillId="0" borderId="2" xfId="0" applyFont="1" applyBorder="1" applyAlignment="1">
      <alignment horizontal="center"/>
    </xf>
    <xf numFmtId="0" fontId="12" fillId="0" borderId="4" xfId="0" applyFont="1" applyBorder="1" applyAlignment="1">
      <alignment horizontal="center"/>
    </xf>
    <xf numFmtId="0" fontId="12" fillId="0" borderId="8" xfId="0" applyFont="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0" fontId="12" fillId="12" borderId="43" xfId="0" applyFont="1" applyFill="1" applyBorder="1" applyAlignment="1">
      <alignment horizontal="center" wrapText="1"/>
    </xf>
    <xf numFmtId="0" fontId="12" fillId="12" borderId="44" xfId="0" applyFont="1" applyFill="1" applyBorder="1" applyAlignment="1">
      <alignment horizontal="center" wrapText="1"/>
    </xf>
    <xf numFmtId="0" fontId="12" fillId="12" borderId="3" xfId="0" applyFont="1" applyFill="1" applyBorder="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12" fillId="0" borderId="1" xfId="0" applyFont="1" applyBorder="1" applyAlignment="1">
      <alignment horizontal="center"/>
    </xf>
    <xf numFmtId="0" fontId="12" fillId="0" borderId="7" xfId="0" applyFont="1" applyBorder="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6"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1" borderId="0" xfId="0" applyFont="1" applyFill="1" applyAlignment="1">
      <alignment horizontal="left" vertical="top" wrapText="1"/>
    </xf>
    <xf numFmtId="1" fontId="34" fillId="0" borderId="60" xfId="0" applyNumberFormat="1" applyFont="1" applyBorder="1" applyAlignment="1">
      <alignment horizontal="center" vertical="top"/>
    </xf>
    <xf numFmtId="1" fontId="34" fillId="0" borderId="0" xfId="0" applyNumberFormat="1" applyFont="1" applyAlignment="1">
      <alignment horizontal="center" vertical="top"/>
    </xf>
    <xf numFmtId="1" fontId="34" fillId="0" borderId="43" xfId="0" applyNumberFormat="1" applyFont="1" applyBorder="1" applyAlignment="1">
      <alignment horizontal="center" vertical="top"/>
    </xf>
    <xf numFmtId="1" fontId="34" fillId="0" borderId="44" xfId="0" applyNumberFormat="1" applyFont="1" applyBorder="1" applyAlignment="1">
      <alignment horizontal="center" vertical="top"/>
    </xf>
    <xf numFmtId="1" fontId="34" fillId="0" borderId="46" xfId="0" applyNumberFormat="1" applyFont="1" applyBorder="1" applyAlignment="1">
      <alignment horizontal="center" vertical="top"/>
    </xf>
    <xf numFmtId="0" fontId="12" fillId="27"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4"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5" borderId="0" xfId="0" applyFont="1" applyFill="1" applyAlignment="1">
      <alignment horizontal="center" wrapText="1"/>
    </xf>
    <xf numFmtId="0" fontId="17" fillId="0" borderId="0" xfId="0" applyFont="1" applyBorder="1"/>
    <xf numFmtId="168" fontId="17" fillId="0" borderId="0" xfId="0" applyNumberFormat="1" applyFont="1" applyBorder="1" applyAlignment="1">
      <alignment horizontal="center"/>
    </xf>
    <xf numFmtId="168" fontId="17" fillId="8" borderId="0" xfId="0" applyNumberFormat="1" applyFont="1" applyFill="1" applyBorder="1" applyAlignment="1">
      <alignment horizontal="center"/>
    </xf>
  </cellXfs>
  <cellStyles count="1">
    <cellStyle name="Normal" xfId="0" builtinId="0"/>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Purchases'!$AO$73:$BB$73</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2829.6</c:v>
                </c:pt>
                <c:pt idx="12">
                  <c:v>2867.1479295552822</c:v>
                </c:pt>
                <c:pt idx="13">
                  <c:v>2902.161011259866</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Purchases'!$AO$75:$BB$75</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Purchases'!$AO$74:$BB$74</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Purchases'!$AO$68:$BB$68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Purchases'!$AO$77:$BB$77</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2086.4734472676282</c:v>
                </c:pt>
                <c:pt idx="13">
                  <c:v>2127.581569205749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Purchases'!$AO$68:$BB$68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2261.872132</c:v>
                </c:pt>
                <c:pt idx="12">
                  <c:v>2307.62137682291</c:v>
                </c:pt>
                <c:pt idx="13">
                  <c:v>2357.742580465615</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Purchases'!$AO$79:$BB$79</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2131.0734472676277</c:v>
                </c:pt>
                <c:pt idx="13">
                  <c:v>2169.3815692057492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Purchases'!$AO$68:$BB$68</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Purchases'!$AO$78:$BB$78</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1926.473447267628</c:v>
                      </c:pt>
                      <c:pt idx="13">
                        <c:v>1968.581569205749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80529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13</xdr:row>
      <xdr:rowOff>34810</xdr:rowOff>
    </xdr:from>
    <xdr:to>
      <xdr:col>20</xdr:col>
      <xdr:colOff>567690</xdr:colOff>
      <xdr:row>17</xdr:row>
      <xdr:rowOff>34809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80857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168053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13980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168053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119917</xdr:rowOff>
    </xdr:from>
    <xdr:to>
      <xdr:col>20</xdr:col>
      <xdr:colOff>381000</xdr:colOff>
      <xdr:row>109</xdr:row>
      <xdr:rowOff>82379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129478</xdr:rowOff>
    </xdr:from>
    <xdr:to>
      <xdr:col>20</xdr:col>
      <xdr:colOff>381000</xdr:colOff>
      <xdr:row>109</xdr:row>
      <xdr:rowOff>6179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146164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4780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33</xdr:row>
      <xdr:rowOff>4352</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63</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63</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67</xdr:row>
      <xdr:rowOff>49329</xdr:rowOff>
    </xdr:from>
    <xdr:to>
      <xdr:col>38</xdr:col>
      <xdr:colOff>641241</xdr:colOff>
      <xdr:row>67</xdr:row>
      <xdr:rowOff>49329</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49329</xdr:rowOff>
    </xdr:from>
    <xdr:to>
      <xdr:col>38</xdr:col>
      <xdr:colOff>526941</xdr:colOff>
      <xdr:row>68</xdr:row>
      <xdr:rowOff>231244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334765</xdr:rowOff>
    </xdr:from>
    <xdr:to>
      <xdr:col>38</xdr:col>
      <xdr:colOff>526941</xdr:colOff>
      <xdr:row>74</xdr:row>
      <xdr:rowOff>334765</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334765</xdr:rowOff>
    </xdr:from>
    <xdr:to>
      <xdr:col>38</xdr:col>
      <xdr:colOff>603141</xdr:colOff>
      <xdr:row>74</xdr:row>
      <xdr:rowOff>334765</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49329</xdr:rowOff>
    </xdr:from>
    <xdr:to>
      <xdr:col>38</xdr:col>
      <xdr:colOff>603141</xdr:colOff>
      <xdr:row>67</xdr:row>
      <xdr:rowOff>49329</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1029857</xdr:rowOff>
    </xdr:from>
    <xdr:to>
      <xdr:col>38</xdr:col>
      <xdr:colOff>641241</xdr:colOff>
      <xdr:row>47</xdr:row>
      <xdr:rowOff>1029857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1029857</xdr:rowOff>
    </xdr:from>
    <xdr:to>
      <xdr:col>38</xdr:col>
      <xdr:colOff>526941</xdr:colOff>
      <xdr:row>51</xdr:row>
      <xdr:rowOff>179187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64262</xdr:rowOff>
    </xdr:from>
    <xdr:to>
      <xdr:col>38</xdr:col>
      <xdr:colOff>526941</xdr:colOff>
      <xdr:row>54</xdr:row>
      <xdr:rowOff>64262</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64262</xdr:rowOff>
    </xdr:from>
    <xdr:to>
      <xdr:col>38</xdr:col>
      <xdr:colOff>603141</xdr:colOff>
      <xdr:row>54</xdr:row>
      <xdr:rowOff>64262</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1029857</xdr:rowOff>
    </xdr:from>
    <xdr:to>
      <xdr:col>38</xdr:col>
      <xdr:colOff>603141</xdr:colOff>
      <xdr:row>47</xdr:row>
      <xdr:rowOff>1029857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86522</xdr:rowOff>
    </xdr:from>
    <xdr:to>
      <xdr:col>38</xdr:col>
      <xdr:colOff>608623</xdr:colOff>
      <xdr:row>44</xdr:row>
      <xdr:rowOff>87157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86522</xdr:rowOff>
    </xdr:from>
    <xdr:to>
      <xdr:col>38</xdr:col>
      <xdr:colOff>492418</xdr:colOff>
      <xdr:row>47</xdr:row>
      <xdr:rowOff>1069274</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197179</xdr:rowOff>
    </xdr:from>
    <xdr:to>
      <xdr:col>38</xdr:col>
      <xdr:colOff>492418</xdr:colOff>
      <xdr:row>50</xdr:row>
      <xdr:rowOff>79891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197179</xdr:rowOff>
    </xdr:from>
    <xdr:to>
      <xdr:col>38</xdr:col>
      <xdr:colOff>568618</xdr:colOff>
      <xdr:row>50</xdr:row>
      <xdr:rowOff>79891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86522</xdr:rowOff>
    </xdr:from>
    <xdr:to>
      <xdr:col>38</xdr:col>
      <xdr:colOff>568618</xdr:colOff>
      <xdr:row>44</xdr:row>
      <xdr:rowOff>87157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86522</xdr:rowOff>
    </xdr:from>
    <xdr:to>
      <xdr:col>38</xdr:col>
      <xdr:colOff>608623</xdr:colOff>
      <xdr:row>44</xdr:row>
      <xdr:rowOff>87157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86522</xdr:rowOff>
    </xdr:from>
    <xdr:to>
      <xdr:col>38</xdr:col>
      <xdr:colOff>492418</xdr:colOff>
      <xdr:row>47</xdr:row>
      <xdr:rowOff>1069274</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197179</xdr:rowOff>
    </xdr:from>
    <xdr:to>
      <xdr:col>38</xdr:col>
      <xdr:colOff>492418</xdr:colOff>
      <xdr:row>50</xdr:row>
      <xdr:rowOff>79891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197179</xdr:rowOff>
    </xdr:from>
    <xdr:to>
      <xdr:col>38</xdr:col>
      <xdr:colOff>568618</xdr:colOff>
      <xdr:row>50</xdr:row>
      <xdr:rowOff>79891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86522</xdr:rowOff>
    </xdr:from>
    <xdr:to>
      <xdr:col>38</xdr:col>
      <xdr:colOff>568618</xdr:colOff>
      <xdr:row>44</xdr:row>
      <xdr:rowOff>87157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86522</xdr:rowOff>
    </xdr:from>
    <xdr:to>
      <xdr:col>38</xdr:col>
      <xdr:colOff>608623</xdr:colOff>
      <xdr:row>44</xdr:row>
      <xdr:rowOff>87157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86522</xdr:rowOff>
    </xdr:from>
    <xdr:to>
      <xdr:col>38</xdr:col>
      <xdr:colOff>492418</xdr:colOff>
      <xdr:row>47</xdr:row>
      <xdr:rowOff>1068094</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197573</xdr:rowOff>
    </xdr:from>
    <xdr:to>
      <xdr:col>38</xdr:col>
      <xdr:colOff>492418</xdr:colOff>
      <xdr:row>50</xdr:row>
      <xdr:rowOff>78742</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197573</xdr:rowOff>
    </xdr:from>
    <xdr:to>
      <xdr:col>38</xdr:col>
      <xdr:colOff>568618</xdr:colOff>
      <xdr:row>50</xdr:row>
      <xdr:rowOff>78742</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86522</xdr:rowOff>
    </xdr:from>
    <xdr:to>
      <xdr:col>38</xdr:col>
      <xdr:colOff>568618</xdr:colOff>
      <xdr:row>44</xdr:row>
      <xdr:rowOff>87157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86522</xdr:rowOff>
    </xdr:from>
    <xdr:to>
      <xdr:col>38</xdr:col>
      <xdr:colOff>608623</xdr:colOff>
      <xdr:row>44</xdr:row>
      <xdr:rowOff>87157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86522</xdr:rowOff>
    </xdr:from>
    <xdr:to>
      <xdr:col>38</xdr:col>
      <xdr:colOff>492418</xdr:colOff>
      <xdr:row>47</xdr:row>
      <xdr:rowOff>1068094</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197573</xdr:rowOff>
    </xdr:from>
    <xdr:to>
      <xdr:col>38</xdr:col>
      <xdr:colOff>492418</xdr:colOff>
      <xdr:row>50</xdr:row>
      <xdr:rowOff>78742</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197573</xdr:rowOff>
    </xdr:from>
    <xdr:to>
      <xdr:col>38</xdr:col>
      <xdr:colOff>568618</xdr:colOff>
      <xdr:row>50</xdr:row>
      <xdr:rowOff>78742</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86522</xdr:rowOff>
    </xdr:from>
    <xdr:to>
      <xdr:col>38</xdr:col>
      <xdr:colOff>568618</xdr:colOff>
      <xdr:row>44</xdr:row>
      <xdr:rowOff>87157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86522</xdr:rowOff>
    </xdr:from>
    <xdr:to>
      <xdr:col>38</xdr:col>
      <xdr:colOff>608623</xdr:colOff>
      <xdr:row>44</xdr:row>
      <xdr:rowOff>125257</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86522</xdr:rowOff>
    </xdr:from>
    <xdr:to>
      <xdr:col>38</xdr:col>
      <xdr:colOff>492418</xdr:colOff>
      <xdr:row>47</xdr:row>
      <xdr:rowOff>1068094</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197573</xdr:rowOff>
    </xdr:from>
    <xdr:to>
      <xdr:col>38</xdr:col>
      <xdr:colOff>492418</xdr:colOff>
      <xdr:row>50</xdr:row>
      <xdr:rowOff>78742</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197573</xdr:rowOff>
    </xdr:from>
    <xdr:to>
      <xdr:col>38</xdr:col>
      <xdr:colOff>568618</xdr:colOff>
      <xdr:row>50</xdr:row>
      <xdr:rowOff>78742</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86522</xdr:rowOff>
    </xdr:from>
    <xdr:to>
      <xdr:col>38</xdr:col>
      <xdr:colOff>568618</xdr:colOff>
      <xdr:row>44</xdr:row>
      <xdr:rowOff>125257</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54424</xdr:rowOff>
    </xdr:from>
    <xdr:to>
      <xdr:col>38</xdr:col>
      <xdr:colOff>608623</xdr:colOff>
      <xdr:row>45</xdr:row>
      <xdr:rowOff>55270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54424</xdr:rowOff>
    </xdr:from>
    <xdr:to>
      <xdr:col>38</xdr:col>
      <xdr:colOff>456223</xdr:colOff>
      <xdr:row>54</xdr:row>
      <xdr:rowOff>39055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37596</xdr:rowOff>
    </xdr:from>
    <xdr:to>
      <xdr:col>38</xdr:col>
      <xdr:colOff>456223</xdr:colOff>
      <xdr:row>49</xdr:row>
      <xdr:rowOff>37596</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37596</xdr:rowOff>
    </xdr:from>
    <xdr:to>
      <xdr:col>38</xdr:col>
      <xdr:colOff>532423</xdr:colOff>
      <xdr:row>49</xdr:row>
      <xdr:rowOff>37596</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54424</xdr:rowOff>
    </xdr:from>
    <xdr:to>
      <xdr:col>38</xdr:col>
      <xdr:colOff>532423</xdr:colOff>
      <xdr:row>45</xdr:row>
      <xdr:rowOff>55270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26</xdr:row>
      <xdr:rowOff>85183</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69784</xdr:rowOff>
    </xdr:from>
    <xdr:to>
      <xdr:col>20</xdr:col>
      <xdr:colOff>149519</xdr:colOff>
      <xdr:row>29</xdr:row>
      <xdr:rowOff>46236</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54424</xdr:rowOff>
    </xdr:from>
    <xdr:to>
      <xdr:col>38</xdr:col>
      <xdr:colOff>608623</xdr:colOff>
      <xdr:row>45</xdr:row>
      <xdr:rowOff>55270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54424</xdr:rowOff>
    </xdr:from>
    <xdr:to>
      <xdr:col>38</xdr:col>
      <xdr:colOff>456223</xdr:colOff>
      <xdr:row>54</xdr:row>
      <xdr:rowOff>39055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37596</xdr:rowOff>
    </xdr:from>
    <xdr:to>
      <xdr:col>38</xdr:col>
      <xdr:colOff>456223</xdr:colOff>
      <xdr:row>49</xdr:row>
      <xdr:rowOff>37596</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37596</xdr:rowOff>
    </xdr:from>
    <xdr:to>
      <xdr:col>38</xdr:col>
      <xdr:colOff>532423</xdr:colOff>
      <xdr:row>49</xdr:row>
      <xdr:rowOff>37596</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54424</xdr:rowOff>
    </xdr:from>
    <xdr:to>
      <xdr:col>38</xdr:col>
      <xdr:colOff>532423</xdr:colOff>
      <xdr:row>45</xdr:row>
      <xdr:rowOff>55270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26</xdr:row>
      <xdr:rowOff>85183</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69784</xdr:rowOff>
    </xdr:from>
    <xdr:to>
      <xdr:col>20</xdr:col>
      <xdr:colOff>149519</xdr:colOff>
      <xdr:row>29</xdr:row>
      <xdr:rowOff>46236</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23036</xdr:rowOff>
    </xdr:from>
    <xdr:to>
      <xdr:col>38</xdr:col>
      <xdr:colOff>608623</xdr:colOff>
      <xdr:row>59</xdr:row>
      <xdr:rowOff>292850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23036</xdr:rowOff>
    </xdr:from>
    <xdr:to>
      <xdr:col>38</xdr:col>
      <xdr:colOff>456223</xdr:colOff>
      <xdr:row>69</xdr:row>
      <xdr:rowOff>251538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127719</xdr:rowOff>
    </xdr:from>
    <xdr:to>
      <xdr:col>38</xdr:col>
      <xdr:colOff>456223</xdr:colOff>
      <xdr:row>65</xdr:row>
      <xdr:rowOff>127719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127719</xdr:rowOff>
    </xdr:from>
    <xdr:to>
      <xdr:col>38</xdr:col>
      <xdr:colOff>532423</xdr:colOff>
      <xdr:row>65</xdr:row>
      <xdr:rowOff>127719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23036</xdr:rowOff>
    </xdr:from>
    <xdr:to>
      <xdr:col>38</xdr:col>
      <xdr:colOff>532423</xdr:colOff>
      <xdr:row>59</xdr:row>
      <xdr:rowOff>292850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149519</xdr:colOff>
      <xdr:row>37</xdr:row>
      <xdr:rowOff>48106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23036</xdr:rowOff>
    </xdr:from>
    <xdr:to>
      <xdr:col>38</xdr:col>
      <xdr:colOff>608623</xdr:colOff>
      <xdr:row>59</xdr:row>
      <xdr:rowOff>292850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23036</xdr:rowOff>
    </xdr:from>
    <xdr:to>
      <xdr:col>38</xdr:col>
      <xdr:colOff>456223</xdr:colOff>
      <xdr:row>69</xdr:row>
      <xdr:rowOff>251538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127719</xdr:rowOff>
    </xdr:from>
    <xdr:to>
      <xdr:col>38</xdr:col>
      <xdr:colOff>456223</xdr:colOff>
      <xdr:row>65</xdr:row>
      <xdr:rowOff>127719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127719</xdr:rowOff>
    </xdr:from>
    <xdr:to>
      <xdr:col>38</xdr:col>
      <xdr:colOff>532423</xdr:colOff>
      <xdr:row>65</xdr:row>
      <xdr:rowOff>127719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23036</xdr:rowOff>
    </xdr:from>
    <xdr:to>
      <xdr:col>38</xdr:col>
      <xdr:colOff>532423</xdr:colOff>
      <xdr:row>59</xdr:row>
      <xdr:rowOff>292850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117134</xdr:colOff>
      <xdr:row>37</xdr:row>
      <xdr:rowOff>48106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23867</xdr:rowOff>
    </xdr:from>
    <xdr:to>
      <xdr:col>38</xdr:col>
      <xdr:colOff>608623</xdr:colOff>
      <xdr:row>59</xdr:row>
      <xdr:rowOff>292850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23867</xdr:rowOff>
    </xdr:from>
    <xdr:to>
      <xdr:col>38</xdr:col>
      <xdr:colOff>456223</xdr:colOff>
      <xdr:row>69</xdr:row>
      <xdr:rowOff>251538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127719</xdr:rowOff>
    </xdr:from>
    <xdr:to>
      <xdr:col>38</xdr:col>
      <xdr:colOff>456223</xdr:colOff>
      <xdr:row>65</xdr:row>
      <xdr:rowOff>127719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127719</xdr:rowOff>
    </xdr:from>
    <xdr:to>
      <xdr:col>38</xdr:col>
      <xdr:colOff>532423</xdr:colOff>
      <xdr:row>65</xdr:row>
      <xdr:rowOff>127719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23867</xdr:rowOff>
    </xdr:from>
    <xdr:to>
      <xdr:col>38</xdr:col>
      <xdr:colOff>532423</xdr:colOff>
      <xdr:row>59</xdr:row>
      <xdr:rowOff>292850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113324</xdr:colOff>
      <xdr:row>37</xdr:row>
      <xdr:rowOff>48106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23867</xdr:rowOff>
    </xdr:from>
    <xdr:to>
      <xdr:col>38</xdr:col>
      <xdr:colOff>608623</xdr:colOff>
      <xdr:row>59</xdr:row>
      <xdr:rowOff>292850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23867</xdr:rowOff>
    </xdr:from>
    <xdr:to>
      <xdr:col>38</xdr:col>
      <xdr:colOff>456223</xdr:colOff>
      <xdr:row>69</xdr:row>
      <xdr:rowOff>251538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127719</xdr:rowOff>
    </xdr:from>
    <xdr:to>
      <xdr:col>38</xdr:col>
      <xdr:colOff>456223</xdr:colOff>
      <xdr:row>65</xdr:row>
      <xdr:rowOff>127719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127719</xdr:rowOff>
    </xdr:from>
    <xdr:to>
      <xdr:col>38</xdr:col>
      <xdr:colOff>532423</xdr:colOff>
      <xdr:row>65</xdr:row>
      <xdr:rowOff>127719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23867</xdr:rowOff>
    </xdr:from>
    <xdr:to>
      <xdr:col>38</xdr:col>
      <xdr:colOff>532423</xdr:colOff>
      <xdr:row>59</xdr:row>
      <xdr:rowOff>292850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113324</xdr:colOff>
      <xdr:row>37</xdr:row>
      <xdr:rowOff>48106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11967</xdr:rowOff>
    </xdr:from>
    <xdr:to>
      <xdr:col>40</xdr:col>
      <xdr:colOff>349885</xdr:colOff>
      <xdr:row>68</xdr:row>
      <xdr:rowOff>80620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68</xdr:row>
      <xdr:rowOff>343394</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63</xdr:row>
      <xdr:rowOff>8871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63</xdr:row>
      <xdr:rowOff>8871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68</xdr:row>
      <xdr:rowOff>231380</xdr:rowOff>
    </xdr:from>
    <xdr:to>
      <xdr:col>40</xdr:col>
      <xdr:colOff>228600</xdr:colOff>
      <xdr:row>73</xdr:row>
      <xdr:rowOff>108844</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12456</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27053</xdr:rowOff>
    </xdr:from>
    <xdr:to>
      <xdr:col>20</xdr:col>
      <xdr:colOff>152400</xdr:colOff>
      <xdr:row>47</xdr:row>
      <xdr:rowOff>551521</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159890</xdr:rowOff>
    </xdr:from>
    <xdr:to>
      <xdr:col>20</xdr:col>
      <xdr:colOff>311785</xdr:colOff>
      <xdr:row>42</xdr:row>
      <xdr:rowOff>130871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77881</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342266</xdr:rowOff>
    </xdr:from>
    <xdr:to>
      <xdr:col>38</xdr:col>
      <xdr:colOff>450215</xdr:colOff>
      <xdr:row>77</xdr:row>
      <xdr:rowOff>286310</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342266</xdr:rowOff>
    </xdr:from>
    <xdr:to>
      <xdr:col>38</xdr:col>
      <xdr:colOff>533400</xdr:colOff>
      <xdr:row>77</xdr:row>
      <xdr:rowOff>286310</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42</xdr:row>
      <xdr:rowOff>100293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19537</xdr:rowOff>
    </xdr:from>
    <xdr:to>
      <xdr:col>20</xdr:col>
      <xdr:colOff>145415</xdr:colOff>
      <xdr:row>64</xdr:row>
      <xdr:rowOff>88638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47</xdr:row>
      <xdr:rowOff>145191</xdr:rowOff>
    </xdr:from>
    <xdr:to>
      <xdr:col>3</xdr:col>
      <xdr:colOff>304800</xdr:colOff>
      <xdr:row>47</xdr:row>
      <xdr:rowOff>888815</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47</xdr:row>
      <xdr:rowOff>516889</xdr:rowOff>
    </xdr:from>
    <xdr:to>
      <xdr:col>20</xdr:col>
      <xdr:colOff>335915</xdr:colOff>
      <xdr:row>48</xdr:row>
      <xdr:rowOff>173989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257175</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164165</xdr:rowOff>
    </xdr:from>
    <xdr:to>
      <xdr:col>38</xdr:col>
      <xdr:colOff>438150</xdr:colOff>
      <xdr:row>78</xdr:row>
      <xdr:rowOff>115981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164165</xdr:rowOff>
    </xdr:from>
    <xdr:to>
      <xdr:col>38</xdr:col>
      <xdr:colOff>542925</xdr:colOff>
      <xdr:row>78</xdr:row>
      <xdr:rowOff>115981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142501</xdr:rowOff>
    </xdr:from>
    <xdr:to>
      <xdr:col>3</xdr:col>
      <xdr:colOff>304800</xdr:colOff>
      <xdr:row>42</xdr:row>
      <xdr:rowOff>100293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11767</xdr:rowOff>
    </xdr:from>
    <xdr:to>
      <xdr:col>20</xdr:col>
      <xdr:colOff>133350</xdr:colOff>
      <xdr:row>64</xdr:row>
      <xdr:rowOff>74332</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45</xdr:row>
      <xdr:rowOff>152213</xdr:rowOff>
    </xdr:from>
    <xdr:to>
      <xdr:col>3</xdr:col>
      <xdr:colOff>314325</xdr:colOff>
      <xdr:row>47</xdr:row>
      <xdr:rowOff>718297</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812615</xdr:rowOff>
    </xdr:from>
    <xdr:to>
      <xdr:col>20</xdr:col>
      <xdr:colOff>333375</xdr:colOff>
      <xdr:row>49</xdr:row>
      <xdr:rowOff>172011</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71</xdr:row>
      <xdr:rowOff>95810</xdr:rowOff>
    </xdr:from>
    <xdr:to>
      <xdr:col>40</xdr:col>
      <xdr:colOff>342900</xdr:colOff>
      <xdr:row>74</xdr:row>
      <xdr:rowOff>15876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110379</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69</xdr:row>
      <xdr:rowOff>295089</xdr:rowOff>
    </xdr:from>
    <xdr:to>
      <xdr:col>38</xdr:col>
      <xdr:colOff>438150</xdr:colOff>
      <xdr:row>71</xdr:row>
      <xdr:rowOff>80495</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69</xdr:row>
      <xdr:rowOff>295089</xdr:rowOff>
    </xdr:from>
    <xdr:to>
      <xdr:col>38</xdr:col>
      <xdr:colOff>533400</xdr:colOff>
      <xdr:row>71</xdr:row>
      <xdr:rowOff>80495</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110379</xdr:rowOff>
    </xdr:from>
    <xdr:to>
      <xdr:col>40</xdr:col>
      <xdr:colOff>228600</xdr:colOff>
      <xdr:row>77</xdr:row>
      <xdr:rowOff>284069</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142501</xdr:rowOff>
    </xdr:from>
    <xdr:to>
      <xdr:col>3</xdr:col>
      <xdr:colOff>304800</xdr:colOff>
      <xdr:row>42</xdr:row>
      <xdr:rowOff>100293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11767</xdr:rowOff>
    </xdr:from>
    <xdr:to>
      <xdr:col>20</xdr:col>
      <xdr:colOff>133350</xdr:colOff>
      <xdr:row>64</xdr:row>
      <xdr:rowOff>59017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101712</xdr:rowOff>
    </xdr:from>
    <xdr:to>
      <xdr:col>40</xdr:col>
      <xdr:colOff>342900</xdr:colOff>
      <xdr:row>62</xdr:row>
      <xdr:rowOff>143435</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24242</xdr:rowOff>
    </xdr:from>
    <xdr:to>
      <xdr:col>40</xdr:col>
      <xdr:colOff>228600</xdr:colOff>
      <xdr:row>78</xdr:row>
      <xdr:rowOff>181124</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129988</xdr:rowOff>
    </xdr:from>
    <xdr:to>
      <xdr:col>38</xdr:col>
      <xdr:colOff>419100</xdr:colOff>
      <xdr:row>56</xdr:row>
      <xdr:rowOff>154641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129988</xdr:rowOff>
    </xdr:from>
    <xdr:to>
      <xdr:col>38</xdr:col>
      <xdr:colOff>533400</xdr:colOff>
      <xdr:row>56</xdr:row>
      <xdr:rowOff>154641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24242</xdr:rowOff>
    </xdr:from>
    <xdr:to>
      <xdr:col>40</xdr:col>
      <xdr:colOff>228600</xdr:colOff>
      <xdr:row>62</xdr:row>
      <xdr:rowOff>41200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58</xdr:row>
      <xdr:rowOff>134059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89647</xdr:rowOff>
    </xdr:from>
    <xdr:to>
      <xdr:col>40</xdr:col>
      <xdr:colOff>342900</xdr:colOff>
      <xdr:row>62</xdr:row>
      <xdr:rowOff>143435</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13447</xdr:rowOff>
    </xdr:from>
    <xdr:to>
      <xdr:col>40</xdr:col>
      <xdr:colOff>228600</xdr:colOff>
      <xdr:row>78</xdr:row>
      <xdr:rowOff>170329</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129988</xdr:rowOff>
    </xdr:from>
    <xdr:to>
      <xdr:col>38</xdr:col>
      <xdr:colOff>419100</xdr:colOff>
      <xdr:row>56</xdr:row>
      <xdr:rowOff>154641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129988</xdr:rowOff>
    </xdr:from>
    <xdr:to>
      <xdr:col>38</xdr:col>
      <xdr:colOff>533400</xdr:colOff>
      <xdr:row>56</xdr:row>
      <xdr:rowOff>154641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13447</xdr:rowOff>
    </xdr:from>
    <xdr:to>
      <xdr:col>40</xdr:col>
      <xdr:colOff>228600</xdr:colOff>
      <xdr:row>62</xdr:row>
      <xdr:rowOff>29135</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58</xdr:row>
      <xdr:rowOff>123264</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89647</xdr:rowOff>
    </xdr:from>
    <xdr:to>
      <xdr:col>40</xdr:col>
      <xdr:colOff>342900</xdr:colOff>
      <xdr:row>62</xdr:row>
      <xdr:rowOff>143435</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13447</xdr:rowOff>
    </xdr:from>
    <xdr:to>
      <xdr:col>40</xdr:col>
      <xdr:colOff>228600</xdr:colOff>
      <xdr:row>78</xdr:row>
      <xdr:rowOff>170329</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129988</xdr:rowOff>
    </xdr:from>
    <xdr:to>
      <xdr:col>38</xdr:col>
      <xdr:colOff>419100</xdr:colOff>
      <xdr:row>56</xdr:row>
      <xdr:rowOff>154641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129988</xdr:rowOff>
    </xdr:from>
    <xdr:to>
      <xdr:col>38</xdr:col>
      <xdr:colOff>533400</xdr:colOff>
      <xdr:row>56</xdr:row>
      <xdr:rowOff>154641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13447</xdr:rowOff>
    </xdr:from>
    <xdr:to>
      <xdr:col>40</xdr:col>
      <xdr:colOff>228600</xdr:colOff>
      <xdr:row>62</xdr:row>
      <xdr:rowOff>29135</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58</xdr:row>
      <xdr:rowOff>123264</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152400</xdr:rowOff>
    </xdr:from>
    <xdr:to>
      <xdr:col>40</xdr:col>
      <xdr:colOff>342900</xdr:colOff>
      <xdr:row>69</xdr:row>
      <xdr:rowOff>152400</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76200</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38100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38100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76200</xdr:rowOff>
    </xdr:from>
    <xdr:to>
      <xdr:col>40</xdr:col>
      <xdr:colOff>228600</xdr:colOff>
      <xdr:row>69</xdr:row>
      <xdr:rowOff>7620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58</xdr:row>
      <xdr:rowOff>114300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42</xdr:row>
      <xdr:rowOff>152400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152400</xdr:rowOff>
    </xdr:from>
    <xdr:to>
      <xdr:col>40</xdr:col>
      <xdr:colOff>342900</xdr:colOff>
      <xdr:row>69</xdr:row>
      <xdr:rowOff>152400</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76200</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38100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38100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76200</xdr:rowOff>
    </xdr:from>
    <xdr:to>
      <xdr:col>40</xdr:col>
      <xdr:colOff>228600</xdr:colOff>
      <xdr:row>69</xdr:row>
      <xdr:rowOff>7620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58</xdr:row>
      <xdr:rowOff>114300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42</xdr:row>
      <xdr:rowOff>152400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152400</xdr:rowOff>
    </xdr:from>
    <xdr:to>
      <xdr:col>40</xdr:col>
      <xdr:colOff>342900</xdr:colOff>
      <xdr:row>69</xdr:row>
      <xdr:rowOff>152400</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76200</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38100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38100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76200</xdr:rowOff>
    </xdr:from>
    <xdr:to>
      <xdr:col>40</xdr:col>
      <xdr:colOff>228600</xdr:colOff>
      <xdr:row>69</xdr:row>
      <xdr:rowOff>7620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58</xdr:row>
      <xdr:rowOff>114300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42</xdr:row>
      <xdr:rowOff>152400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152400</xdr:rowOff>
    </xdr:from>
    <xdr:to>
      <xdr:col>40</xdr:col>
      <xdr:colOff>342900</xdr:colOff>
      <xdr:row>69</xdr:row>
      <xdr:rowOff>152400</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76200</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38100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38100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76200</xdr:rowOff>
    </xdr:from>
    <xdr:to>
      <xdr:col>40</xdr:col>
      <xdr:colOff>228600</xdr:colOff>
      <xdr:row>69</xdr:row>
      <xdr:rowOff>0</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58</xdr:row>
      <xdr:rowOff>114300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42</xdr:row>
      <xdr:rowOff>152400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152400</xdr:rowOff>
    </xdr:from>
    <xdr:to>
      <xdr:col>40</xdr:col>
      <xdr:colOff>342900</xdr:colOff>
      <xdr:row>69</xdr:row>
      <xdr:rowOff>152400</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76200</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38100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38100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76200</xdr:rowOff>
    </xdr:from>
    <xdr:to>
      <xdr:col>40</xdr:col>
      <xdr:colOff>228600</xdr:colOff>
      <xdr:row>69</xdr:row>
      <xdr:rowOff>0</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58</xdr:row>
      <xdr:rowOff>114300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42</xdr:row>
      <xdr:rowOff>152400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152400</xdr:rowOff>
    </xdr:from>
    <xdr:to>
      <xdr:col>40</xdr:col>
      <xdr:colOff>342900</xdr:colOff>
      <xdr:row>69</xdr:row>
      <xdr:rowOff>152400</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76200</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38100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38100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76200</xdr:rowOff>
    </xdr:from>
    <xdr:to>
      <xdr:col>40</xdr:col>
      <xdr:colOff>228600</xdr:colOff>
      <xdr:row>69</xdr:row>
      <xdr:rowOff>0</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58</xdr:row>
      <xdr:rowOff>114300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42</xdr:row>
      <xdr:rowOff>152400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155938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224790</xdr:colOff>
      <xdr:row>59</xdr:row>
      <xdr:rowOff>157843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157843</xdr:rowOff>
    </xdr:from>
    <xdr:to>
      <xdr:col>21</xdr:col>
      <xdr:colOff>224790</xdr:colOff>
      <xdr:row>59</xdr:row>
      <xdr:rowOff>155938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224790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194310</xdr:colOff>
      <xdr:row>59</xdr:row>
      <xdr:rowOff>155938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179070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179070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179070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70202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70202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21</xdr:row>
      <xdr:rowOff>124883</xdr:rowOff>
    </xdr:from>
    <xdr:to>
      <xdr:col>4</xdr:col>
      <xdr:colOff>453390</xdr:colOff>
      <xdr:row>25</xdr:row>
      <xdr:rowOff>155645</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6209</xdr:rowOff>
    </xdr:from>
    <xdr:to>
      <xdr:col>4</xdr:col>
      <xdr:colOff>419100</xdr:colOff>
      <xdr:row>22</xdr:row>
      <xdr:rowOff>109924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106538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99</xdr:row>
      <xdr:rowOff>65156</xdr:rowOff>
    </xdr:from>
    <xdr:to>
      <xdr:col>10</xdr:col>
      <xdr:colOff>221887</xdr:colOff>
      <xdr:row>99</xdr:row>
      <xdr:rowOff>65156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99</xdr:row>
      <xdr:rowOff>65156</xdr:rowOff>
    </xdr:from>
    <xdr:to>
      <xdr:col>13</xdr:col>
      <xdr:colOff>221887</xdr:colOff>
      <xdr:row>99</xdr:row>
      <xdr:rowOff>65156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99</xdr:row>
      <xdr:rowOff>65156</xdr:rowOff>
    </xdr:from>
    <xdr:to>
      <xdr:col>10</xdr:col>
      <xdr:colOff>221887</xdr:colOff>
      <xdr:row>99</xdr:row>
      <xdr:rowOff>65156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99</xdr:row>
      <xdr:rowOff>65156</xdr:rowOff>
    </xdr:from>
    <xdr:to>
      <xdr:col>13</xdr:col>
      <xdr:colOff>221887</xdr:colOff>
      <xdr:row>99</xdr:row>
      <xdr:rowOff>65156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77</xdr:row>
      <xdr:rowOff>25853</xdr:rowOff>
    </xdr:from>
    <xdr:to>
      <xdr:col>10</xdr:col>
      <xdr:colOff>221887</xdr:colOff>
      <xdr:row>77</xdr:row>
      <xdr:rowOff>25853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77</xdr:row>
      <xdr:rowOff>25853</xdr:rowOff>
    </xdr:from>
    <xdr:to>
      <xdr:col>13</xdr:col>
      <xdr:colOff>221887</xdr:colOff>
      <xdr:row>77</xdr:row>
      <xdr:rowOff>25853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77</xdr:row>
      <xdr:rowOff>25853</xdr:rowOff>
    </xdr:from>
    <xdr:to>
      <xdr:col>10</xdr:col>
      <xdr:colOff>221887</xdr:colOff>
      <xdr:row>77</xdr:row>
      <xdr:rowOff>25853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77</xdr:row>
      <xdr:rowOff>25853</xdr:rowOff>
    </xdr:from>
    <xdr:to>
      <xdr:col>13</xdr:col>
      <xdr:colOff>221887</xdr:colOff>
      <xdr:row>77</xdr:row>
      <xdr:rowOff>25853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25853</xdr:rowOff>
    </xdr:from>
    <xdr:to>
      <xdr:col>10</xdr:col>
      <xdr:colOff>228600</xdr:colOff>
      <xdr:row>77</xdr:row>
      <xdr:rowOff>25853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25853</xdr:rowOff>
    </xdr:from>
    <xdr:to>
      <xdr:col>13</xdr:col>
      <xdr:colOff>228600</xdr:colOff>
      <xdr:row>77</xdr:row>
      <xdr:rowOff>25853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25853</xdr:rowOff>
    </xdr:from>
    <xdr:to>
      <xdr:col>10</xdr:col>
      <xdr:colOff>228600</xdr:colOff>
      <xdr:row>77</xdr:row>
      <xdr:rowOff>25853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25853</xdr:rowOff>
    </xdr:from>
    <xdr:to>
      <xdr:col>13</xdr:col>
      <xdr:colOff>228600</xdr:colOff>
      <xdr:row>77</xdr:row>
      <xdr:rowOff>25853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76</xdr:row>
      <xdr:rowOff>198664</xdr:rowOff>
    </xdr:from>
    <xdr:to>
      <xdr:col>10</xdr:col>
      <xdr:colOff>201295</xdr:colOff>
      <xdr:row>76</xdr:row>
      <xdr:rowOff>198664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76</xdr:row>
      <xdr:rowOff>198664</xdr:rowOff>
    </xdr:from>
    <xdr:to>
      <xdr:col>13</xdr:col>
      <xdr:colOff>201295</xdr:colOff>
      <xdr:row>76</xdr:row>
      <xdr:rowOff>198664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106952</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198664</xdr:rowOff>
    </xdr:from>
    <xdr:to>
      <xdr:col>10</xdr:col>
      <xdr:colOff>190500</xdr:colOff>
      <xdr:row>76</xdr:row>
      <xdr:rowOff>198664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198664</xdr:rowOff>
    </xdr:from>
    <xdr:to>
      <xdr:col>13</xdr:col>
      <xdr:colOff>190500</xdr:colOff>
      <xdr:row>76</xdr:row>
      <xdr:rowOff>198664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83457</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198664</xdr:rowOff>
    </xdr:from>
    <xdr:to>
      <xdr:col>10</xdr:col>
      <xdr:colOff>190500</xdr:colOff>
      <xdr:row>76</xdr:row>
      <xdr:rowOff>198664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198664</xdr:rowOff>
    </xdr:from>
    <xdr:to>
      <xdr:col>13</xdr:col>
      <xdr:colOff>190500</xdr:colOff>
      <xdr:row>76</xdr:row>
      <xdr:rowOff>198664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83457</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83</xdr:row>
      <xdr:rowOff>202759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170233</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83297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103276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49531</xdr:rowOff>
    </xdr:from>
    <xdr:to>
      <xdr:col>5</xdr:col>
      <xdr:colOff>190500</xdr:colOff>
      <xdr:row>133</xdr:row>
      <xdr:rowOff>12094</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159899</xdr:rowOff>
    </xdr:from>
    <xdr:to>
      <xdr:col>5</xdr:col>
      <xdr:colOff>190500</xdr:colOff>
      <xdr:row>117</xdr:row>
      <xdr:rowOff>29170</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342407</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67350</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10855</xdr:rowOff>
    </xdr:from>
    <xdr:to>
      <xdr:col>6</xdr:col>
      <xdr:colOff>38100</xdr:colOff>
      <xdr:row>114</xdr:row>
      <xdr:rowOff>106087</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50014</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301767</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179344</xdr:rowOff>
    </xdr:from>
    <xdr:to>
      <xdr:col>5</xdr:col>
      <xdr:colOff>190500</xdr:colOff>
      <xdr:row>111</xdr:row>
      <xdr:rowOff>142713</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161663</xdr:rowOff>
    </xdr:from>
    <xdr:to>
      <xdr:col>5</xdr:col>
      <xdr:colOff>190500</xdr:colOff>
      <xdr:row>98</xdr:row>
      <xdr:rowOff>168518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143633</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44</xdr:row>
      <xdr:rowOff>383349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44</xdr:row>
      <xdr:rowOff>229616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209419</xdr:rowOff>
    </xdr:from>
    <xdr:to>
      <xdr:col>5</xdr:col>
      <xdr:colOff>190500</xdr:colOff>
      <xdr:row>44</xdr:row>
      <xdr:rowOff>47806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144244</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40501</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86</xdr:row>
      <xdr:rowOff>179494</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84806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93488</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108</xdr:row>
      <xdr:rowOff>83044</xdr:rowOff>
    </xdr:from>
    <xdr:to>
      <xdr:col>5</xdr:col>
      <xdr:colOff>190500</xdr:colOff>
      <xdr:row>124</xdr:row>
      <xdr:rowOff>123330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83044</xdr:rowOff>
    </xdr:from>
    <xdr:to>
      <xdr:col>6</xdr:col>
      <xdr:colOff>38100</xdr:colOff>
      <xdr:row>122</xdr:row>
      <xdr:rowOff>74224</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241161</xdr:rowOff>
    </xdr:from>
    <xdr:to>
      <xdr:col>5</xdr:col>
      <xdr:colOff>190500</xdr:colOff>
      <xdr:row>98</xdr:row>
      <xdr:rowOff>146049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284621</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66884</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241161</xdr:rowOff>
    </xdr:from>
    <xdr:to>
      <xdr:col>5</xdr:col>
      <xdr:colOff>190500</xdr:colOff>
      <xdr:row>98</xdr:row>
      <xdr:rowOff>146049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66884</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203060</xdr:rowOff>
    </xdr:from>
    <xdr:to>
      <xdr:col>5</xdr:col>
      <xdr:colOff>190500</xdr:colOff>
      <xdr:row>98</xdr:row>
      <xdr:rowOff>146049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66884</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203060</xdr:rowOff>
    </xdr:from>
    <xdr:to>
      <xdr:col>5</xdr:col>
      <xdr:colOff>190500</xdr:colOff>
      <xdr:row>98</xdr:row>
      <xdr:rowOff>146049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203060</xdr:rowOff>
    </xdr:from>
    <xdr:to>
      <xdr:col>6</xdr:col>
      <xdr:colOff>38100</xdr:colOff>
      <xdr:row>96</xdr:row>
      <xdr:rowOff>66884</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96</xdr:row>
      <xdr:rowOff>28361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637540</xdr:colOff>
      <xdr:row>45</xdr:row>
      <xdr:rowOff>26459</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35702</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103154</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96</xdr:row>
      <xdr:rowOff>28361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637540</xdr:colOff>
      <xdr:row>45</xdr:row>
      <xdr:rowOff>26459</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35702</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103154</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96</xdr:row>
      <xdr:rowOff>28361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44</xdr:row>
      <xdr:rowOff>383046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12418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96</xdr:row>
      <xdr:rowOff>28361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96</xdr:row>
      <xdr:rowOff>28361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96</xdr:row>
      <xdr:rowOff>28361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217383</xdr:rowOff>
    </xdr:from>
    <xdr:to>
      <xdr:col>6</xdr:col>
      <xdr:colOff>38100</xdr:colOff>
      <xdr:row>99</xdr:row>
      <xdr:rowOff>139911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247791</xdr:rowOff>
    </xdr:from>
    <xdr:to>
      <xdr:col>5</xdr:col>
      <xdr:colOff>609600</xdr:colOff>
      <xdr:row>50</xdr:row>
      <xdr:rowOff>95532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363362</xdr:rowOff>
    </xdr:from>
    <xdr:to>
      <xdr:col>5</xdr:col>
      <xdr:colOff>609600</xdr:colOff>
      <xdr:row>50</xdr:row>
      <xdr:rowOff>171732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160444</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107739</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74437</xdr:rowOff>
    </xdr:from>
    <xdr:to>
      <xdr:col>5</xdr:col>
      <xdr:colOff>609600</xdr:colOff>
      <xdr:row>49</xdr:row>
      <xdr:rowOff>162700</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323003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103293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88405</xdr:rowOff>
    </xdr:from>
    <xdr:to>
      <xdr:col>6</xdr:col>
      <xdr:colOff>66040</xdr:colOff>
      <xdr:row>123</xdr:row>
      <xdr:rowOff>123332</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165099</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116</xdr:row>
      <xdr:rowOff>47272</xdr:rowOff>
    </xdr:from>
    <xdr:to>
      <xdr:col>5</xdr:col>
      <xdr:colOff>609600</xdr:colOff>
      <xdr:row>116</xdr:row>
      <xdr:rowOff>67592</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47272</xdr:rowOff>
    </xdr:from>
    <xdr:to>
      <xdr:col>5</xdr:col>
      <xdr:colOff>609600</xdr:colOff>
      <xdr:row>141</xdr:row>
      <xdr:rowOff>22156</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47272</xdr:rowOff>
    </xdr:from>
    <xdr:to>
      <xdr:col>5</xdr:col>
      <xdr:colOff>609600</xdr:colOff>
      <xdr:row>139</xdr:row>
      <xdr:rowOff>113382</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38806</xdr:rowOff>
    </xdr:from>
    <xdr:to>
      <xdr:col>6</xdr:col>
      <xdr:colOff>57150</xdr:colOff>
      <xdr:row>128</xdr:row>
      <xdr:rowOff>151694</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17640</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11290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99</xdr:row>
      <xdr:rowOff>6350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100</xdr:row>
      <xdr:rowOff>6350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88899</xdr:rowOff>
    </xdr:from>
    <xdr:to>
      <xdr:col>5</xdr:col>
      <xdr:colOff>609600</xdr:colOff>
      <xdr:row>100</xdr:row>
      <xdr:rowOff>189443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82550</xdr:rowOff>
    </xdr:from>
    <xdr:to>
      <xdr:col>5</xdr:col>
      <xdr:colOff>609600</xdr:colOff>
      <xdr:row>101</xdr:row>
      <xdr:rowOff>20108</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121</xdr:row>
      <xdr:rowOff>113595</xdr:rowOff>
    </xdr:from>
    <xdr:to>
      <xdr:col>5</xdr:col>
      <xdr:colOff>609600</xdr:colOff>
      <xdr:row>121</xdr:row>
      <xdr:rowOff>145345</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107244</xdr:rowOff>
    </xdr:from>
    <xdr:to>
      <xdr:col>5</xdr:col>
      <xdr:colOff>609600</xdr:colOff>
      <xdr:row>146</xdr:row>
      <xdr:rowOff>11994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107244</xdr:rowOff>
    </xdr:from>
    <xdr:to>
      <xdr:col>5</xdr:col>
      <xdr:colOff>609600</xdr:colOff>
      <xdr:row>144</xdr:row>
      <xdr:rowOff>107245</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104</xdr:row>
      <xdr:rowOff>162983</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29634</xdr:rowOff>
    </xdr:from>
    <xdr:to>
      <xdr:col>5</xdr:col>
      <xdr:colOff>628650</xdr:colOff>
      <xdr:row>59</xdr:row>
      <xdr:rowOff>361244</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105834</xdr:rowOff>
    </xdr:from>
    <xdr:to>
      <xdr:col>5</xdr:col>
      <xdr:colOff>628650</xdr:colOff>
      <xdr:row>59</xdr:row>
      <xdr:rowOff>345017</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50094</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50094</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239184</xdr:rowOff>
    </xdr:from>
    <xdr:to>
      <xdr:col>5</xdr:col>
      <xdr:colOff>609600</xdr:colOff>
      <xdr:row>100</xdr:row>
      <xdr:rowOff>277284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73025</xdr:rowOff>
    </xdr:from>
    <xdr:to>
      <xdr:col>5</xdr:col>
      <xdr:colOff>609600</xdr:colOff>
      <xdr:row>124</xdr:row>
      <xdr:rowOff>9172</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73025</xdr:rowOff>
    </xdr:from>
    <xdr:to>
      <xdr:col>5</xdr:col>
      <xdr:colOff>609600</xdr:colOff>
      <xdr:row>122</xdr:row>
      <xdr:rowOff>104069</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98</xdr:row>
      <xdr:rowOff>16933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45720</xdr:rowOff>
    </xdr:from>
    <xdr:to>
      <xdr:col>5</xdr:col>
      <xdr:colOff>609600</xdr:colOff>
      <xdr:row>50</xdr:row>
      <xdr:rowOff>46990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30903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169545</xdr:rowOff>
    </xdr:from>
    <xdr:to>
      <xdr:col>5</xdr:col>
      <xdr:colOff>609600</xdr:colOff>
      <xdr:row>123</xdr:row>
      <xdr:rowOff>39159</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169545</xdr:rowOff>
    </xdr:from>
    <xdr:to>
      <xdr:col>5</xdr:col>
      <xdr:colOff>609600</xdr:colOff>
      <xdr:row>123</xdr:row>
      <xdr:rowOff>39159</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98</xdr:row>
      <xdr:rowOff>16933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16933</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161925</xdr:rowOff>
    </xdr:from>
    <xdr:to>
      <xdr:col>5</xdr:col>
      <xdr:colOff>609600</xdr:colOff>
      <xdr:row>123</xdr:row>
      <xdr:rowOff>39159</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161925</xdr:rowOff>
    </xdr:from>
    <xdr:to>
      <xdr:col>5</xdr:col>
      <xdr:colOff>609600</xdr:colOff>
      <xdr:row>123</xdr:row>
      <xdr:rowOff>39159</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98</xdr:row>
      <xdr:rowOff>16933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16933</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161925</xdr:rowOff>
    </xdr:from>
    <xdr:to>
      <xdr:col>5</xdr:col>
      <xdr:colOff>609600</xdr:colOff>
      <xdr:row>123</xdr:row>
      <xdr:rowOff>39159</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161925</xdr:rowOff>
    </xdr:from>
    <xdr:to>
      <xdr:col>5</xdr:col>
      <xdr:colOff>609600</xdr:colOff>
      <xdr:row>123</xdr:row>
      <xdr:rowOff>39159</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146</xdr:row>
      <xdr:rowOff>15240</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83820</xdr:rowOff>
    </xdr:from>
    <xdr:to>
      <xdr:col>5</xdr:col>
      <xdr:colOff>609600</xdr:colOff>
      <xdr:row>151</xdr:row>
      <xdr:rowOff>121920</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190500</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190500</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83820</xdr:rowOff>
    </xdr:from>
    <xdr:to>
      <xdr:col>5</xdr:col>
      <xdr:colOff>624840</xdr:colOff>
      <xdr:row>102</xdr:row>
      <xdr:rowOff>0</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266700</xdr:rowOff>
    </xdr:from>
    <xdr:to>
      <xdr:col>5</xdr:col>
      <xdr:colOff>624840</xdr:colOff>
      <xdr:row>104</xdr:row>
      <xdr:rowOff>7620</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114300</xdr:rowOff>
    </xdr:from>
    <xdr:to>
      <xdr:col>5</xdr:col>
      <xdr:colOff>624840</xdr:colOff>
      <xdr:row>107</xdr:row>
      <xdr:rowOff>0</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114300</xdr:rowOff>
    </xdr:from>
    <xdr:to>
      <xdr:col>5</xdr:col>
      <xdr:colOff>624840</xdr:colOff>
      <xdr:row>108</xdr:row>
      <xdr:rowOff>0</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624840</xdr:colOff>
      <xdr:row>97</xdr:row>
      <xdr:rowOff>0</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624840</xdr:colOff>
      <xdr:row>98</xdr:row>
      <xdr:rowOff>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624840</xdr:colOff>
      <xdr:row>99</xdr:row>
      <xdr:rowOff>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624840</xdr:colOff>
      <xdr:row>100</xdr:row>
      <xdr:rowOff>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146</xdr:row>
      <xdr:rowOff>15240</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83820</xdr:rowOff>
    </xdr:from>
    <xdr:to>
      <xdr:col>5</xdr:col>
      <xdr:colOff>609600</xdr:colOff>
      <xdr:row>151</xdr:row>
      <xdr:rowOff>121920</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190500</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190500</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83820</xdr:rowOff>
    </xdr:from>
    <xdr:to>
      <xdr:col>5</xdr:col>
      <xdr:colOff>624840</xdr:colOff>
      <xdr:row>102</xdr:row>
      <xdr:rowOff>0</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266700</xdr:rowOff>
    </xdr:from>
    <xdr:to>
      <xdr:col>5</xdr:col>
      <xdr:colOff>624840</xdr:colOff>
      <xdr:row>104</xdr:row>
      <xdr:rowOff>7620</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114300</xdr:rowOff>
    </xdr:from>
    <xdr:to>
      <xdr:col>5</xdr:col>
      <xdr:colOff>624840</xdr:colOff>
      <xdr:row>107</xdr:row>
      <xdr:rowOff>0</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114300</xdr:rowOff>
    </xdr:from>
    <xdr:to>
      <xdr:col>5</xdr:col>
      <xdr:colOff>624840</xdr:colOff>
      <xdr:row>108</xdr:row>
      <xdr:rowOff>0</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624840</xdr:colOff>
      <xdr:row>97</xdr:row>
      <xdr:rowOff>0</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624840</xdr:colOff>
      <xdr:row>98</xdr:row>
      <xdr:rowOff>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624840</xdr:colOff>
      <xdr:row>99</xdr:row>
      <xdr:rowOff>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624840</xdr:colOff>
      <xdr:row>100</xdr:row>
      <xdr:rowOff>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146</xdr:row>
      <xdr:rowOff>15240</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83820</xdr:rowOff>
    </xdr:from>
    <xdr:to>
      <xdr:col>5</xdr:col>
      <xdr:colOff>609600</xdr:colOff>
      <xdr:row>151</xdr:row>
      <xdr:rowOff>121920</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190500</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190500</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83820</xdr:rowOff>
    </xdr:from>
    <xdr:to>
      <xdr:col>5</xdr:col>
      <xdr:colOff>624840</xdr:colOff>
      <xdr:row>102</xdr:row>
      <xdr:rowOff>0</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266700</xdr:rowOff>
    </xdr:from>
    <xdr:to>
      <xdr:col>5</xdr:col>
      <xdr:colOff>624840</xdr:colOff>
      <xdr:row>104</xdr:row>
      <xdr:rowOff>7620</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114300</xdr:rowOff>
    </xdr:from>
    <xdr:to>
      <xdr:col>5</xdr:col>
      <xdr:colOff>624840</xdr:colOff>
      <xdr:row>107</xdr:row>
      <xdr:rowOff>0</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114300</xdr:rowOff>
    </xdr:from>
    <xdr:to>
      <xdr:col>5</xdr:col>
      <xdr:colOff>624840</xdr:colOff>
      <xdr:row>108</xdr:row>
      <xdr:rowOff>0</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624840</xdr:colOff>
      <xdr:row>97</xdr:row>
      <xdr:rowOff>0</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624840</xdr:colOff>
      <xdr:row>98</xdr:row>
      <xdr:rowOff>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624840</xdr:colOff>
      <xdr:row>99</xdr:row>
      <xdr:rowOff>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624840</xdr:colOff>
      <xdr:row>100</xdr:row>
      <xdr:rowOff>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146</xdr:row>
      <xdr:rowOff>7620</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76200</xdr:rowOff>
    </xdr:from>
    <xdr:to>
      <xdr:col>5</xdr:col>
      <xdr:colOff>609600</xdr:colOff>
      <xdr:row>151</xdr:row>
      <xdr:rowOff>114300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190500</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190500</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76200</xdr:rowOff>
    </xdr:from>
    <xdr:to>
      <xdr:col>5</xdr:col>
      <xdr:colOff>617220</xdr:colOff>
      <xdr:row>102</xdr:row>
      <xdr:rowOff>0</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266700</xdr:rowOff>
    </xdr:from>
    <xdr:to>
      <xdr:col>5</xdr:col>
      <xdr:colOff>617220</xdr:colOff>
      <xdr:row>104</xdr:row>
      <xdr:rowOff>0</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114300</xdr:rowOff>
    </xdr:from>
    <xdr:to>
      <xdr:col>5</xdr:col>
      <xdr:colOff>617220</xdr:colOff>
      <xdr:row>107</xdr:row>
      <xdr:rowOff>0</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114300</xdr:rowOff>
    </xdr:from>
    <xdr:to>
      <xdr:col>5</xdr:col>
      <xdr:colOff>617220</xdr:colOff>
      <xdr:row>108</xdr:row>
      <xdr:rowOff>0</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97</xdr:row>
      <xdr:rowOff>0</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98</xdr:row>
      <xdr:rowOff>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99</xdr:row>
      <xdr:rowOff>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100</xdr:row>
      <xdr:rowOff>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146</xdr:row>
      <xdr:rowOff>7620</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76200</xdr:rowOff>
    </xdr:from>
    <xdr:to>
      <xdr:col>5</xdr:col>
      <xdr:colOff>609600</xdr:colOff>
      <xdr:row>151</xdr:row>
      <xdr:rowOff>114300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190500</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190500</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76200</xdr:rowOff>
    </xdr:from>
    <xdr:to>
      <xdr:col>5</xdr:col>
      <xdr:colOff>617220</xdr:colOff>
      <xdr:row>102</xdr:row>
      <xdr:rowOff>0</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266700</xdr:rowOff>
    </xdr:from>
    <xdr:to>
      <xdr:col>5</xdr:col>
      <xdr:colOff>617220</xdr:colOff>
      <xdr:row>104</xdr:row>
      <xdr:rowOff>0</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114300</xdr:rowOff>
    </xdr:from>
    <xdr:to>
      <xdr:col>5</xdr:col>
      <xdr:colOff>617220</xdr:colOff>
      <xdr:row>107</xdr:row>
      <xdr:rowOff>0</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114300</xdr:rowOff>
    </xdr:from>
    <xdr:to>
      <xdr:col>5</xdr:col>
      <xdr:colOff>617220</xdr:colOff>
      <xdr:row>108</xdr:row>
      <xdr:rowOff>0</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97</xdr:row>
      <xdr:rowOff>0</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98</xdr:row>
      <xdr:rowOff>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99</xdr:row>
      <xdr:rowOff>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100</xdr:row>
      <xdr:rowOff>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146</xdr:row>
      <xdr:rowOff>7620</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76200</xdr:rowOff>
    </xdr:from>
    <xdr:to>
      <xdr:col>5</xdr:col>
      <xdr:colOff>609600</xdr:colOff>
      <xdr:row>151</xdr:row>
      <xdr:rowOff>114300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190500</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190500</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76200</xdr:rowOff>
    </xdr:from>
    <xdr:to>
      <xdr:col>5</xdr:col>
      <xdr:colOff>617220</xdr:colOff>
      <xdr:row>102</xdr:row>
      <xdr:rowOff>0</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266700</xdr:rowOff>
    </xdr:from>
    <xdr:to>
      <xdr:col>5</xdr:col>
      <xdr:colOff>617220</xdr:colOff>
      <xdr:row>104</xdr:row>
      <xdr:rowOff>0</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114300</xdr:rowOff>
    </xdr:from>
    <xdr:to>
      <xdr:col>5</xdr:col>
      <xdr:colOff>617220</xdr:colOff>
      <xdr:row>107</xdr:row>
      <xdr:rowOff>0</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114300</xdr:rowOff>
    </xdr:from>
    <xdr:to>
      <xdr:col>5</xdr:col>
      <xdr:colOff>617220</xdr:colOff>
      <xdr:row>108</xdr:row>
      <xdr:rowOff>0</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97</xdr:row>
      <xdr:rowOff>0</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98</xdr:row>
      <xdr:rowOff>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99</xdr:row>
      <xdr:rowOff>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100</xdr:row>
      <xdr:rowOff>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R40" dT="2022-07-28T09:43:05.00" personId="{104078EE-2393-4C21-9029-18A325FBDB70}" id="{EA2E560B-B4F0-4579-B2C7-C9B4B3176BED}">
    <text>Louise, we applied a judgemental gr based on data in the last quarter. Would you want to update the gr based on new data?</text>
  </threadedComment>
  <threadedComment ref="R40" dT="2022-07-28T14:19:09.31" personId="{104078EE-2393-4C21-9029-18A325FBDB70}" id="{5B3E394F-55A1-4BC8-86E5-EAAE822957AC}" parentId="{EA2E560B-B4F0-4579-B2C7-C9B4B3176BED}">
    <text>Doing so would push this up to a 13.6</text>
  </threadedComment>
  <threadedComment ref="AM69" dT="2021-06-07T15:35:26.89" personId="{58CF8BEC-4104-46F7-BE4F-2C9403635492}" id="{5B268A7E-4684-4417-99DA-FD209D4D638F}">
    <text>January 2020 Ten Year Economic Projections, Quarterly Table, Row 131</text>
  </threadedComment>
  <threadedComment ref="AM70" dT="2021-07-07T15:58:20.18" personId="{58CF8BEC-4104-46F7-BE4F-2C9403635492}" id="{EDDC02C6-9D5A-4D48-BD38-306F90DEE81E}">
    <text>July 2021 Ten-Year Economic Projections, Quarterly Table, Row 130</text>
  </threadedComment>
  <threadedComment ref="AM73" dT="2021-06-08T18:07:26.42" personId="{58CF8BEC-4104-46F7-BE4F-2C9403635492}" id="{740ECA18-D6DC-4F42-982C-CBA3C5290FBF}">
    <text>January 2020 Ten Year Economic Projections, Quarterly Table, Row 130</text>
  </threadedComment>
  <threadedComment ref="AM74" dT="2021-06-08T18:07:37.18" personId="{58CF8BEC-4104-46F7-BE4F-2C9403635492}" id="{1C07D7AD-E31D-4773-BE5C-B49586DCA617}">
    <text>February 2021 Ten Year Economic Projections, Quarterly Table, Row 130</text>
  </threadedComment>
  <threadedComment ref="AM75"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7" dT="2021-11-02T13:23:36.94" personId="{58CF8BEC-4104-46F7-BE4F-2C9403635492}" id="{8624CBF8-0C25-4544-B55E-7210BBE07E41}">
    <text>Formula changes to grow by counterfactual pre-covid growth rate</text>
  </threadedComment>
  <threadedComment ref="M77" dT="2021-11-02T13:26:53.83" personId="{58CF8BEC-4104-46F7-BE4F-2C9403635492}" id="{B38BAE8E-DF30-49E2-9F96-90A1041E4DF0}">
    <text>Accounting for step up in social security</text>
  </threadedComment>
  <threadedComment ref="M77" dT="2022-07-28T10:16:22.56" personId="{104078EE-2393-4C21-9029-18A325FBDB70}" id="{E0C007BA-F33F-4062-A357-370316E1FFF4}" parentId="{B38BAE8E-DF30-49E2-9F96-90A1041E4DF0}">
    <text>every Q1</text>
  </threadedComment>
  <threadedComment ref="U77"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R28" dT="2022-10-27T18:55:12.78" personId="{609654FB-393E-4954-B3A3-EDB231775774}" id="{A10CFC64-1C02-48DA-8AEE-48D50538ECF3}">
    <text>The levels are a lot lower!</text>
  </threadedComment>
  <threadedComment ref="D46" dT="2022-07-27T15:51:26.42" personId="{104078EE-2393-4C21-9029-18A325FBDB70}" id="{1F09D10C-D690-4114-9BF1-2EC77E8CF729}">
    <text>May 2022 CBO Revenue Projections, Table 1, Row 10</text>
  </threadedComment>
  <threadedComment ref="D47" dT="2022-07-27T15:51:47.98" personId="{104078EE-2393-4C21-9029-18A325FBDB70}" id="{61B8BFB1-3686-4221-A789-3E8E4ED150E8}">
    <text>May 2022 CBO Revenue Projections, Table 1, Row 11</text>
  </threadedComment>
  <threadedComment ref="D49" dT="2022-07-27T15:52:32.00" personId="{104078EE-2393-4C21-9029-18A325FBDB70}" id="{96AD0B56-665E-45B3-8EC7-21E5F6DCD149}">
    <text>May 2022 CBO Revenue Projections, Table 1, Row 14</text>
  </threadedComment>
  <threadedComment ref="D50" dT="2022-07-27T15:52:46.05" personId="{104078EE-2393-4C21-9029-18A325FBDB70}" id="{291B3A2C-0242-451F-9C7C-691A3E499120}">
    <text>May 2022 CBO Revenue Projections, Table 1, Row 16</text>
  </threadedComment>
  <threadedComment ref="D51" dT="2022-07-27T15:53:07.84" personId="{104078EE-2393-4C21-9029-18A325FBDB70}" id="{9F3EE33C-5BEE-4035-92B3-03F363699E8F}">
    <text>May 2022 CBO Revenue Projections, Table 1, Row 12</text>
  </threadedComment>
  <threadedComment ref="D69" dT="2022-07-27T15:54:14.53" personId="{104078EE-2393-4C21-9029-18A325FBDB70}" id="{A5A53FB3-DAD9-4431-BC17-DE8533EBEBA7}">
    <text>May 2022 CBO Economic Projections, Fiscal Year Table, Row 92</text>
  </threadedComment>
  <threadedComment ref="D70" dT="2022-07-27T15:54:45.28" personId="{104078EE-2393-4C21-9029-18A325FBDB70}" id="{F60F16A6-D839-4373-9BA5-EC2FED164153}">
    <text>May 2022 CBO Economic Projections, Fiscal Year Table, Row 96</text>
  </threadedComment>
  <threadedComment ref="D71" dT="2022-07-27T15:55:08.90" personId="{104078EE-2393-4C21-9029-18A325FBDB70}" id="{866A2822-7717-4700-A376-2CCB1FB07C1B}">
    <text>May 2022 CBO Economic Projections, Fiscal Year Table, Row 116</text>
  </threadedComment>
  <threadedComment ref="D72" dT="2022-07-27T15:55:40.56" personId="{104078EE-2393-4C21-9029-18A325FBDB70}" id="{577EB3F0-E41D-40F3-99BD-1BCE1A91B538}">
    <text>May 2022 CBO Economic Projections, Fiscal Year Table, Row 110</text>
  </threadedComment>
  <threadedComment ref="D94" dT="2022-07-27T16:01:10.90" personId="{104078EE-2393-4C21-9029-18A325FBDB70}" id="{3DA40B3D-4A5D-452E-A72D-B2030842DDB4}">
    <text>May 2022 CBO Ten Year Economic Projections, Quarterly Table, Row 96</text>
  </threadedComment>
  <threadedComment ref="D95" dT="2022-07-27T16:01:37.37" personId="{104078EE-2393-4C21-9029-18A325FBDB70}" id="{D99B9B54-6076-41EB-BC07-437AE218B08B}">
    <text>May 2022 CBO Ten Year Economic Projections, Quarterly Table, Row 98</text>
  </threadedComment>
  <threadedComment ref="D96" dT="2022-07-27T16:02:04.85" personId="{104078EE-2393-4C21-9029-18A325FBDB70}" id="{623F5CCB-51DE-44FD-917A-D45F49A14B56}">
    <text>May 2022 CBO Ten Year Economic Projections, Quarterly Table, Row 116</text>
  </threadedComment>
  <threadedComment ref="D97" dT="2022-03-31T15:05:09.08" personId="{104078EE-2393-4C21-9029-18A325FBDB70}" id="{76D39B51-9B45-4C9D-BC1F-F3C52C7844F2}">
    <text>May 2022 CBO Ten Year Economic Projections, Quarterly Table, Row 112</text>
  </threadedComment>
  <threadedComment ref="D102" dT="2022-07-27T16:01:10.90" personId="{104078EE-2393-4C21-9029-18A325FBDB70}" id="{261212D0-3270-4BCA-9A94-F5349DB2897B}">
    <text>May 2022 CBO Ten Year Economic Projections, Quarterly Table, Row 96</text>
  </threadedComment>
  <threadedComment ref="D103" dT="2022-07-27T16:01:37.37" personId="{104078EE-2393-4C21-9029-18A325FBDB70}" id="{093CFE5E-1370-4B7D-A6E3-831D81F9257A}">
    <text>May 2022 CBO Ten Year Economic Projections, Quarterly Table, Row 98</text>
  </threadedComment>
  <threadedComment ref="D104" dT="2022-07-27T16:02:04.85" personId="{104078EE-2393-4C21-9029-18A325FBDB70}" id="{8471787A-6E7E-4D0B-B7B0-44BB3DD67EEC}">
    <text>May 2022 CBO Ten Year Economic Projections, Quarterly Table, Row 116</text>
  </threadedComment>
  <threadedComment ref="D105" dT="2022-03-31T15:05:09.08" personId="{104078EE-2393-4C21-9029-18A325FBDB70}" id="{C0761490-DB03-459E-80D6-455B0C07D430}">
    <text>May 2022 CBO Ten Year Economic Projections, Quarterly Table, Row 112</text>
  </threadedComment>
  <threadedComment ref="D150" dT="2022-07-27T16:01:10.90" personId="{104078EE-2393-4C21-9029-18A325FBDB70}" id="{6D3A4604-69CE-4F3F-813F-7F7EA08ED613}">
    <text>May 2022 CBO Ten Year Economic Projections, Quarterly Table, Row 96</text>
  </threadedComment>
  <threadedComment ref="D151" dT="2022-07-27T16:01:37.37" personId="{104078EE-2393-4C21-9029-18A325FBDB70}" id="{2FAA442C-06B5-4B8F-BB61-A81BAEC7050D}">
    <text>May 2022 CBO Ten Year Economic Projections, Quarterly Table, Row 98</text>
  </threadedComment>
  <threadedComment ref="D152" dT="2022-07-27T16:02:04.85" personId="{104078EE-2393-4C21-9029-18A325FBDB70}" id="{C4EBBB9E-22EA-4672-A509-43BCF8EEAB30}">
    <text>May 2022 CBO Ten Year Economic Projections, Quarterly Table, Row 116</text>
  </threadedComment>
  <threadedComment ref="D153"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5546875" defaultRowHeight="14.4" x14ac:dyDescent="0.3"/>
  <cols>
    <col min="2" max="2" width="34.21875" customWidth="1"/>
    <col min="17" max="17" width="38.44140625" customWidth="1"/>
  </cols>
  <sheetData>
    <row r="10" spans="2:17" x14ac:dyDescent="0.3">
      <c r="B10" s="1057" t="s">
        <v>0</v>
      </c>
      <c r="C10" s="1058"/>
      <c r="D10" s="1058"/>
      <c r="E10" s="1058"/>
      <c r="F10" s="1058"/>
      <c r="G10" s="1058"/>
      <c r="H10" s="1058"/>
      <c r="I10" s="1058"/>
      <c r="J10" s="1058"/>
      <c r="K10" s="1058"/>
      <c r="L10" s="1058"/>
      <c r="M10" s="1058"/>
      <c r="N10" s="1058"/>
      <c r="O10" s="1058"/>
      <c r="P10" s="1058"/>
      <c r="Q10" s="1059"/>
    </row>
    <row r="11" spans="2:17" x14ac:dyDescent="0.3">
      <c r="B11" s="1060"/>
      <c r="C11" s="1061"/>
      <c r="D11" s="1061"/>
      <c r="E11" s="1061"/>
      <c r="F11" s="1061"/>
      <c r="G11" s="1061"/>
      <c r="H11" s="1061"/>
      <c r="I11" s="1061"/>
      <c r="J11" s="1061"/>
      <c r="K11" s="1061"/>
      <c r="L11" s="1061"/>
      <c r="M11" s="1061"/>
      <c r="N11" s="1061"/>
      <c r="O11" s="1061"/>
      <c r="P11" s="1061"/>
      <c r="Q11" s="1062"/>
    </row>
    <row r="12" spans="2:17" x14ac:dyDescent="0.3">
      <c r="B12" s="8" t="s">
        <v>1</v>
      </c>
      <c r="C12" s="5"/>
      <c r="D12" s="5"/>
      <c r="E12" s="5"/>
      <c r="F12" s="5"/>
      <c r="G12" s="5"/>
      <c r="H12" s="5"/>
      <c r="I12" s="5"/>
      <c r="J12" s="5"/>
      <c r="K12" s="5"/>
      <c r="L12" s="5"/>
      <c r="M12" s="5"/>
      <c r="N12" s="5"/>
      <c r="O12" s="5"/>
      <c r="P12" s="5"/>
      <c r="Q12" s="3"/>
    </row>
    <row r="13" spans="2:17" x14ac:dyDescent="0.3">
      <c r="B13" s="7" t="s">
        <v>2</v>
      </c>
      <c r="C13" s="1063" t="s">
        <v>3</v>
      </c>
      <c r="D13" s="1063"/>
      <c r="E13" s="1063"/>
      <c r="F13" s="1063"/>
      <c r="G13" s="1063"/>
      <c r="H13" s="1063"/>
      <c r="I13" s="1063"/>
      <c r="J13" s="1063"/>
      <c r="K13" s="1063"/>
      <c r="L13" s="1063"/>
      <c r="M13" s="1063"/>
      <c r="N13" s="1063"/>
      <c r="O13" s="1063"/>
      <c r="P13" s="1063"/>
      <c r="Q13" s="1064"/>
    </row>
    <row r="14" spans="2:17" x14ac:dyDescent="0.3">
      <c r="B14" s="7" t="s">
        <v>4</v>
      </c>
      <c r="C14" s="4" t="s">
        <v>5</v>
      </c>
      <c r="D14" s="4"/>
      <c r="E14" s="4"/>
      <c r="F14" s="4"/>
      <c r="G14" s="4"/>
      <c r="H14" s="4"/>
      <c r="I14" s="4"/>
      <c r="J14" s="4"/>
      <c r="K14" s="4"/>
      <c r="L14" s="4"/>
      <c r="M14" s="4"/>
      <c r="N14" s="4"/>
      <c r="O14" s="4"/>
      <c r="P14" s="4"/>
      <c r="Q14" s="10"/>
    </row>
    <row r="15" spans="2:17" x14ac:dyDescent="0.3">
      <c r="B15" s="7" t="s">
        <v>6</v>
      </c>
      <c r="C15" s="4" t="s">
        <v>7</v>
      </c>
      <c r="D15" s="4"/>
      <c r="E15" s="4"/>
      <c r="F15" s="4"/>
      <c r="G15" s="4"/>
      <c r="H15" s="4"/>
      <c r="I15" s="4"/>
      <c r="J15" s="4"/>
      <c r="K15" s="4"/>
      <c r="L15" s="4"/>
      <c r="M15" s="4"/>
      <c r="N15" s="4"/>
      <c r="O15" s="4"/>
      <c r="P15" s="4"/>
      <c r="Q15" s="10"/>
    </row>
    <row r="16" spans="2:17" x14ac:dyDescent="0.3">
      <c r="B16" s="7" t="s">
        <v>8</v>
      </c>
      <c r="C16" s="4" t="s">
        <v>902</v>
      </c>
      <c r="D16" s="4"/>
      <c r="E16" s="4"/>
      <c r="F16" s="4"/>
      <c r="G16" s="4"/>
      <c r="H16" s="4"/>
      <c r="I16" s="4"/>
      <c r="J16" s="4"/>
      <c r="K16" s="4"/>
      <c r="L16" s="4"/>
      <c r="M16" s="4"/>
      <c r="N16" s="4"/>
      <c r="O16" s="4"/>
      <c r="P16" s="4"/>
      <c r="Q16" s="10"/>
    </row>
    <row r="17" spans="2:17" x14ac:dyDescent="0.3">
      <c r="B17" s="7" t="s">
        <v>9</v>
      </c>
      <c r="C17" s="4" t="s">
        <v>10</v>
      </c>
      <c r="D17" s="4"/>
      <c r="E17" s="4"/>
      <c r="F17" s="4"/>
      <c r="G17" s="4"/>
      <c r="H17" s="4"/>
      <c r="I17" s="4"/>
      <c r="J17" s="4"/>
      <c r="K17" s="4"/>
      <c r="L17" s="4"/>
      <c r="M17" s="4"/>
      <c r="N17" s="4"/>
      <c r="O17" s="4"/>
      <c r="P17" s="4"/>
      <c r="Q17" s="10"/>
    </row>
    <row r="18" spans="2:17" x14ac:dyDescent="0.3">
      <c r="B18" s="7" t="s">
        <v>903</v>
      </c>
      <c r="C18" s="4" t="s">
        <v>11</v>
      </c>
      <c r="D18" s="4"/>
      <c r="E18" s="4"/>
      <c r="F18" s="4"/>
      <c r="G18" s="4"/>
      <c r="H18" s="4"/>
      <c r="I18" s="4"/>
      <c r="J18" s="4"/>
      <c r="K18" s="4"/>
      <c r="L18" s="4"/>
      <c r="M18" s="4"/>
      <c r="N18" s="4"/>
      <c r="O18" s="4"/>
      <c r="P18" s="4"/>
      <c r="Q18" s="10"/>
    </row>
    <row r="19" spans="2:17" x14ac:dyDescent="0.3">
      <c r="B19" s="7" t="s">
        <v>12</v>
      </c>
      <c r="C19" s="4" t="s">
        <v>904</v>
      </c>
      <c r="D19" s="4"/>
      <c r="E19" s="4"/>
      <c r="F19" s="4"/>
      <c r="G19" s="4"/>
      <c r="H19" s="4"/>
      <c r="I19" s="4"/>
      <c r="J19" s="4"/>
      <c r="K19" s="4"/>
      <c r="L19" s="4"/>
      <c r="M19" s="4"/>
      <c r="N19" s="4"/>
      <c r="O19" s="4"/>
      <c r="P19" s="4"/>
      <c r="Q19" s="10"/>
    </row>
    <row r="20" spans="2:17" ht="30.75" customHeight="1" x14ac:dyDescent="0.3">
      <c r="B20" s="7" t="s">
        <v>13</v>
      </c>
      <c r="C20" s="1055" t="s">
        <v>14</v>
      </c>
      <c r="D20" s="1055"/>
      <c r="E20" s="1055"/>
      <c r="F20" s="1055"/>
      <c r="G20" s="1055"/>
      <c r="H20" s="1055"/>
      <c r="I20" s="1055"/>
      <c r="J20" s="1055"/>
      <c r="K20" s="1055"/>
      <c r="L20" s="1055"/>
      <c r="M20" s="1055"/>
      <c r="N20" s="1055"/>
      <c r="O20" s="1055"/>
      <c r="P20" s="1055"/>
      <c r="Q20" s="1056"/>
    </row>
    <row r="21" spans="2:17" x14ac:dyDescent="0.3">
      <c r="B21" s="7" t="s">
        <v>15</v>
      </c>
      <c r="C21" s="4" t="s">
        <v>16</v>
      </c>
      <c r="D21" s="4"/>
      <c r="E21" s="4"/>
      <c r="F21" s="4"/>
      <c r="G21" s="4"/>
      <c r="H21" s="4"/>
      <c r="I21" s="4"/>
      <c r="J21" s="4"/>
      <c r="K21" s="4"/>
      <c r="L21" s="4"/>
      <c r="M21" s="4"/>
      <c r="N21" s="4"/>
      <c r="O21" s="4"/>
      <c r="P21" s="4"/>
      <c r="Q21" s="10"/>
    </row>
    <row r="22" spans="2:17" ht="32.25" customHeight="1" x14ac:dyDescent="0.3">
      <c r="B22" s="1" t="s">
        <v>906</v>
      </c>
      <c r="C22" s="1055" t="s">
        <v>905</v>
      </c>
      <c r="D22" s="1055"/>
      <c r="E22" s="1055"/>
      <c r="F22" s="1055"/>
      <c r="G22" s="1055"/>
      <c r="H22" s="1055"/>
      <c r="I22" s="1055"/>
      <c r="J22" s="1055"/>
      <c r="K22" s="1055"/>
      <c r="L22" s="1055"/>
      <c r="M22" s="1055"/>
      <c r="N22" s="1055"/>
      <c r="O22" s="1055"/>
      <c r="P22" s="1055"/>
      <c r="Q22" s="1056"/>
    </row>
    <row r="23" spans="2:17" ht="31.2" customHeight="1" x14ac:dyDescent="0.3">
      <c r="B23" s="7" t="s">
        <v>17</v>
      </c>
      <c r="C23" s="1055" t="s">
        <v>907</v>
      </c>
      <c r="D23" s="1055"/>
      <c r="E23" s="1055"/>
      <c r="F23" s="1055"/>
      <c r="G23" s="1055"/>
      <c r="H23" s="1055"/>
      <c r="I23" s="1055"/>
      <c r="J23" s="1055"/>
      <c r="K23" s="1055"/>
      <c r="L23" s="1055"/>
      <c r="M23" s="1055"/>
      <c r="N23" s="1055"/>
      <c r="O23" s="1055"/>
      <c r="P23" s="1055"/>
      <c r="Q23" s="1056"/>
    </row>
    <row r="24" spans="2:17" x14ac:dyDescent="0.3">
      <c r="B24" s="7" t="s">
        <v>18</v>
      </c>
      <c r="C24" s="4" t="s">
        <v>19</v>
      </c>
      <c r="D24" s="4"/>
      <c r="E24" s="4"/>
      <c r="F24" s="4"/>
      <c r="G24" s="4"/>
      <c r="H24" s="4"/>
      <c r="I24" s="4"/>
      <c r="J24" s="4"/>
      <c r="K24" s="4"/>
      <c r="L24" s="4"/>
      <c r="M24" s="4"/>
      <c r="N24" s="4"/>
      <c r="O24" s="4"/>
      <c r="P24" s="4"/>
      <c r="Q24" s="10"/>
    </row>
    <row r="25" spans="2:17" x14ac:dyDescent="0.3">
      <c r="B25" s="7" t="s">
        <v>20</v>
      </c>
      <c r="C25" s="4" t="s">
        <v>21</v>
      </c>
      <c r="D25" s="4"/>
      <c r="E25" s="4"/>
      <c r="F25" s="4"/>
      <c r="G25" s="4"/>
      <c r="H25" s="4"/>
      <c r="I25" s="4"/>
      <c r="J25" s="4"/>
      <c r="K25" s="4"/>
      <c r="L25" s="4"/>
      <c r="M25" s="4"/>
      <c r="N25" s="4"/>
      <c r="O25" s="4"/>
      <c r="P25" s="4"/>
      <c r="Q25" s="10"/>
    </row>
    <row r="26" spans="2:17" x14ac:dyDescent="0.3">
      <c r="B26" s="7" t="s">
        <v>22</v>
      </c>
      <c r="C26" s="4" t="s">
        <v>23</v>
      </c>
      <c r="D26" s="4"/>
      <c r="E26" s="4"/>
      <c r="F26" s="4"/>
      <c r="G26" s="4"/>
      <c r="H26" s="4"/>
      <c r="I26" s="4"/>
      <c r="J26" s="4"/>
      <c r="K26" s="4"/>
      <c r="L26" s="4"/>
      <c r="M26" s="4"/>
      <c r="N26" s="4"/>
      <c r="O26" s="4"/>
      <c r="P26" s="4"/>
      <c r="Q26" s="10"/>
    </row>
    <row r="27" spans="2:17" x14ac:dyDescent="0.3">
      <c r="B27" s="7" t="s">
        <v>24</v>
      </c>
      <c r="C27" s="4" t="s">
        <v>908</v>
      </c>
      <c r="D27" s="4"/>
      <c r="E27" s="4"/>
      <c r="F27" s="4"/>
      <c r="G27" s="4"/>
      <c r="H27" s="4"/>
      <c r="I27" s="4"/>
      <c r="J27" s="4"/>
      <c r="K27" s="4"/>
      <c r="L27" s="4"/>
      <c r="M27" s="4"/>
      <c r="N27" s="4"/>
      <c r="O27" s="4"/>
      <c r="P27" s="4"/>
      <c r="Q27" s="10"/>
    </row>
    <row r="28" spans="2:17" x14ac:dyDescent="0.3">
      <c r="B28" s="7" t="s">
        <v>25</v>
      </c>
      <c r="C28" s="4" t="s">
        <v>909</v>
      </c>
      <c r="D28" s="4"/>
      <c r="E28" s="4"/>
      <c r="F28" s="4"/>
      <c r="G28" s="4"/>
      <c r="H28" s="4"/>
      <c r="I28" s="4"/>
      <c r="J28" s="4"/>
      <c r="K28" s="4"/>
      <c r="L28" s="4"/>
      <c r="M28" s="4"/>
      <c r="N28" s="4"/>
      <c r="O28" s="4"/>
      <c r="P28" s="4"/>
      <c r="Q28" s="10"/>
    </row>
    <row r="29" spans="2:17" x14ac:dyDescent="0.3">
      <c r="B29" s="7" t="s">
        <v>26</v>
      </c>
      <c r="C29" s="4" t="s">
        <v>27</v>
      </c>
      <c r="D29" s="4"/>
      <c r="E29" s="4"/>
      <c r="F29" s="4"/>
      <c r="G29" s="4"/>
      <c r="H29" s="4"/>
      <c r="I29" s="4"/>
      <c r="J29" s="4"/>
      <c r="K29" s="4"/>
      <c r="L29" s="4"/>
      <c r="M29" s="4"/>
      <c r="N29" s="4"/>
      <c r="O29" s="4"/>
      <c r="P29" s="4"/>
      <c r="Q29" s="10"/>
    </row>
    <row r="30" spans="2:17" x14ac:dyDescent="0.3">
      <c r="B30" s="7"/>
      <c r="C30" s="4"/>
      <c r="D30" s="4"/>
      <c r="E30" s="4"/>
      <c r="F30" s="4"/>
      <c r="G30" s="4"/>
      <c r="H30" s="4"/>
      <c r="I30" s="4"/>
      <c r="J30" s="4"/>
      <c r="K30" s="4"/>
      <c r="L30" s="4"/>
      <c r="M30" s="4"/>
      <c r="N30" s="4"/>
      <c r="O30" s="4"/>
      <c r="P30" s="4"/>
      <c r="Q30" s="10"/>
    </row>
    <row r="31" spans="2:17" x14ac:dyDescent="0.3">
      <c r="B31" s="9" t="s">
        <v>28</v>
      </c>
      <c r="C31" s="4"/>
      <c r="D31" s="4"/>
      <c r="E31" s="4"/>
      <c r="F31" s="4"/>
      <c r="G31" s="4"/>
      <c r="H31" s="4"/>
      <c r="I31" s="4"/>
      <c r="J31" s="4"/>
      <c r="K31" s="4"/>
      <c r="L31" s="4"/>
      <c r="M31" s="4"/>
      <c r="N31" s="4"/>
      <c r="O31" s="4"/>
      <c r="P31" s="4"/>
      <c r="Q31" s="10"/>
    </row>
    <row r="32" spans="2:17" x14ac:dyDescent="0.3">
      <c r="B32" s="7" t="s">
        <v>29</v>
      </c>
      <c r="C32" s="4"/>
      <c r="D32" s="4"/>
      <c r="E32" s="4"/>
      <c r="F32" s="4"/>
      <c r="G32" s="4"/>
      <c r="H32" s="4"/>
      <c r="I32" s="4"/>
      <c r="J32" s="4"/>
      <c r="K32" s="4"/>
      <c r="L32" s="4"/>
      <c r="M32" s="4"/>
      <c r="N32" s="4"/>
      <c r="O32" s="4"/>
      <c r="P32" s="4"/>
      <c r="Q32" s="10"/>
    </row>
    <row r="33" spans="2:17" ht="30.75" customHeight="1" x14ac:dyDescent="0.3">
      <c r="B33" s="1054" t="s">
        <v>910</v>
      </c>
      <c r="C33" s="1055"/>
      <c r="D33" s="1055"/>
      <c r="E33" s="1055"/>
      <c r="F33" s="1055"/>
      <c r="G33" s="1055"/>
      <c r="H33" s="1055"/>
      <c r="I33" s="1055"/>
      <c r="J33" s="1055"/>
      <c r="K33" s="1055"/>
      <c r="L33" s="1055"/>
      <c r="M33" s="1055"/>
      <c r="N33" s="1055"/>
      <c r="O33" s="1055"/>
      <c r="P33" s="1055"/>
      <c r="Q33" s="1056"/>
    </row>
    <row r="34" spans="2:17" x14ac:dyDescent="0.3">
      <c r="B34" s="13" t="s">
        <v>30</v>
      </c>
      <c r="C34" s="4"/>
      <c r="D34" s="4"/>
      <c r="E34" s="4"/>
      <c r="F34" s="4"/>
      <c r="G34" s="4"/>
      <c r="H34" s="4"/>
      <c r="I34" s="4"/>
      <c r="J34" s="4"/>
      <c r="K34" s="4"/>
      <c r="L34" s="4"/>
      <c r="M34" s="4"/>
      <c r="N34" s="4"/>
      <c r="O34" s="4"/>
      <c r="P34" s="4"/>
      <c r="Q34" s="10"/>
    </row>
    <row r="35" spans="2:17" x14ac:dyDescent="0.3">
      <c r="B35" s="7" t="s">
        <v>31</v>
      </c>
      <c r="C35" s="4"/>
      <c r="D35" s="4"/>
      <c r="E35" s="4"/>
      <c r="F35" s="4"/>
      <c r="G35" s="4"/>
      <c r="H35" s="4"/>
      <c r="I35" s="4"/>
      <c r="J35" s="4"/>
      <c r="K35" s="4"/>
      <c r="L35" s="4"/>
      <c r="M35" s="4"/>
      <c r="N35" s="4"/>
      <c r="O35" s="4"/>
      <c r="P35" s="4"/>
      <c r="Q35" s="10"/>
    </row>
    <row r="36" spans="2:17" x14ac:dyDescent="0.3">
      <c r="B36" s="6" t="s">
        <v>32</v>
      </c>
      <c r="C36" s="11"/>
      <c r="D36" s="11"/>
      <c r="E36" s="11"/>
      <c r="F36" s="11"/>
      <c r="G36" s="11"/>
      <c r="H36" s="11"/>
      <c r="I36" s="11"/>
      <c r="J36" s="11"/>
      <c r="K36" s="11"/>
      <c r="L36" s="11"/>
      <c r="M36" s="11"/>
      <c r="N36" s="11"/>
      <c r="O36" s="11"/>
      <c r="P36" s="11"/>
      <c r="Q36" s="12"/>
    </row>
    <row r="39" spans="2:17" x14ac:dyDescent="0.3">
      <c r="B39" s="2"/>
      <c r="C39" s="2"/>
      <c r="D39" s="2"/>
      <c r="E39" s="2"/>
      <c r="F39" s="2"/>
      <c r="G39" s="2"/>
      <c r="H39" s="2"/>
      <c r="I39" s="2"/>
      <c r="J39" s="2"/>
      <c r="K39" s="2"/>
      <c r="L39" s="2"/>
      <c r="M39" s="2"/>
      <c r="N39" s="2"/>
      <c r="O39" s="2"/>
      <c r="P39" s="2"/>
      <c r="Q39" s="2"/>
    </row>
    <row r="40" spans="2:17" x14ac:dyDescent="0.3">
      <c r="B40" s="2"/>
      <c r="C40" s="2"/>
      <c r="D40" s="2"/>
      <c r="E40" s="2"/>
      <c r="F40" s="2"/>
      <c r="G40" s="2"/>
      <c r="H40" s="2"/>
      <c r="I40" s="2"/>
      <c r="J40" s="2"/>
      <c r="K40" s="2"/>
      <c r="L40" s="2"/>
      <c r="M40" s="2"/>
      <c r="N40" s="2"/>
      <c r="O40" s="2"/>
      <c r="P40" s="2"/>
      <c r="Q40" s="2"/>
    </row>
    <row r="41" spans="2:17" x14ac:dyDescent="0.3">
      <c r="B41" s="2"/>
      <c r="C41" s="2"/>
      <c r="D41" s="2"/>
      <c r="E41" s="2"/>
      <c r="F41" s="2"/>
      <c r="G41" s="2"/>
      <c r="H41" s="2"/>
      <c r="I41" s="2"/>
      <c r="J41" s="2"/>
      <c r="K41" s="2"/>
      <c r="L41" s="2"/>
      <c r="M41" s="2"/>
      <c r="N41" s="2"/>
      <c r="O41" s="2"/>
      <c r="P41" s="2"/>
      <c r="Q41" s="2"/>
    </row>
    <row r="42" spans="2:17" x14ac:dyDescent="0.3">
      <c r="B42" s="2"/>
      <c r="C42" s="2"/>
      <c r="D42" s="2"/>
      <c r="E42" s="2"/>
      <c r="F42" s="2"/>
      <c r="G42" s="2"/>
      <c r="H42" s="2"/>
      <c r="I42" s="2"/>
      <c r="J42" s="2"/>
      <c r="K42" s="2"/>
      <c r="L42" s="2"/>
      <c r="M42" s="2"/>
      <c r="N42" s="2"/>
      <c r="O42" s="2"/>
      <c r="P42" s="2"/>
      <c r="Q42" s="2"/>
    </row>
    <row r="43" spans="2:17" x14ac:dyDescent="0.3">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
  <sheetViews>
    <sheetView workbookViewId="0">
      <selection activeCell="L18" sqref="L18"/>
    </sheetView>
  </sheetViews>
  <sheetFormatPr defaultColWidth="11.5546875" defaultRowHeight="14.4" x14ac:dyDescent="0.3"/>
  <cols>
    <col min="1" max="1" width="33" customWidth="1"/>
    <col min="2" max="2" width="27.21875" customWidth="1"/>
  </cols>
  <sheetData>
    <row r="1" spans="1:12" x14ac:dyDescent="0.3">
      <c r="A1" s="50" t="s">
        <v>178</v>
      </c>
      <c r="B1" s="50" t="s">
        <v>179</v>
      </c>
      <c r="C1" s="137" t="s">
        <v>292</v>
      </c>
      <c r="D1" s="137" t="s">
        <v>293</v>
      </c>
      <c r="E1" s="137" t="s">
        <v>294</v>
      </c>
      <c r="F1" s="137" t="s">
        <v>295</v>
      </c>
      <c r="G1" s="50" t="s">
        <v>296</v>
      </c>
      <c r="H1" s="50" t="s">
        <v>180</v>
      </c>
      <c r="I1" s="50" t="s">
        <v>181</v>
      </c>
      <c r="J1" s="50" t="s">
        <v>182</v>
      </c>
      <c r="K1" s="50" t="s">
        <v>183</v>
      </c>
      <c r="L1" s="50" t="s">
        <v>184</v>
      </c>
    </row>
    <row r="2" spans="1:12" ht="28.95" customHeight="1" x14ac:dyDescent="0.3">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6">
        <f>Grants!P85</f>
        <v>401.58485200000007</v>
      </c>
      <c r="J2" s="36">
        <f>Grants!Q85</f>
        <v>438.45827479999997</v>
      </c>
      <c r="K2" s="36">
        <f>Grants!R85</f>
        <v>505.04903199999995</v>
      </c>
      <c r="L2" s="36">
        <f>Grants!S85</f>
        <v>492.38786800000003</v>
      </c>
    </row>
    <row r="3" spans="1:12" ht="28.95" customHeight="1" x14ac:dyDescent="0.3">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1818.9020000000003</v>
      </c>
    </row>
    <row r="4" spans="1:12" ht="28.95" customHeight="1" x14ac:dyDescent="0.3">
      <c r="A4" s="14" t="s">
        <v>861</v>
      </c>
      <c r="B4" t="s">
        <v>857</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row>
    <row r="5" spans="1:12" x14ac:dyDescent="0.3">
      <c r="A5" s="14" t="s">
        <v>860</v>
      </c>
      <c r="B5" t="s">
        <v>858</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row>
    <row r="6" spans="1:12" x14ac:dyDescent="0.3">
      <c r="A6" s="36" t="s">
        <v>201</v>
      </c>
      <c r="B6" s="36" t="s">
        <v>899</v>
      </c>
      <c r="C6" s="138">
        <f>Subsidies!J45</f>
        <v>0</v>
      </c>
      <c r="D6" s="138">
        <f>Subsidies!K45</f>
        <v>0</v>
      </c>
      <c r="E6" s="138">
        <f>Subsidies!L45</f>
        <v>0</v>
      </c>
      <c r="F6" s="138">
        <f>Subsidies!M45</f>
        <v>0</v>
      </c>
      <c r="G6" s="138">
        <f>Subsidies!N45</f>
        <v>58.782959999999989</v>
      </c>
      <c r="H6" s="138">
        <f>Subsidies!O45</f>
        <v>267.78904</v>
      </c>
      <c r="I6" s="138">
        <f>Subsidies!P45</f>
        <v>110.24799999999999</v>
      </c>
      <c r="J6" s="138">
        <f>Subsidies!Q45</f>
        <v>110.24799999999999</v>
      </c>
      <c r="K6" s="138">
        <f>Subsidies!R45</f>
        <v>110.24799999999999</v>
      </c>
      <c r="L6" s="138">
        <f>Subsidies!S45</f>
        <v>110.24799999999999</v>
      </c>
    </row>
    <row r="7" spans="1:12" ht="28.95" customHeight="1" x14ac:dyDescent="0.3">
      <c r="A7" s="14" t="s">
        <v>940</v>
      </c>
      <c r="B7" t="s">
        <v>938</v>
      </c>
      <c r="C7" s="36"/>
      <c r="D7" s="36"/>
      <c r="E7" s="36"/>
      <c r="F7" s="36"/>
      <c r="G7" s="36"/>
      <c r="H7" s="36"/>
      <c r="J7" s="136"/>
      <c r="K7" s="136"/>
      <c r="L7" s="136">
        <f>forecast!C21</f>
        <v>334.6</v>
      </c>
    </row>
    <row r="8" spans="1:12" x14ac:dyDescent="0.3">
      <c r="A8" t="s">
        <v>941</v>
      </c>
      <c r="B8" t="s">
        <v>939</v>
      </c>
      <c r="C8" s="36"/>
      <c r="D8" s="36"/>
      <c r="E8" s="36"/>
      <c r="F8" s="36"/>
      <c r="G8" s="36"/>
      <c r="H8" s="36"/>
      <c r="J8" s="136"/>
      <c r="K8" s="136"/>
      <c r="L8" s="136">
        <f>forecast!C22</f>
        <v>101.6</v>
      </c>
    </row>
    <row r="9" spans="1:12" x14ac:dyDescent="0.3">
      <c r="A9" s="14" t="s">
        <v>1018</v>
      </c>
      <c r="B9" t="s">
        <v>1019</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row>
    <row r="10" spans="1:12" x14ac:dyDescent="0.3">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25" zoomScale="61" zoomScaleNormal="143" workbookViewId="0">
      <selection activeCell="S53" sqref="S53"/>
    </sheetView>
  </sheetViews>
  <sheetFormatPr defaultColWidth="11.554687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094" t="s">
        <v>364</v>
      </c>
      <c r="I1" s="1094"/>
      <c r="J1" s="1094"/>
      <c r="K1" s="1094"/>
      <c r="L1" s="1094"/>
      <c r="M1" s="1094"/>
      <c r="N1" s="1094"/>
      <c r="O1" s="1094"/>
      <c r="P1" s="1094"/>
      <c r="Q1" s="1094"/>
      <c r="R1" s="1094"/>
      <c r="S1" s="1094"/>
    </row>
    <row r="2" spans="8:22" x14ac:dyDescent="0.3">
      <c r="H2" s="1093" t="s">
        <v>365</v>
      </c>
      <c r="I2" s="1093"/>
      <c r="J2" s="1093"/>
      <c r="K2" s="1093"/>
      <c r="L2" s="1093"/>
      <c r="M2" s="1093"/>
      <c r="N2" s="1093"/>
      <c r="O2" s="1093"/>
      <c r="P2" s="1093"/>
      <c r="Q2" s="1093"/>
      <c r="R2" s="1093"/>
      <c r="S2" s="1093"/>
    </row>
    <row r="3" spans="8:22" x14ac:dyDescent="0.3">
      <c r="H3" s="1093"/>
      <c r="I3" s="1093"/>
      <c r="J3" s="1093"/>
      <c r="K3" s="1093"/>
      <c r="L3" s="1093"/>
      <c r="M3" s="1093"/>
      <c r="N3" s="1093"/>
      <c r="O3" s="1093"/>
      <c r="P3" s="1093"/>
      <c r="Q3" s="1093"/>
      <c r="R3" s="1093"/>
      <c r="S3" s="1093"/>
    </row>
    <row r="4" spans="8:22" x14ac:dyDescent="0.3">
      <c r="H4" s="1093"/>
      <c r="I4" s="1093"/>
      <c r="J4" s="1093"/>
      <c r="K4" s="1093"/>
      <c r="L4" s="1093"/>
      <c r="M4" s="1093"/>
      <c r="N4" s="1093"/>
      <c r="O4" s="1093"/>
      <c r="P4" s="1093"/>
      <c r="Q4" s="1093"/>
      <c r="R4" s="1093"/>
      <c r="S4" s="1093"/>
    </row>
    <row r="5" spans="8:22" ht="54.75" customHeight="1" x14ac:dyDescent="0.3">
      <c r="H5" s="1093"/>
      <c r="I5" s="1093"/>
      <c r="J5" s="1093"/>
      <c r="K5" s="1093"/>
      <c r="L5" s="1093"/>
      <c r="M5" s="1093"/>
      <c r="N5" s="1093"/>
      <c r="O5" s="1093"/>
      <c r="P5" s="1093"/>
      <c r="Q5" s="1093"/>
      <c r="R5" s="1093"/>
      <c r="S5" s="1093"/>
    </row>
    <row r="6" spans="8:22" x14ac:dyDescent="0.3">
      <c r="H6" s="181"/>
      <c r="I6" s="181"/>
      <c r="J6" s="181"/>
      <c r="K6" s="181"/>
      <c r="L6" s="181"/>
      <c r="M6" s="181"/>
      <c r="N6" s="181"/>
      <c r="O6" s="181"/>
      <c r="P6" s="181"/>
      <c r="Q6" s="181"/>
      <c r="R6" s="181"/>
      <c r="S6" s="181"/>
    </row>
    <row r="7" spans="8:22" x14ac:dyDescent="0.3">
      <c r="H7" s="162" t="s">
        <v>366</v>
      </c>
    </row>
    <row r="8" spans="8:22" ht="16.2" customHeight="1" x14ac:dyDescent="0.3"/>
    <row r="9" spans="8:22" ht="15.75" customHeight="1" x14ac:dyDescent="0.3">
      <c r="L9" s="1095">
        <v>2020</v>
      </c>
      <c r="M9" s="1096"/>
      <c r="N9" s="1096"/>
      <c r="O9" s="189">
        <v>2021</v>
      </c>
      <c r="P9" s="189"/>
      <c r="Q9" s="189"/>
      <c r="R9" s="188"/>
    </row>
    <row r="10" spans="8:22" ht="41.55" customHeight="1" x14ac:dyDescent="0.3">
      <c r="H10" s="193" t="s">
        <v>367</v>
      </c>
      <c r="I10" s="193" t="s">
        <v>368</v>
      </c>
      <c r="J10" s="194" t="s">
        <v>369</v>
      </c>
      <c r="K10" s="150"/>
      <c r="L10" s="185" t="s">
        <v>329</v>
      </c>
      <c r="M10" s="187" t="s">
        <v>238</v>
      </c>
      <c r="N10" s="187" t="s">
        <v>327</v>
      </c>
      <c r="O10" s="187" t="s">
        <v>328</v>
      </c>
      <c r="P10" s="187" t="s">
        <v>329</v>
      </c>
      <c r="Q10" s="187" t="s">
        <v>238</v>
      </c>
      <c r="R10" s="190" t="s">
        <v>327</v>
      </c>
      <c r="S10" s="181" t="s">
        <v>370</v>
      </c>
      <c r="T10" s="150"/>
      <c r="U10" s="150"/>
      <c r="V10" s="150"/>
    </row>
    <row r="11" spans="8:22" x14ac:dyDescent="0.3">
      <c r="H11" s="195">
        <v>43934</v>
      </c>
      <c r="I11" s="139">
        <v>248</v>
      </c>
      <c r="J11" s="154">
        <f>I11</f>
        <v>248</v>
      </c>
      <c r="K11" s="139"/>
      <c r="L11" s="170">
        <f>S11/26*J11</f>
        <v>95.384615384615387</v>
      </c>
      <c r="M11" s="166">
        <f>13/26*J11</f>
        <v>124</v>
      </c>
      <c r="N11" s="166">
        <f>J11-SUM(L11:M11)</f>
        <v>28.615384615384613</v>
      </c>
      <c r="O11" s="166"/>
      <c r="P11" s="166"/>
      <c r="Q11" s="166"/>
      <c r="R11" s="171"/>
      <c r="S11" s="139">
        <v>10</v>
      </c>
      <c r="T11" s="139"/>
      <c r="U11" s="167"/>
      <c r="V11" s="139"/>
    </row>
    <row r="12" spans="8:22" x14ac:dyDescent="0.3">
      <c r="H12" s="168">
        <v>43937</v>
      </c>
      <c r="I12" s="139">
        <v>342</v>
      </c>
      <c r="J12" s="154">
        <f>I12-I11</f>
        <v>94</v>
      </c>
      <c r="K12" s="139"/>
      <c r="L12" s="170">
        <f t="shared" ref="L12:L20" si="0">S12/26*J12</f>
        <v>36.153846153846153</v>
      </c>
      <c r="M12" s="166">
        <f t="shared" ref="M12:M20" si="1">13/26*J12</f>
        <v>47</v>
      </c>
      <c r="N12" s="166">
        <f t="shared" ref="N12:N21" si="2">J12-SUM(L12:M12)</f>
        <v>10.84615384615384</v>
      </c>
      <c r="O12" s="166"/>
      <c r="P12" s="166"/>
      <c r="Q12" s="166"/>
      <c r="R12" s="171"/>
      <c r="S12" s="139">
        <v>10</v>
      </c>
      <c r="T12" s="139"/>
      <c r="U12" s="139"/>
      <c r="V12" s="139"/>
    </row>
    <row r="13" spans="8:22" x14ac:dyDescent="0.3">
      <c r="H13" s="168">
        <v>43952</v>
      </c>
      <c r="I13" s="139">
        <v>518</v>
      </c>
      <c r="J13" s="154">
        <f>I13-I12</f>
        <v>176</v>
      </c>
      <c r="K13" s="139"/>
      <c r="L13" s="170">
        <f t="shared" si="0"/>
        <v>54.15384615384616</v>
      </c>
      <c r="M13" s="166">
        <f t="shared" si="1"/>
        <v>88</v>
      </c>
      <c r="N13" s="166">
        <f t="shared" si="2"/>
        <v>33.84615384615384</v>
      </c>
      <c r="O13" s="166"/>
      <c r="P13" s="166"/>
      <c r="Q13" s="166"/>
      <c r="R13" s="171"/>
      <c r="S13" s="139">
        <v>8</v>
      </c>
      <c r="T13" s="139"/>
      <c r="U13" s="139"/>
      <c r="V13" s="139"/>
    </row>
    <row r="14" spans="8:22" x14ac:dyDescent="0.3">
      <c r="H14" s="168">
        <v>43959</v>
      </c>
      <c r="I14" s="139">
        <v>531</v>
      </c>
      <c r="J14" s="154">
        <f t="shared" ref="J14:J45" si="3">I14-I13</f>
        <v>13</v>
      </c>
      <c r="K14" s="139"/>
      <c r="L14" s="170">
        <f t="shared" si="0"/>
        <v>3.5</v>
      </c>
      <c r="M14" s="166">
        <f t="shared" si="1"/>
        <v>6.5</v>
      </c>
      <c r="N14" s="166">
        <f t="shared" si="2"/>
        <v>3</v>
      </c>
      <c r="O14" s="166"/>
      <c r="P14" s="166"/>
      <c r="Q14" s="166"/>
      <c r="R14" s="171"/>
      <c r="S14" s="139">
        <f t="shared" ref="S14:S20" si="4">S13-1</f>
        <v>7</v>
      </c>
      <c r="T14" s="139"/>
      <c r="U14" s="139"/>
      <c r="V14" s="139"/>
    </row>
    <row r="15" spans="8:22" x14ac:dyDescent="0.3">
      <c r="H15" s="168">
        <v>43967</v>
      </c>
      <c r="I15" s="139">
        <v>513</v>
      </c>
      <c r="J15" s="154">
        <f t="shared" si="3"/>
        <v>-18</v>
      </c>
      <c r="K15" s="139"/>
      <c r="L15" s="170">
        <f t="shared" ref="L15:L17" si="5">S15/26*J15</f>
        <v>-4.1538461538461542</v>
      </c>
      <c r="M15" s="166">
        <f t="shared" ref="M15:M17" si="6">13/26*J15</f>
        <v>-9</v>
      </c>
      <c r="N15" s="166">
        <f t="shared" ref="N15:N17" si="7">J15-SUM(L15:M15)</f>
        <v>-4.8461538461538467</v>
      </c>
      <c r="O15" s="166"/>
      <c r="P15" s="166"/>
      <c r="Q15" s="166"/>
      <c r="R15" s="171"/>
      <c r="S15" s="139">
        <f t="shared" si="4"/>
        <v>6</v>
      </c>
      <c r="T15" s="139"/>
      <c r="U15" s="139"/>
      <c r="V15" s="139"/>
    </row>
    <row r="16" spans="8:22" x14ac:dyDescent="0.3">
      <c r="H16" s="168">
        <v>43974</v>
      </c>
      <c r="I16" s="139">
        <v>511</v>
      </c>
      <c r="J16" s="154">
        <f t="shared" si="3"/>
        <v>-2</v>
      </c>
      <c r="K16" s="139"/>
      <c r="L16" s="170">
        <f t="shared" si="5"/>
        <v>-0.38461538461538464</v>
      </c>
      <c r="M16" s="166">
        <f t="shared" si="6"/>
        <v>-1</v>
      </c>
      <c r="N16" s="166">
        <f t="shared" si="7"/>
        <v>-0.61538461538461542</v>
      </c>
      <c r="O16" s="166"/>
      <c r="P16" s="166"/>
      <c r="Q16" s="166"/>
      <c r="R16" s="171"/>
      <c r="S16" s="139">
        <f t="shared" si="4"/>
        <v>5</v>
      </c>
      <c r="T16" s="139"/>
      <c r="U16" s="139"/>
      <c r="V16" s="139"/>
    </row>
    <row r="17" spans="8:22" x14ac:dyDescent="0.3">
      <c r="H17" s="168">
        <v>43981</v>
      </c>
      <c r="I17" s="139">
        <v>510</v>
      </c>
      <c r="J17" s="154">
        <f t="shared" si="3"/>
        <v>-1</v>
      </c>
      <c r="K17" s="139"/>
      <c r="L17" s="170">
        <f t="shared" si="5"/>
        <v>-0.15384615384615385</v>
      </c>
      <c r="M17" s="166">
        <f t="shared" si="6"/>
        <v>-0.5</v>
      </c>
      <c r="N17" s="166">
        <f t="shared" si="7"/>
        <v>-0.34615384615384615</v>
      </c>
      <c r="O17" s="166"/>
      <c r="P17" s="166"/>
      <c r="Q17" s="166"/>
      <c r="R17" s="171"/>
      <c r="S17" s="139">
        <f t="shared" si="4"/>
        <v>4</v>
      </c>
      <c r="T17" s="139"/>
      <c r="U17" s="139"/>
      <c r="V17" s="139"/>
    </row>
    <row r="18" spans="8:22" x14ac:dyDescent="0.3">
      <c r="H18" s="168">
        <v>43988</v>
      </c>
      <c r="I18" s="139">
        <v>511</v>
      </c>
      <c r="J18" s="154">
        <f t="shared" si="3"/>
        <v>1</v>
      </c>
      <c r="K18" s="139"/>
      <c r="L18" s="170">
        <f t="shared" si="0"/>
        <v>0.11538461538461539</v>
      </c>
      <c r="M18" s="166">
        <f t="shared" si="1"/>
        <v>0.5</v>
      </c>
      <c r="N18" s="166">
        <f t="shared" si="2"/>
        <v>0.38461538461538458</v>
      </c>
      <c r="O18" s="166"/>
      <c r="P18" s="166"/>
      <c r="Q18" s="166"/>
      <c r="R18" s="171"/>
      <c r="S18" s="139">
        <f t="shared" si="4"/>
        <v>3</v>
      </c>
      <c r="T18" s="139"/>
      <c r="U18" s="139"/>
      <c r="V18" s="139"/>
    </row>
    <row r="19" spans="8:22" x14ac:dyDescent="0.3">
      <c r="H19" s="168">
        <v>43994</v>
      </c>
      <c r="I19" s="139">
        <v>512</v>
      </c>
      <c r="J19" s="154">
        <f t="shared" si="3"/>
        <v>1</v>
      </c>
      <c r="K19" s="139"/>
      <c r="L19" s="170">
        <f t="shared" si="0"/>
        <v>7.6923076923076927E-2</v>
      </c>
      <c r="M19" s="166">
        <f t="shared" si="1"/>
        <v>0.5</v>
      </c>
      <c r="N19" s="166">
        <f t="shared" si="2"/>
        <v>0.42307692307692313</v>
      </c>
      <c r="O19" s="166"/>
      <c r="P19" s="166"/>
      <c r="Q19" s="166"/>
      <c r="R19" s="171"/>
      <c r="S19" s="139">
        <f t="shared" si="4"/>
        <v>2</v>
      </c>
      <c r="T19" s="139"/>
      <c r="U19" s="139"/>
      <c r="V19" s="139"/>
    </row>
    <row r="20" spans="8:22" x14ac:dyDescent="0.3">
      <c r="H20" s="168">
        <v>44002</v>
      </c>
      <c r="I20" s="139">
        <v>515</v>
      </c>
      <c r="J20" s="154">
        <f t="shared" si="3"/>
        <v>3</v>
      </c>
      <c r="K20" s="139"/>
      <c r="L20" s="170">
        <f t="shared" si="0"/>
        <v>0.11538461538461539</v>
      </c>
      <c r="M20" s="166">
        <f t="shared" si="1"/>
        <v>1.5</v>
      </c>
      <c r="N20" s="166">
        <f t="shared" si="2"/>
        <v>1.3846153846153846</v>
      </c>
      <c r="O20" s="166"/>
      <c r="P20" s="166"/>
      <c r="Q20" s="166"/>
      <c r="R20" s="171"/>
      <c r="S20" s="139">
        <f t="shared" si="4"/>
        <v>1</v>
      </c>
      <c r="T20" s="139"/>
      <c r="U20" s="139"/>
      <c r="V20" s="139"/>
    </row>
    <row r="21" spans="8:22" x14ac:dyDescent="0.3">
      <c r="H21" s="168">
        <v>44009</v>
      </c>
      <c r="I21" s="139">
        <v>519</v>
      </c>
      <c r="J21" s="154">
        <f t="shared" si="3"/>
        <v>4</v>
      </c>
      <c r="K21" s="139"/>
      <c r="L21" s="170"/>
      <c r="M21" s="166">
        <f>S21/26*J21</f>
        <v>2</v>
      </c>
      <c r="N21" s="166">
        <f t="shared" si="2"/>
        <v>2</v>
      </c>
      <c r="O21" s="166"/>
      <c r="P21" s="166"/>
      <c r="Q21" s="166"/>
      <c r="R21" s="171"/>
      <c r="S21" s="139">
        <v>13</v>
      </c>
      <c r="T21" s="139"/>
      <c r="U21" s="139"/>
      <c r="V21" s="139"/>
    </row>
    <row r="22" spans="8:22" x14ac:dyDescent="0.3">
      <c r="H22" s="168">
        <v>44012</v>
      </c>
      <c r="I22" s="139">
        <v>521</v>
      </c>
      <c r="J22" s="154">
        <f t="shared" si="3"/>
        <v>2</v>
      </c>
      <c r="K22" s="139"/>
      <c r="L22" s="170"/>
      <c r="M22" s="166">
        <f t="shared" ref="M22:M26" si="8">S22/26*J22</f>
        <v>1</v>
      </c>
      <c r="N22" s="166">
        <f>J22-SUM(L22:M22)</f>
        <v>1</v>
      </c>
      <c r="O22" s="166"/>
      <c r="P22" s="166"/>
      <c r="Q22" s="166"/>
      <c r="R22" s="171"/>
      <c r="S22" s="139">
        <v>13</v>
      </c>
      <c r="T22" s="139"/>
      <c r="U22" s="139"/>
      <c r="V22" s="139"/>
    </row>
    <row r="23" spans="8:22" x14ac:dyDescent="0.3">
      <c r="H23" s="168">
        <v>44029</v>
      </c>
      <c r="I23" s="139">
        <v>518</v>
      </c>
      <c r="J23" s="154">
        <f t="shared" si="3"/>
        <v>-3</v>
      </c>
      <c r="K23" s="139"/>
      <c r="L23" s="170"/>
      <c r="M23" s="166">
        <f t="shared" ref="M23" si="9">S23/26*J23</f>
        <v>-1.153846153846154</v>
      </c>
      <c r="N23" s="166">
        <f t="shared" ref="N23" si="10">13/26*J23</f>
        <v>-1.5</v>
      </c>
      <c r="O23" s="166">
        <f t="shared" ref="O23" si="11">J23-N23-M23</f>
        <v>-0.34615384615384603</v>
      </c>
      <c r="P23" s="166"/>
      <c r="Q23" s="166"/>
      <c r="R23" s="171"/>
      <c r="S23" s="139">
        <f>S22-3</f>
        <v>10</v>
      </c>
      <c r="T23" s="139"/>
      <c r="U23" s="139"/>
      <c r="V23" s="139"/>
    </row>
    <row r="24" spans="8:22" x14ac:dyDescent="0.3">
      <c r="H24" s="168">
        <v>44036</v>
      </c>
      <c r="I24" s="139">
        <v>520</v>
      </c>
      <c r="J24" s="154">
        <f t="shared" si="3"/>
        <v>2</v>
      </c>
      <c r="K24" s="139"/>
      <c r="L24" s="170"/>
      <c r="M24" s="166">
        <f t="shared" si="8"/>
        <v>0.69230769230769229</v>
      </c>
      <c r="N24" s="166">
        <f t="shared" ref="N24:N26" si="12">13/26*J24</f>
        <v>1</v>
      </c>
      <c r="O24" s="166">
        <f t="shared" ref="O24:O26" si="13">J24-N24-M24</f>
        <v>0.30769230769230771</v>
      </c>
      <c r="P24" s="166"/>
      <c r="Q24" s="166"/>
      <c r="R24" s="171"/>
      <c r="S24" s="139">
        <f>S23-1</f>
        <v>9</v>
      </c>
      <c r="T24" s="139"/>
      <c r="U24" s="139"/>
      <c r="V24" s="139"/>
    </row>
    <row r="25" spans="8:22" x14ac:dyDescent="0.3">
      <c r="H25" s="168">
        <v>44043</v>
      </c>
      <c r="I25" s="139">
        <v>521</v>
      </c>
      <c r="J25" s="154">
        <f t="shared" si="3"/>
        <v>1</v>
      </c>
      <c r="K25" s="139"/>
      <c r="L25" s="170"/>
      <c r="M25" s="166">
        <f t="shared" si="8"/>
        <v>0.30769230769230771</v>
      </c>
      <c r="N25" s="166">
        <f t="shared" si="12"/>
        <v>0.5</v>
      </c>
      <c r="O25" s="166">
        <f t="shared" si="13"/>
        <v>0.19230769230769229</v>
      </c>
      <c r="P25" s="166"/>
      <c r="Q25" s="166"/>
      <c r="R25" s="171"/>
      <c r="S25" s="139">
        <f>S24-1</f>
        <v>8</v>
      </c>
      <c r="T25" s="139"/>
      <c r="U25" s="139"/>
      <c r="V25" s="139"/>
    </row>
    <row r="26" spans="8:22" x14ac:dyDescent="0.3">
      <c r="H26" s="168">
        <v>44051</v>
      </c>
      <c r="I26" s="139">
        <v>525</v>
      </c>
      <c r="J26" s="154">
        <f t="shared" si="3"/>
        <v>4</v>
      </c>
      <c r="K26" s="139"/>
      <c r="L26" s="170"/>
      <c r="M26" s="166">
        <f t="shared" si="8"/>
        <v>1.0769230769230769</v>
      </c>
      <c r="N26" s="166">
        <f t="shared" si="12"/>
        <v>2</v>
      </c>
      <c r="O26" s="166">
        <f t="shared" si="13"/>
        <v>0.92307692307692313</v>
      </c>
      <c r="P26" s="166"/>
      <c r="Q26" s="166"/>
      <c r="R26" s="171"/>
      <c r="S26" s="139">
        <f>S25-1</f>
        <v>7</v>
      </c>
      <c r="T26" s="139"/>
      <c r="U26" s="139"/>
      <c r="V26" s="139"/>
    </row>
    <row r="27" spans="8:22" x14ac:dyDescent="0.3">
      <c r="H27" s="168">
        <v>44220</v>
      </c>
      <c r="I27" s="139">
        <v>558</v>
      </c>
      <c r="J27" s="154">
        <f t="shared" si="3"/>
        <v>33</v>
      </c>
      <c r="K27" s="139"/>
      <c r="L27" s="170"/>
      <c r="M27" s="166"/>
      <c r="N27" s="166"/>
      <c r="O27" s="166">
        <f>S27/26*J27</f>
        <v>12.692307692307693</v>
      </c>
      <c r="P27" s="166">
        <f>J27/2</f>
        <v>16.5</v>
      </c>
      <c r="Q27" s="166">
        <f>J27-P27-O27</f>
        <v>3.8076923076923066</v>
      </c>
      <c r="R27" s="171"/>
      <c r="S27" s="139">
        <v>10</v>
      </c>
      <c r="T27" s="139">
        <v>10</v>
      </c>
      <c r="U27" s="139"/>
      <c r="V27" s="139"/>
    </row>
    <row r="28" spans="8:22" x14ac:dyDescent="0.3">
      <c r="H28" s="168">
        <v>44227</v>
      </c>
      <c r="I28" s="139">
        <v>596</v>
      </c>
      <c r="J28" s="154">
        <f t="shared" si="3"/>
        <v>38</v>
      </c>
      <c r="K28" s="139"/>
      <c r="L28" s="170"/>
      <c r="M28" s="166"/>
      <c r="N28" s="166"/>
      <c r="O28" s="166">
        <f t="shared" ref="O28:O36" si="14">S28/26*J28</f>
        <v>13.153846153846153</v>
      </c>
      <c r="P28" s="166">
        <f t="shared" ref="P28:P36" si="15">J28/2</f>
        <v>19</v>
      </c>
      <c r="Q28" s="166">
        <f t="shared" ref="Q28:Q36" si="16">J28-P28-O28</f>
        <v>5.8461538461538467</v>
      </c>
      <c r="R28" s="171"/>
      <c r="S28" s="139">
        <f>S27-1</f>
        <v>9</v>
      </c>
      <c r="T28" s="139">
        <f>T27-1</f>
        <v>9</v>
      </c>
      <c r="U28" s="139"/>
      <c r="V28" s="139"/>
    </row>
    <row r="29" spans="8:22" x14ac:dyDescent="0.3">
      <c r="H29" s="168">
        <v>44234</v>
      </c>
      <c r="I29" s="139">
        <v>623</v>
      </c>
      <c r="J29" s="154">
        <f t="shared" si="3"/>
        <v>27</v>
      </c>
      <c r="K29" s="139"/>
      <c r="L29" s="170"/>
      <c r="M29" s="166"/>
      <c r="N29" s="166"/>
      <c r="O29" s="166">
        <f t="shared" si="14"/>
        <v>8.3076923076923084</v>
      </c>
      <c r="P29" s="166">
        <f t="shared" si="15"/>
        <v>13.5</v>
      </c>
      <c r="Q29" s="166">
        <f t="shared" si="16"/>
        <v>5.1923076923076916</v>
      </c>
      <c r="R29" s="171"/>
      <c r="S29" s="139">
        <f t="shared" ref="S29:S36" si="17">S28-1</f>
        <v>8</v>
      </c>
      <c r="T29" s="139">
        <f t="shared" ref="T29:T36" si="18">T28-1</f>
        <v>8</v>
      </c>
      <c r="U29" s="139"/>
      <c r="V29" s="139"/>
    </row>
    <row r="30" spans="8:22" x14ac:dyDescent="0.3">
      <c r="H30" s="168">
        <v>44242</v>
      </c>
      <c r="I30" s="139">
        <v>648</v>
      </c>
      <c r="J30" s="154">
        <f t="shared" si="3"/>
        <v>25</v>
      </c>
      <c r="K30" s="139"/>
      <c r="L30" s="170"/>
      <c r="M30" s="166"/>
      <c r="N30" s="166"/>
      <c r="O30" s="166">
        <f t="shared" si="14"/>
        <v>6.7307692307692308</v>
      </c>
      <c r="P30" s="166">
        <f t="shared" si="15"/>
        <v>12.5</v>
      </c>
      <c r="Q30" s="166">
        <f t="shared" si="16"/>
        <v>5.7692307692307692</v>
      </c>
      <c r="R30" s="171"/>
      <c r="S30" s="139">
        <f t="shared" si="17"/>
        <v>7</v>
      </c>
      <c r="T30" s="139">
        <f t="shared" si="18"/>
        <v>7</v>
      </c>
      <c r="U30" s="139"/>
      <c r="V30" s="139"/>
    </row>
    <row r="31" spans="8:22" x14ac:dyDescent="0.3">
      <c r="H31" s="168">
        <v>44248</v>
      </c>
      <c r="I31" s="139">
        <v>663</v>
      </c>
      <c r="J31" s="154">
        <f t="shared" si="3"/>
        <v>15</v>
      </c>
      <c r="K31" s="139"/>
      <c r="L31" s="170"/>
      <c r="M31" s="166"/>
      <c r="N31" s="166"/>
      <c r="O31" s="166">
        <f t="shared" si="14"/>
        <v>3.4615384615384617</v>
      </c>
      <c r="P31" s="166">
        <f t="shared" si="15"/>
        <v>7.5</v>
      </c>
      <c r="Q31" s="166">
        <f t="shared" si="16"/>
        <v>4.0384615384615383</v>
      </c>
      <c r="R31" s="171"/>
      <c r="S31" s="139">
        <f t="shared" si="17"/>
        <v>6</v>
      </c>
      <c r="T31" s="139">
        <f t="shared" si="18"/>
        <v>6</v>
      </c>
      <c r="U31" s="139"/>
      <c r="V31" s="139"/>
    </row>
    <row r="32" spans="8:22" x14ac:dyDescent="0.3">
      <c r="H32" s="168">
        <v>44255</v>
      </c>
      <c r="I32" s="139">
        <v>679</v>
      </c>
      <c r="J32" s="154">
        <f t="shared" si="3"/>
        <v>16</v>
      </c>
      <c r="K32" s="139"/>
      <c r="L32" s="170"/>
      <c r="M32" s="166"/>
      <c r="N32" s="166"/>
      <c r="O32" s="166">
        <f t="shared" si="14"/>
        <v>3.0769230769230771</v>
      </c>
      <c r="P32" s="166">
        <f t="shared" si="15"/>
        <v>8</v>
      </c>
      <c r="Q32" s="166">
        <f t="shared" si="16"/>
        <v>4.9230769230769234</v>
      </c>
      <c r="R32" s="171"/>
      <c r="S32" s="139">
        <f t="shared" si="17"/>
        <v>5</v>
      </c>
      <c r="T32" s="139">
        <f t="shared" si="18"/>
        <v>5</v>
      </c>
      <c r="U32" s="139"/>
      <c r="V32" s="139"/>
    </row>
    <row r="33" spans="8:22" x14ac:dyDescent="0.3">
      <c r="H33" s="168">
        <v>44262</v>
      </c>
      <c r="I33" s="139">
        <v>687</v>
      </c>
      <c r="J33" s="154">
        <f t="shared" si="3"/>
        <v>8</v>
      </c>
      <c r="K33" s="139"/>
      <c r="L33" s="170"/>
      <c r="M33" s="166"/>
      <c r="N33" s="166"/>
      <c r="O33" s="166">
        <f t="shared" si="14"/>
        <v>1.2307692307692308</v>
      </c>
      <c r="P33" s="166">
        <f t="shared" si="15"/>
        <v>4</v>
      </c>
      <c r="Q33" s="166">
        <f t="shared" si="16"/>
        <v>2.7692307692307692</v>
      </c>
      <c r="R33" s="171"/>
      <c r="S33" s="139">
        <f t="shared" si="17"/>
        <v>4</v>
      </c>
      <c r="T33" s="139">
        <f t="shared" si="18"/>
        <v>4</v>
      </c>
      <c r="U33" s="139"/>
      <c r="V33" s="139"/>
    </row>
    <row r="34" spans="8:22" x14ac:dyDescent="0.3">
      <c r="H34" s="168">
        <v>44269</v>
      </c>
      <c r="I34" s="139">
        <v>704</v>
      </c>
      <c r="J34" s="154">
        <f t="shared" si="3"/>
        <v>17</v>
      </c>
      <c r="K34" s="139"/>
      <c r="L34" s="170"/>
      <c r="M34" s="166"/>
      <c r="N34" s="166"/>
      <c r="O34" s="166">
        <f t="shared" si="14"/>
        <v>1.9615384615384617</v>
      </c>
      <c r="P34" s="166">
        <f t="shared" si="15"/>
        <v>8.5</v>
      </c>
      <c r="Q34" s="166">
        <f t="shared" si="16"/>
        <v>6.5384615384615383</v>
      </c>
      <c r="R34" s="171"/>
      <c r="S34" s="139">
        <f t="shared" si="17"/>
        <v>3</v>
      </c>
      <c r="T34" s="139">
        <f t="shared" si="18"/>
        <v>3</v>
      </c>
      <c r="U34" s="139"/>
      <c r="V34" s="139"/>
    </row>
    <row r="35" spans="8:22" x14ac:dyDescent="0.3">
      <c r="H35" s="168">
        <v>44276</v>
      </c>
      <c r="I35" s="139">
        <v>718</v>
      </c>
      <c r="J35" s="154">
        <f t="shared" si="3"/>
        <v>14</v>
      </c>
      <c r="K35" s="139"/>
      <c r="L35" s="170"/>
      <c r="M35" s="166"/>
      <c r="N35" s="166"/>
      <c r="O35" s="166">
        <f t="shared" si="14"/>
        <v>1.0769230769230771</v>
      </c>
      <c r="P35" s="166">
        <f t="shared" si="15"/>
        <v>7</v>
      </c>
      <c r="Q35" s="166">
        <f t="shared" si="16"/>
        <v>5.9230769230769234</v>
      </c>
      <c r="R35" s="171"/>
      <c r="S35" s="139">
        <f t="shared" si="17"/>
        <v>2</v>
      </c>
      <c r="T35" s="139">
        <f t="shared" si="18"/>
        <v>2</v>
      </c>
      <c r="U35" s="139"/>
      <c r="V35" s="139"/>
    </row>
    <row r="36" spans="8:22" x14ac:dyDescent="0.3">
      <c r="H36" s="168">
        <v>44283</v>
      </c>
      <c r="I36" s="139">
        <v>734</v>
      </c>
      <c r="J36" s="154">
        <f t="shared" si="3"/>
        <v>16</v>
      </c>
      <c r="K36" s="139"/>
      <c r="L36" s="170"/>
      <c r="M36" s="166"/>
      <c r="N36" s="166"/>
      <c r="O36" s="166">
        <f t="shared" si="14"/>
        <v>0.61538461538461542</v>
      </c>
      <c r="P36" s="166">
        <f t="shared" si="15"/>
        <v>8</v>
      </c>
      <c r="Q36" s="166">
        <f t="shared" si="16"/>
        <v>7.384615384615385</v>
      </c>
      <c r="R36" s="171"/>
      <c r="S36" s="139">
        <f t="shared" si="17"/>
        <v>1</v>
      </c>
      <c r="T36" s="139">
        <f t="shared" si="18"/>
        <v>1</v>
      </c>
      <c r="U36" s="139"/>
      <c r="V36" s="139"/>
    </row>
    <row r="37" spans="8:22" x14ac:dyDescent="0.3">
      <c r="H37" s="168">
        <v>44290</v>
      </c>
      <c r="I37" s="139">
        <v>746</v>
      </c>
      <c r="J37" s="154">
        <f t="shared" si="3"/>
        <v>12</v>
      </c>
      <c r="K37" s="139"/>
      <c r="L37" s="170"/>
      <c r="M37" s="166"/>
      <c r="N37" s="166"/>
      <c r="O37" s="166"/>
      <c r="P37" s="166">
        <f>T37/26*J37</f>
        <v>6</v>
      </c>
      <c r="Q37" s="166">
        <f>J37/2</f>
        <v>6</v>
      </c>
      <c r="R37" s="171">
        <f>J37-Q37-P37</f>
        <v>0</v>
      </c>
      <c r="S37" s="139">
        <v>13</v>
      </c>
      <c r="T37" s="139">
        <v>13</v>
      </c>
      <c r="U37" s="139"/>
      <c r="V37" s="139"/>
    </row>
    <row r="38" spans="8:22" x14ac:dyDescent="0.3">
      <c r="H38" s="168">
        <v>44297</v>
      </c>
      <c r="I38" s="139">
        <v>755</v>
      </c>
      <c r="J38" s="154">
        <f t="shared" si="3"/>
        <v>9</v>
      </c>
      <c r="K38" s="139"/>
      <c r="L38" s="170"/>
      <c r="M38" s="166"/>
      <c r="N38" s="166"/>
      <c r="O38" s="166"/>
      <c r="P38" s="166">
        <f t="shared" ref="P38:P45" si="19">T38/26*J38</f>
        <v>4.1538461538461542</v>
      </c>
      <c r="Q38" s="166">
        <f t="shared" ref="Q38:Q45" si="20">J38/2</f>
        <v>4.5</v>
      </c>
      <c r="R38" s="171">
        <f t="shared" ref="R38:R45" si="21">J38-Q38-P38</f>
        <v>0.34615384615384581</v>
      </c>
      <c r="S38" s="139">
        <f>S37-1</f>
        <v>12</v>
      </c>
      <c r="T38" s="139">
        <f>T37-1</f>
        <v>12</v>
      </c>
      <c r="U38" s="139"/>
      <c r="V38" s="139"/>
    </row>
    <row r="39" spans="8:22" x14ac:dyDescent="0.3">
      <c r="H39" s="168">
        <v>44304</v>
      </c>
      <c r="I39" s="139">
        <v>762</v>
      </c>
      <c r="J39" s="154">
        <f t="shared" si="3"/>
        <v>7</v>
      </c>
      <c r="K39" s="139"/>
      <c r="L39" s="170"/>
      <c r="M39" s="166"/>
      <c r="N39" s="166"/>
      <c r="O39" s="166"/>
      <c r="P39" s="166">
        <f t="shared" si="19"/>
        <v>2.9615384615384617</v>
      </c>
      <c r="Q39" s="166">
        <f t="shared" si="20"/>
        <v>3.5</v>
      </c>
      <c r="R39" s="171">
        <f t="shared" si="21"/>
        <v>0.53846153846153832</v>
      </c>
      <c r="S39" s="139">
        <f t="shared" ref="S39:S45" si="22">S38-1</f>
        <v>11</v>
      </c>
      <c r="T39" s="139">
        <f t="shared" ref="T39:T45" si="23">T38-1</f>
        <v>11</v>
      </c>
      <c r="U39" s="139"/>
      <c r="V39" s="139"/>
    </row>
    <row r="40" spans="8:22" x14ac:dyDescent="0.3">
      <c r="H40" s="168">
        <v>44311</v>
      </c>
      <c r="I40" s="139">
        <v>771</v>
      </c>
      <c r="J40" s="154">
        <f t="shared" si="3"/>
        <v>9</v>
      </c>
      <c r="K40" s="139"/>
      <c r="L40" s="170"/>
      <c r="M40" s="166"/>
      <c r="N40" s="166"/>
      <c r="O40" s="166"/>
      <c r="P40" s="166">
        <f t="shared" si="19"/>
        <v>3.4615384615384617</v>
      </c>
      <c r="Q40" s="166">
        <f t="shared" si="20"/>
        <v>4.5</v>
      </c>
      <c r="R40" s="171">
        <f t="shared" si="21"/>
        <v>1.0384615384615383</v>
      </c>
      <c r="S40" s="139">
        <f t="shared" si="22"/>
        <v>10</v>
      </c>
      <c r="T40" s="139">
        <f t="shared" si="23"/>
        <v>10</v>
      </c>
      <c r="U40" s="139"/>
      <c r="V40" s="139"/>
    </row>
    <row r="41" spans="8:22" x14ac:dyDescent="0.3">
      <c r="H41" s="168">
        <v>44318</v>
      </c>
      <c r="I41" s="139">
        <v>780</v>
      </c>
      <c r="J41" s="154">
        <f t="shared" si="3"/>
        <v>9</v>
      </c>
      <c r="K41" s="139"/>
      <c r="L41" s="170"/>
      <c r="M41" s="166"/>
      <c r="N41" s="166"/>
      <c r="O41" s="166"/>
      <c r="P41" s="166">
        <f t="shared" si="19"/>
        <v>3.1153846153846154</v>
      </c>
      <c r="Q41" s="166">
        <f t="shared" si="20"/>
        <v>4.5</v>
      </c>
      <c r="R41" s="171">
        <f t="shared" si="21"/>
        <v>1.3846153846153846</v>
      </c>
      <c r="S41" s="139">
        <f t="shared" si="22"/>
        <v>9</v>
      </c>
      <c r="T41" s="139">
        <f t="shared" si="23"/>
        <v>9</v>
      </c>
      <c r="U41" s="139"/>
      <c r="V41" s="139"/>
    </row>
    <row r="42" spans="8:22" x14ac:dyDescent="0.3">
      <c r="H42" s="168">
        <v>44325</v>
      </c>
      <c r="I42" s="139">
        <v>782</v>
      </c>
      <c r="J42" s="154">
        <f t="shared" si="3"/>
        <v>2</v>
      </c>
      <c r="K42" s="139"/>
      <c r="L42" s="170"/>
      <c r="M42" s="166"/>
      <c r="N42" s="166"/>
      <c r="O42" s="166"/>
      <c r="P42" s="166">
        <f t="shared" si="19"/>
        <v>0.61538461538461542</v>
      </c>
      <c r="Q42" s="166">
        <f t="shared" si="20"/>
        <v>1</v>
      </c>
      <c r="R42" s="171">
        <f t="shared" si="21"/>
        <v>0.38461538461538458</v>
      </c>
      <c r="S42" s="139">
        <f t="shared" si="22"/>
        <v>8</v>
      </c>
      <c r="T42" s="139">
        <f t="shared" si="23"/>
        <v>8</v>
      </c>
      <c r="U42" s="139"/>
      <c r="V42" s="139"/>
    </row>
    <row r="43" spans="8:22" x14ac:dyDescent="0.3">
      <c r="H43" s="168">
        <v>44332</v>
      </c>
      <c r="I43" s="139">
        <v>788</v>
      </c>
      <c r="J43" s="154">
        <f t="shared" si="3"/>
        <v>6</v>
      </c>
      <c r="K43" s="139"/>
      <c r="L43" s="170"/>
      <c r="M43" s="166"/>
      <c r="N43" s="166"/>
      <c r="O43" s="166"/>
      <c r="P43" s="166">
        <f t="shared" si="19"/>
        <v>1.6153846153846154</v>
      </c>
      <c r="Q43" s="166">
        <f t="shared" si="20"/>
        <v>3</v>
      </c>
      <c r="R43" s="171">
        <f t="shared" si="21"/>
        <v>1.3846153846153846</v>
      </c>
      <c r="S43" s="139">
        <f t="shared" si="22"/>
        <v>7</v>
      </c>
      <c r="T43" s="139">
        <f t="shared" si="23"/>
        <v>7</v>
      </c>
      <c r="U43" s="139"/>
      <c r="V43" s="139"/>
    </row>
    <row r="44" spans="8:22" x14ac:dyDescent="0.3">
      <c r="H44" s="168">
        <v>44339</v>
      </c>
      <c r="I44" s="139">
        <v>796</v>
      </c>
      <c r="J44" s="154">
        <f t="shared" si="3"/>
        <v>8</v>
      </c>
      <c r="K44" s="139"/>
      <c r="L44" s="170"/>
      <c r="M44" s="166"/>
      <c r="N44" s="166"/>
      <c r="O44" s="166"/>
      <c r="P44" s="166">
        <f t="shared" si="19"/>
        <v>1.8461538461538463</v>
      </c>
      <c r="Q44" s="166">
        <f t="shared" si="20"/>
        <v>4</v>
      </c>
      <c r="R44" s="171">
        <f t="shared" si="21"/>
        <v>2.1538461538461537</v>
      </c>
      <c r="S44" s="139">
        <f t="shared" si="22"/>
        <v>6</v>
      </c>
      <c r="T44" s="139">
        <f t="shared" si="23"/>
        <v>6</v>
      </c>
      <c r="U44" s="139"/>
      <c r="V44" s="139"/>
    </row>
    <row r="45" spans="8:22" x14ac:dyDescent="0.3">
      <c r="H45" s="169">
        <v>44347</v>
      </c>
      <c r="I45" s="157">
        <v>800</v>
      </c>
      <c r="J45" s="161">
        <f t="shared" si="3"/>
        <v>4</v>
      </c>
      <c r="K45" s="139"/>
      <c r="L45" s="170"/>
      <c r="M45" s="166"/>
      <c r="N45" s="166"/>
      <c r="O45" s="166"/>
      <c r="P45" s="166">
        <f t="shared" si="19"/>
        <v>0.76923076923076927</v>
      </c>
      <c r="Q45" s="166">
        <f t="shared" si="20"/>
        <v>2</v>
      </c>
      <c r="R45" s="171">
        <f t="shared" si="21"/>
        <v>1.2307692307692308</v>
      </c>
      <c r="S45" s="139">
        <f t="shared" si="22"/>
        <v>5</v>
      </c>
      <c r="T45" s="139">
        <f t="shared" si="23"/>
        <v>5</v>
      </c>
      <c r="U45" s="139"/>
      <c r="V45" s="139"/>
    </row>
    <row r="46" spans="8:22" x14ac:dyDescent="0.3">
      <c r="H46" s="139"/>
      <c r="I46" s="139"/>
      <c r="J46" s="139"/>
      <c r="K46" s="139"/>
      <c r="L46" s="170">
        <f>SUM(L11:L45)</f>
        <v>184.80769230769229</v>
      </c>
      <c r="M46" s="166">
        <f t="shared" ref="M46:R46" si="24">SUM(M11:M45)</f>
        <v>261.42307692307696</v>
      </c>
      <c r="N46" s="166">
        <f t="shared" si="24"/>
        <v>77.692307692307693</v>
      </c>
      <c r="O46" s="166">
        <f t="shared" si="24"/>
        <v>53.384615384615394</v>
      </c>
      <c r="P46" s="166">
        <f t="shared" si="24"/>
        <v>129.03846153846155</v>
      </c>
      <c r="Q46" s="166">
        <f t="shared" si="24"/>
        <v>85.192307692307693</v>
      </c>
      <c r="R46" s="171">
        <f t="shared" si="24"/>
        <v>8.4615384615384599</v>
      </c>
      <c r="S46" s="139"/>
      <c r="T46" s="139"/>
      <c r="U46" s="139"/>
      <c r="V46" s="139"/>
    </row>
    <row r="47" spans="8:22" x14ac:dyDescent="0.3">
      <c r="H47" s="139"/>
      <c r="I47" s="139"/>
      <c r="J47" s="139"/>
      <c r="K47" s="139"/>
      <c r="L47" s="172">
        <f>L46*4</f>
        <v>739.23076923076917</v>
      </c>
      <c r="M47" s="173">
        <f t="shared" ref="M47:R47" si="25">M46*4</f>
        <v>1045.6923076923078</v>
      </c>
      <c r="N47" s="173">
        <f t="shared" si="25"/>
        <v>310.76923076923077</v>
      </c>
      <c r="O47" s="173">
        <f t="shared" si="25"/>
        <v>213.53846153846158</v>
      </c>
      <c r="P47" s="173">
        <f t="shared" si="25"/>
        <v>516.15384615384619</v>
      </c>
      <c r="Q47" s="173">
        <f t="shared" si="25"/>
        <v>340.76923076923077</v>
      </c>
      <c r="R47" s="175">
        <f t="shared" si="25"/>
        <v>33.84615384615384</v>
      </c>
      <c r="S47" s="139" t="s">
        <v>371</v>
      </c>
      <c r="T47" s="139"/>
      <c r="U47" s="139"/>
      <c r="V47" s="139"/>
    </row>
    <row r="48" spans="8:22" x14ac:dyDescent="0.3">
      <c r="J48" s="155" t="s">
        <v>372</v>
      </c>
      <c r="L48" s="155">
        <v>634</v>
      </c>
      <c r="M48" s="196">
        <f>K55</f>
        <v>900.7</v>
      </c>
      <c r="N48" s="196">
        <f t="shared" ref="N48:P48" si="26">L55</f>
        <v>270.7</v>
      </c>
      <c r="O48" s="196">
        <f t="shared" si="26"/>
        <v>208.7</v>
      </c>
      <c r="P48" s="196">
        <f t="shared" si="26"/>
        <v>469.7</v>
      </c>
      <c r="Q48" s="196">
        <v>279</v>
      </c>
      <c r="R48" s="196"/>
    </row>
    <row r="50" spans="8:29" x14ac:dyDescent="0.3">
      <c r="H50" s="1097" t="s">
        <v>373</v>
      </c>
      <c r="I50" s="1098"/>
      <c r="J50" s="1104" t="s">
        <v>325</v>
      </c>
      <c r="K50" s="1105"/>
      <c r="L50" s="1105"/>
      <c r="M50" s="1106"/>
      <c r="N50" s="1106"/>
      <c r="O50" s="1106"/>
      <c r="P50" s="1107"/>
      <c r="Q50" s="180"/>
      <c r="R50" s="180"/>
      <c r="S50" s="180"/>
      <c r="T50" s="180"/>
      <c r="U50" s="180"/>
      <c r="V50" s="180"/>
      <c r="W50" s="180"/>
      <c r="X50" s="180"/>
      <c r="Y50" s="180"/>
    </row>
    <row r="51" spans="8:29" x14ac:dyDescent="0.3">
      <c r="H51" s="1099"/>
      <c r="I51" s="1100"/>
      <c r="J51" s="1095">
        <v>2020</v>
      </c>
      <c r="K51" s="1096"/>
      <c r="L51" s="1096"/>
      <c r="M51" s="1095">
        <v>2021</v>
      </c>
      <c r="N51" s="1096"/>
      <c r="O51" s="1096"/>
      <c r="P51" s="1103"/>
      <c r="Q51" s="1092"/>
      <c r="R51" s="1092"/>
      <c r="S51" s="1092"/>
      <c r="T51" s="1092"/>
      <c r="U51" s="1092"/>
      <c r="V51" s="1092"/>
      <c r="W51" s="1092"/>
      <c r="X51" s="1092"/>
    </row>
    <row r="52" spans="8:29" x14ac:dyDescent="0.3">
      <c r="H52" s="1101"/>
      <c r="I52" s="1102"/>
      <c r="J52" s="153" t="s">
        <v>329</v>
      </c>
      <c r="K52" s="152" t="s">
        <v>238</v>
      </c>
      <c r="L52" s="152" t="s">
        <v>327</v>
      </c>
      <c r="M52" s="174" t="s">
        <v>328</v>
      </c>
      <c r="N52" s="176" t="s">
        <v>329</v>
      </c>
      <c r="O52" s="176" t="s">
        <v>238</v>
      </c>
      <c r="P52" s="156" t="s">
        <v>327</v>
      </c>
      <c r="Q52" s="139"/>
      <c r="S52" s="155"/>
      <c r="T52" s="155"/>
      <c r="U52" s="139"/>
      <c r="V52" s="155"/>
      <c r="W52" s="155"/>
      <c r="X52" s="155"/>
      <c r="Y52" s="155"/>
      <c r="Z52" s="155"/>
      <c r="AA52" s="155"/>
    </row>
    <row r="53" spans="8:29" ht="32.700000000000003" customHeight="1" x14ac:dyDescent="0.3">
      <c r="H53" s="186" t="s">
        <v>374</v>
      </c>
      <c r="I53" s="139" t="s">
        <v>375</v>
      </c>
      <c r="J53" s="191">
        <f>'Haver Pivoted'!GU47</f>
        <v>57.2</v>
      </c>
      <c r="K53" s="192">
        <f>'Haver Pivoted'!GV47</f>
        <v>81.2</v>
      </c>
      <c r="L53" s="192">
        <f>'Haver Pivoted'!GW47</f>
        <v>24.4</v>
      </c>
      <c r="M53" s="158">
        <f>'Haver Pivoted'!GX47</f>
        <v>11.7</v>
      </c>
      <c r="N53" s="158">
        <f>'Haver Pivoted'!GY47</f>
        <v>28.5</v>
      </c>
      <c r="O53" s="151">
        <f>'Haver Pivoted'!GZ47</f>
        <v>18.8</v>
      </c>
      <c r="P53" s="151">
        <f>'Haver Pivoted'!HA47</f>
        <v>1.6</v>
      </c>
      <c r="Q53" s="158"/>
      <c r="S53" s="155"/>
      <c r="T53" s="155"/>
      <c r="U53" s="155"/>
      <c r="V53" s="155"/>
      <c r="W53" s="155"/>
      <c r="X53" s="155"/>
      <c r="Y53" s="155"/>
      <c r="Z53" s="155"/>
      <c r="AA53" s="155"/>
    </row>
    <row r="54" spans="8:29" ht="33.75" customHeight="1" x14ac:dyDescent="0.3">
      <c r="H54" s="186" t="s">
        <v>376</v>
      </c>
      <c r="I54" s="148" t="s">
        <v>377</v>
      </c>
      <c r="J54" s="163">
        <f>'Haver Pivoted'!GU49</f>
        <v>576.9</v>
      </c>
      <c r="K54" s="158">
        <f>'Haver Pivoted'!GV49</f>
        <v>819.5</v>
      </c>
      <c r="L54" s="158">
        <f>'Haver Pivoted'!GW49</f>
        <v>246.3</v>
      </c>
      <c r="M54" s="158">
        <f>'Haver Pivoted'!GX49</f>
        <v>197</v>
      </c>
      <c r="N54" s="158">
        <f>'Haver Pivoted'!GY49</f>
        <v>441.2</v>
      </c>
      <c r="O54" s="151">
        <f>'Haver Pivoted'!GZ49</f>
        <v>276.7</v>
      </c>
      <c r="P54" s="151">
        <f>'Haver Pivoted'!HA49</f>
        <v>28.2</v>
      </c>
      <c r="Q54" s="158"/>
      <c r="R54" s="158"/>
    </row>
    <row r="55" spans="8:29" x14ac:dyDescent="0.3">
      <c r="H55" s="178" t="s">
        <v>360</v>
      </c>
      <c r="I55" s="139"/>
      <c r="J55" s="163">
        <f>J54+J53</f>
        <v>634.1</v>
      </c>
      <c r="K55" s="158">
        <f t="shared" ref="K55:M55" si="27">K54+K53</f>
        <v>900.7</v>
      </c>
      <c r="L55" s="158">
        <f t="shared" si="27"/>
        <v>270.7</v>
      </c>
      <c r="M55" s="158">
        <f t="shared" si="27"/>
        <v>208.7</v>
      </c>
      <c r="N55" s="158">
        <f t="shared" ref="N55:P55" si="28">N54+N53</f>
        <v>469.7</v>
      </c>
      <c r="O55" s="151">
        <f t="shared" si="28"/>
        <v>295.5</v>
      </c>
      <c r="P55" s="151">
        <f t="shared" si="28"/>
        <v>29.8</v>
      </c>
      <c r="Q55" s="158"/>
      <c r="R55" s="158"/>
    </row>
    <row r="56" spans="8:29" x14ac:dyDescent="0.3">
      <c r="H56" s="149" t="s">
        <v>378</v>
      </c>
      <c r="I56" s="157"/>
      <c r="J56" s="182">
        <f t="shared" ref="J56:P56" si="29">J53/J55</f>
        <v>9.0206592020186091E-2</v>
      </c>
      <c r="K56" s="183">
        <f t="shared" si="29"/>
        <v>9.015210391917397E-2</v>
      </c>
      <c r="L56" s="183">
        <f t="shared" si="29"/>
        <v>9.0136682674547469E-2</v>
      </c>
      <c r="M56" s="183">
        <f t="shared" si="29"/>
        <v>5.6061332055582176E-2</v>
      </c>
      <c r="N56" s="183">
        <f t="shared" si="29"/>
        <v>6.0677027890142649E-2</v>
      </c>
      <c r="O56" s="184">
        <f t="shared" si="29"/>
        <v>6.3620981387478848E-2</v>
      </c>
      <c r="P56" s="184">
        <f t="shared" si="29"/>
        <v>5.3691275167785234E-2</v>
      </c>
      <c r="Q56" s="164"/>
      <c r="R56" s="165"/>
    </row>
    <row r="58" spans="8:29" x14ac:dyDescent="0.3">
      <c r="H58" s="155" t="s">
        <v>886</v>
      </c>
    </row>
    <row r="59" spans="8:29" x14ac:dyDescent="0.3">
      <c r="H59" s="177"/>
      <c r="I59" s="139"/>
      <c r="J59" s="158"/>
      <c r="K59" s="158"/>
      <c r="L59" s="158"/>
      <c r="M59" s="158"/>
      <c r="N59" s="158"/>
      <c r="O59" s="158"/>
      <c r="P59" s="159"/>
      <c r="Q59" s="158"/>
      <c r="R59" s="158"/>
      <c r="S59" s="158"/>
      <c r="T59" s="155"/>
      <c r="U59" s="155"/>
      <c r="V59" s="155"/>
      <c r="W59" s="155"/>
      <c r="X59" s="155"/>
      <c r="Y59" s="155"/>
      <c r="Z59" s="155"/>
      <c r="AA59" s="155"/>
      <c r="AB59" s="155"/>
      <c r="AC59" s="155"/>
    </row>
    <row r="60" spans="8:29" x14ac:dyDescent="0.3">
      <c r="P60" s="158"/>
      <c r="Q60" s="155"/>
      <c r="R60" s="155"/>
      <c r="S60" s="155"/>
      <c r="T60" s="155"/>
      <c r="U60" s="155"/>
      <c r="V60" s="155"/>
      <c r="W60" s="155"/>
      <c r="X60" s="155"/>
      <c r="Y60" s="155"/>
      <c r="Z60" s="155"/>
      <c r="AA60" s="155"/>
      <c r="AB60" s="155"/>
      <c r="AC60" s="155"/>
    </row>
    <row r="61" spans="8:29" x14ac:dyDescent="0.3">
      <c r="P61" s="158"/>
      <c r="Q61" s="160"/>
      <c r="R61" s="160"/>
      <c r="S61" s="160"/>
      <c r="T61" s="160"/>
      <c r="U61" s="160"/>
      <c r="V61" s="160"/>
      <c r="W61" s="160"/>
      <c r="X61" s="160"/>
      <c r="Y61" s="160"/>
      <c r="Z61" s="160"/>
      <c r="AA61" s="160"/>
      <c r="AB61" s="160"/>
      <c r="AC61" s="155"/>
    </row>
    <row r="62" spans="8:29" x14ac:dyDescent="0.3">
      <c r="P62" s="158"/>
      <c r="Q62" s="160"/>
      <c r="R62" s="160"/>
      <c r="S62" s="160"/>
      <c r="T62" s="160"/>
      <c r="U62" s="160"/>
      <c r="V62" s="160"/>
      <c r="W62" s="160"/>
      <c r="X62" s="160"/>
      <c r="Y62" s="160"/>
      <c r="Z62" s="160"/>
      <c r="AA62" s="160"/>
      <c r="AB62" s="160"/>
      <c r="AC62" s="155"/>
    </row>
    <row r="63" spans="8:29" x14ac:dyDescent="0.3">
      <c r="I63" s="155" t="s">
        <v>328</v>
      </c>
      <c r="J63" s="155" t="s">
        <v>329</v>
      </c>
      <c r="K63" s="155" t="s">
        <v>238</v>
      </c>
      <c r="L63" s="155" t="s">
        <v>327</v>
      </c>
      <c r="P63" s="165"/>
      <c r="Q63" s="160"/>
      <c r="R63" s="160"/>
      <c r="S63" s="160"/>
      <c r="T63" s="160"/>
      <c r="U63" s="160"/>
      <c r="V63" s="160"/>
      <c r="W63" s="160"/>
      <c r="X63" s="160"/>
      <c r="Y63" s="160"/>
      <c r="Z63" s="160"/>
      <c r="AA63" s="160"/>
      <c r="AB63" s="160"/>
      <c r="AC63" s="155"/>
    </row>
    <row r="64" spans="8:29" x14ac:dyDescent="0.3">
      <c r="H64" s="155" t="s">
        <v>887</v>
      </c>
      <c r="I64" s="155">
        <v>81.599999999999994</v>
      </c>
      <c r="J64" s="155">
        <v>188.9</v>
      </c>
      <c r="K64" s="155">
        <v>117.2</v>
      </c>
      <c r="L64" s="155" t="e">
        <f>#REF!+#REF!</f>
        <v>#REF!</v>
      </c>
      <c r="P64" s="155"/>
      <c r="Q64" s="155"/>
      <c r="R64" s="155"/>
      <c r="S64" s="155"/>
      <c r="T64" s="155"/>
      <c r="U64" s="155"/>
      <c r="V64" s="155"/>
      <c r="W64" s="155"/>
      <c r="X64" s="155"/>
      <c r="Y64" s="155"/>
      <c r="Z64" s="155"/>
      <c r="AA64" s="155"/>
      <c r="AB64" s="155"/>
      <c r="AC64" s="155"/>
    </row>
    <row r="65" spans="7:29" x14ac:dyDescent="0.3">
      <c r="H65" s="155" t="s">
        <v>532</v>
      </c>
      <c r="I65" s="196">
        <f>M53</f>
        <v>11.7</v>
      </c>
      <c r="J65" s="196">
        <f t="shared" ref="J65:K65" si="30">N53</f>
        <v>28.5</v>
      </c>
      <c r="K65" s="196">
        <f t="shared" si="30"/>
        <v>18.8</v>
      </c>
      <c r="L65" s="155" t="e">
        <f>#REF!</f>
        <v>#REF!</v>
      </c>
      <c r="P65" s="155"/>
      <c r="Q65" s="155"/>
      <c r="R65" s="155"/>
      <c r="S65" s="155"/>
      <c r="T65" s="155"/>
      <c r="U65" s="155"/>
      <c r="V65" s="155"/>
      <c r="W65" s="155"/>
      <c r="X65" s="155"/>
      <c r="Y65" s="155"/>
      <c r="Z65" s="155"/>
      <c r="AA65" s="155"/>
      <c r="AB65" s="155"/>
      <c r="AC65" s="155"/>
    </row>
    <row r="66" spans="7:29" x14ac:dyDescent="0.3">
      <c r="H66" s="155" t="s">
        <v>888</v>
      </c>
      <c r="I66" s="196">
        <f>I67-SUM(I64:I65)</f>
        <v>115.39999999999999</v>
      </c>
      <c r="J66" s="196">
        <f t="shared" ref="J66:K66" si="31">J67-SUM(J64:J65)</f>
        <v>252.29999999999998</v>
      </c>
      <c r="K66" s="196">
        <f t="shared" si="31"/>
        <v>159.5</v>
      </c>
      <c r="L66" s="196" t="e">
        <f>1.26*L64</f>
        <v>#REF!</v>
      </c>
      <c r="P66" s="155"/>
      <c r="Q66" s="155"/>
      <c r="R66" s="155"/>
      <c r="S66" s="155"/>
      <c r="T66" s="155"/>
      <c r="U66" s="155"/>
      <c r="V66" s="155"/>
      <c r="W66" s="155"/>
      <c r="X66" s="155"/>
      <c r="Y66" s="155"/>
      <c r="Z66" s="155"/>
      <c r="AA66" s="155"/>
      <c r="AB66" s="155"/>
      <c r="AC66" s="155"/>
    </row>
    <row r="67" spans="7:29" x14ac:dyDescent="0.3">
      <c r="H67" s="155" t="s">
        <v>360</v>
      </c>
      <c r="I67" s="196">
        <f>M55</f>
        <v>208.7</v>
      </c>
      <c r="J67" s="196">
        <f>N55</f>
        <v>469.7</v>
      </c>
      <c r="K67" s="196">
        <f>O55</f>
        <v>295.5</v>
      </c>
      <c r="L67" s="196" t="e">
        <f>SUM(L64:L66)</f>
        <v>#REF!</v>
      </c>
    </row>
    <row r="68" spans="7:29" x14ac:dyDescent="0.3">
      <c r="G68" s="155" t="s">
        <v>889</v>
      </c>
    </row>
    <row r="69" spans="7:29" x14ac:dyDescent="0.3">
      <c r="H69" s="155" t="s">
        <v>887</v>
      </c>
      <c r="I69" s="179">
        <f>I64/I$67</f>
        <v>0.39099185433636796</v>
      </c>
      <c r="J69" s="179">
        <f t="shared" ref="J69:L69" si="32">J64/J$67</f>
        <v>0.40217159889291038</v>
      </c>
      <c r="K69" s="179">
        <f t="shared" si="32"/>
        <v>0.3966159052453469</v>
      </c>
      <c r="L69" s="179" t="e">
        <f t="shared" si="32"/>
        <v>#REF!</v>
      </c>
    </row>
    <row r="70" spans="7:29" x14ac:dyDescent="0.3">
      <c r="H70" s="155" t="s">
        <v>532</v>
      </c>
      <c r="I70" s="179">
        <f t="shared" ref="I70:L71" si="33">I65/I$67</f>
        <v>5.6061332055582176E-2</v>
      </c>
      <c r="J70" s="179">
        <f t="shared" si="33"/>
        <v>6.0677027890142649E-2</v>
      </c>
      <c r="K70" s="179">
        <f t="shared" si="33"/>
        <v>6.3620981387478848E-2</v>
      </c>
      <c r="L70" s="179" t="e">
        <f t="shared" si="33"/>
        <v>#REF!</v>
      </c>
    </row>
    <row r="71" spans="7:29" x14ac:dyDescent="0.3">
      <c r="H71" s="155" t="s">
        <v>888</v>
      </c>
      <c r="I71" s="179">
        <f t="shared" si="33"/>
        <v>0.55294681360804987</v>
      </c>
      <c r="J71" s="179">
        <f t="shared" si="33"/>
        <v>0.53715137321694695</v>
      </c>
      <c r="K71" s="179">
        <f t="shared" si="33"/>
        <v>0.53976311336717431</v>
      </c>
      <c r="L71" s="179" t="e">
        <f t="shared" si="33"/>
        <v>#REF!</v>
      </c>
    </row>
    <row r="73" spans="7:29" x14ac:dyDescent="0.3">
      <c r="H73" s="155" t="s">
        <v>890</v>
      </c>
      <c r="I73" s="155">
        <f>I66/I64</f>
        <v>1.4142156862745099</v>
      </c>
      <c r="J73" s="155">
        <f t="shared" ref="J73:K73" si="34">J66/J64</f>
        <v>1.3356273160402328</v>
      </c>
      <c r="K73" s="155">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45"/>
  <sheetViews>
    <sheetView topLeftCell="H1" zoomScale="110" zoomScaleNormal="110" workbookViewId="0">
      <selection activeCell="U10" sqref="U10"/>
    </sheetView>
  </sheetViews>
  <sheetFormatPr defaultColWidth="11.554687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082" t="s">
        <v>152</v>
      </c>
      <c r="C1" s="1082"/>
      <c r="D1" s="1082"/>
      <c r="E1" s="1082"/>
      <c r="F1" s="1082"/>
      <c r="G1" s="1082"/>
      <c r="H1" s="1082"/>
      <c r="I1" s="1082"/>
      <c r="J1" s="1082"/>
      <c r="K1" s="1082"/>
      <c r="L1" s="1082"/>
      <c r="M1" s="1082"/>
      <c r="N1" s="1082"/>
      <c r="O1" s="1082"/>
      <c r="P1" s="1082"/>
      <c r="Q1" s="1082"/>
      <c r="R1" s="1082"/>
      <c r="S1" s="1082"/>
      <c r="T1" s="1082"/>
    </row>
    <row r="2" spans="1:22" x14ac:dyDescent="0.3">
      <c r="B2" s="1108" t="s">
        <v>930</v>
      </c>
      <c r="C2" s="1108"/>
      <c r="D2" s="1108"/>
      <c r="E2" s="1108"/>
      <c r="F2" s="1108"/>
      <c r="G2" s="1108"/>
      <c r="H2" s="1108"/>
      <c r="I2" s="1108"/>
      <c r="J2" s="1108"/>
      <c r="K2" s="1108"/>
      <c r="L2" s="1108"/>
      <c r="M2" s="1108"/>
      <c r="N2" s="1108"/>
      <c r="O2" s="1108"/>
      <c r="P2" s="1108"/>
      <c r="Q2" s="1108"/>
      <c r="R2" s="1108"/>
      <c r="S2" s="1108"/>
      <c r="T2" s="1108"/>
    </row>
    <row r="3" spans="1:22" x14ac:dyDescent="0.3">
      <c r="B3" s="1108"/>
      <c r="C3" s="1108"/>
      <c r="D3" s="1108"/>
      <c r="E3" s="1108"/>
      <c r="F3" s="1108"/>
      <c r="G3" s="1108"/>
      <c r="H3" s="1108"/>
      <c r="I3" s="1108"/>
      <c r="J3" s="1108"/>
      <c r="K3" s="1108"/>
      <c r="L3" s="1108"/>
      <c r="M3" s="1108"/>
      <c r="N3" s="1108"/>
      <c r="O3" s="1108"/>
      <c r="P3" s="1108"/>
      <c r="Q3" s="1108"/>
      <c r="R3" s="1108"/>
      <c r="S3" s="1108"/>
      <c r="T3" s="1108"/>
    </row>
    <row r="4" spans="1:22" x14ac:dyDescent="0.3">
      <c r="B4" s="1108"/>
      <c r="C4" s="1108"/>
      <c r="D4" s="1108"/>
      <c r="E4" s="1108"/>
      <c r="F4" s="1108"/>
      <c r="G4" s="1108"/>
      <c r="H4" s="1108"/>
      <c r="I4" s="1108"/>
      <c r="J4" s="1108"/>
      <c r="K4" s="1108"/>
      <c r="L4" s="1108"/>
      <c r="M4" s="1108"/>
      <c r="N4" s="1108"/>
      <c r="O4" s="1108"/>
      <c r="P4" s="1108"/>
      <c r="Q4" s="1108"/>
      <c r="R4" s="1108"/>
      <c r="S4" s="1108"/>
      <c r="T4" s="1108"/>
    </row>
    <row r="5" spans="1:22" x14ac:dyDescent="0.3">
      <c r="B5" s="1108"/>
      <c r="C5" s="1108"/>
      <c r="D5" s="1108"/>
      <c r="E5" s="1108"/>
      <c r="F5" s="1108"/>
      <c r="G5" s="1108"/>
      <c r="H5" s="1108"/>
      <c r="I5" s="1108"/>
      <c r="J5" s="1108"/>
      <c r="K5" s="1108"/>
      <c r="L5" s="1108"/>
      <c r="M5" s="1108"/>
      <c r="N5" s="1108"/>
      <c r="O5" s="1108"/>
      <c r="P5" s="1108"/>
      <c r="Q5" s="1108"/>
      <c r="R5" s="1108"/>
      <c r="S5" s="1108"/>
      <c r="T5" s="1108"/>
    </row>
    <row r="6" spans="1:22" x14ac:dyDescent="0.3">
      <c r="B6" s="1108"/>
      <c r="C6" s="1108"/>
      <c r="D6" s="1108"/>
      <c r="E6" s="1108"/>
      <c r="F6" s="1108"/>
      <c r="G6" s="1108"/>
      <c r="H6" s="1108"/>
      <c r="I6" s="1108"/>
      <c r="J6" s="1108"/>
      <c r="K6" s="1108"/>
      <c r="L6" s="1108"/>
      <c r="M6" s="1108"/>
      <c r="N6" s="1108"/>
      <c r="O6" s="1108"/>
      <c r="P6" s="1108"/>
      <c r="Q6" s="1108"/>
      <c r="R6" s="1108"/>
      <c r="S6" s="1108"/>
      <c r="T6" s="1108"/>
    </row>
    <row r="7" spans="1:22" x14ac:dyDescent="0.3">
      <c r="J7" s="138"/>
      <c r="K7" s="138"/>
      <c r="M7" s="138"/>
    </row>
    <row r="9" spans="1:22" ht="14.7" customHeight="1" x14ac:dyDescent="0.3">
      <c r="A9" s="130"/>
      <c r="B9" s="1109" t="s">
        <v>352</v>
      </c>
      <c r="C9" s="1110"/>
      <c r="D9" s="214">
        <v>2018</v>
      </c>
      <c r="E9" s="1115">
        <v>2019</v>
      </c>
      <c r="F9" s="1116"/>
      <c r="G9" s="1116"/>
      <c r="H9" s="1117"/>
      <c r="I9" s="1113">
        <v>2020</v>
      </c>
      <c r="J9" s="1114"/>
      <c r="K9" s="1114"/>
      <c r="L9" s="1114"/>
      <c r="M9" s="1118">
        <v>2021</v>
      </c>
      <c r="N9" s="1119"/>
      <c r="O9" s="1119"/>
      <c r="P9" s="1120"/>
      <c r="Q9" s="1113">
        <v>2022</v>
      </c>
      <c r="R9" s="1114"/>
      <c r="S9" s="1114"/>
      <c r="T9" s="200"/>
    </row>
    <row r="10" spans="1:22" x14ac:dyDescent="0.3">
      <c r="B10" s="1111"/>
      <c r="C10" s="1112"/>
      <c r="D10" s="221" t="s">
        <v>327</v>
      </c>
      <c r="E10" s="222" t="s">
        <v>328</v>
      </c>
      <c r="F10" s="205" t="s">
        <v>329</v>
      </c>
      <c r="G10" s="205" t="s">
        <v>238</v>
      </c>
      <c r="H10" s="223" t="s">
        <v>327</v>
      </c>
      <c r="I10" s="222" t="s">
        <v>328</v>
      </c>
      <c r="J10" s="205" t="s">
        <v>329</v>
      </c>
      <c r="K10" s="205" t="s">
        <v>238</v>
      </c>
      <c r="L10" s="205" t="s">
        <v>327</v>
      </c>
      <c r="M10" s="153" t="s">
        <v>328</v>
      </c>
      <c r="N10" s="152" t="s">
        <v>329</v>
      </c>
      <c r="O10" s="152" t="s">
        <v>238</v>
      </c>
      <c r="P10" s="204" t="s">
        <v>327</v>
      </c>
      <c r="Q10" s="205" t="s">
        <v>328</v>
      </c>
      <c r="R10" s="205" t="s">
        <v>329</v>
      </c>
      <c r="S10" s="205" t="s">
        <v>238</v>
      </c>
      <c r="T10" s="211" t="s">
        <v>327</v>
      </c>
    </row>
    <row r="11" spans="1:22" ht="28.95" customHeight="1" x14ac:dyDescent="0.3">
      <c r="A11" s="210"/>
      <c r="B11" s="227" t="s">
        <v>139</v>
      </c>
      <c r="C11" s="219" t="s">
        <v>353</v>
      </c>
      <c r="D11" s="207"/>
      <c r="E11" s="219"/>
      <c r="F11" s="219"/>
      <c r="G11" s="219"/>
      <c r="H11" s="219"/>
      <c r="I11" s="219"/>
      <c r="J11" s="220">
        <f>'Haver Pivoted'!GU48</f>
        <v>160.9</v>
      </c>
      <c r="K11" s="220">
        <f>'Haver Pivoted'!GV48</f>
        <v>58.4</v>
      </c>
      <c r="L11" s="220">
        <f>'Haver Pivoted'!GW48</f>
        <v>34.5</v>
      </c>
      <c r="M11" s="220">
        <f>'Haver Pivoted'!GX48</f>
        <v>21.4</v>
      </c>
      <c r="N11" s="220">
        <f>'Haver Pivoted'!GY48</f>
        <v>13.3</v>
      </c>
      <c r="O11" s="220">
        <f>'Haver Pivoted'!GZ48</f>
        <v>18.7</v>
      </c>
      <c r="P11" s="220">
        <f>'Haver Pivoted'!HA48</f>
        <v>32.200000000000003</v>
      </c>
      <c r="Q11" s="228">
        <f>'Haver Pivoted'!HB48</f>
        <v>26.9</v>
      </c>
      <c r="R11" s="220">
        <f>'Haver Pivoted'!HC48</f>
        <v>20</v>
      </c>
      <c r="S11" s="197">
        <f>'Haver Pivoted'!HD48</f>
        <v>8.1</v>
      </c>
      <c r="T11" s="217">
        <f t="shared" ref="T11" si="0">T$14*T15</f>
        <v>0</v>
      </c>
    </row>
    <row r="12" spans="1:22" ht="28.95" customHeight="1" x14ac:dyDescent="0.3">
      <c r="A12" s="210"/>
      <c r="B12" s="208" t="s">
        <v>354</v>
      </c>
      <c r="C12" s="201" t="s">
        <v>355</v>
      </c>
      <c r="D12" s="208"/>
      <c r="E12" s="201"/>
      <c r="F12" s="201"/>
      <c r="G12" s="201"/>
      <c r="H12" s="201"/>
      <c r="I12" s="201"/>
      <c r="J12" s="202">
        <f>'Haver Pivoted'!GU58</f>
        <v>64.400000000000006</v>
      </c>
      <c r="K12" s="202">
        <f>'Haver Pivoted'!GV58</f>
        <v>23.4</v>
      </c>
      <c r="L12" s="202">
        <f>'Haver Pivoted'!GW58</f>
        <v>13.8</v>
      </c>
      <c r="M12" s="202">
        <f>'Haver Pivoted'!GX58</f>
        <v>12</v>
      </c>
      <c r="N12" s="202">
        <f>'Haver Pivoted'!GY58</f>
        <v>7.5</v>
      </c>
      <c r="O12" s="202">
        <f>'Haver Pivoted'!GZ58</f>
        <v>10.5</v>
      </c>
      <c r="P12" s="202">
        <f>'Haver Pivoted'!HA58</f>
        <v>18</v>
      </c>
      <c r="Q12" s="230">
        <f>'Haver Pivoted'!HB58</f>
        <v>15</v>
      </c>
      <c r="R12" s="202">
        <f>'Haver Pivoted'!HC58</f>
        <v>11.2</v>
      </c>
      <c r="S12" s="198">
        <f>'Haver Pivoted'!HD58</f>
        <v>7.5</v>
      </c>
      <c r="T12" s="211"/>
    </row>
    <row r="13" spans="1:22" ht="46.95" customHeight="1" x14ac:dyDescent="0.3">
      <c r="A13" s="210"/>
      <c r="B13" s="208" t="s">
        <v>356</v>
      </c>
      <c r="C13" s="201" t="s">
        <v>357</v>
      </c>
      <c r="D13" s="208"/>
      <c r="E13" s="201"/>
      <c r="F13" s="201"/>
      <c r="G13" s="201"/>
      <c r="H13" s="201"/>
      <c r="I13" s="201"/>
      <c r="J13" s="202">
        <f>'Haver Pivoted'!GU54</f>
        <v>96.6</v>
      </c>
      <c r="K13" s="202">
        <f>'Haver Pivoted'!GV54</f>
        <v>35.1</v>
      </c>
      <c r="L13" s="202">
        <f>'Haver Pivoted'!GW54</f>
        <v>20.7</v>
      </c>
      <c r="M13" s="202">
        <f>'Haver Pivoted'!GX54</f>
        <v>15.4</v>
      </c>
      <c r="N13" s="202">
        <f>'Haver Pivoted'!GY54</f>
        <v>9.6</v>
      </c>
      <c r="O13" s="202">
        <f>'Haver Pivoted'!GZ54</f>
        <v>13.5</v>
      </c>
      <c r="P13" s="202">
        <f>'Haver Pivoted'!HA54</f>
        <v>23.2</v>
      </c>
      <c r="Q13" s="230">
        <f>'Haver Pivoted'!HB54</f>
        <v>19.3</v>
      </c>
      <c r="R13" s="202">
        <f>'Haver Pivoted'!HC54</f>
        <v>14.4</v>
      </c>
      <c r="S13" s="198">
        <f>'Haver Pivoted'!HD54</f>
        <v>5.9</v>
      </c>
      <c r="T13" s="211"/>
      <c r="U13" s="216" t="s">
        <v>358</v>
      </c>
      <c r="V13" s="215" t="s">
        <v>359</v>
      </c>
    </row>
    <row r="14" spans="1:22" x14ac:dyDescent="0.3">
      <c r="B14" s="56" t="s">
        <v>360</v>
      </c>
      <c r="C14" s="58"/>
      <c r="D14" s="56"/>
      <c r="E14" s="58"/>
      <c r="F14" s="58"/>
      <c r="G14" s="58"/>
      <c r="H14" s="58"/>
      <c r="I14" s="58"/>
      <c r="J14" s="202">
        <f t="shared" ref="J14:S14" si="1">J13+J12+J11</f>
        <v>321.89999999999998</v>
      </c>
      <c r="K14" s="202">
        <f t="shared" si="1"/>
        <v>116.9</v>
      </c>
      <c r="L14" s="202">
        <f t="shared" si="1"/>
        <v>69</v>
      </c>
      <c r="M14" s="202">
        <f t="shared" si="1"/>
        <v>48.8</v>
      </c>
      <c r="N14" s="202">
        <f t="shared" si="1"/>
        <v>30.400000000000002</v>
      </c>
      <c r="O14" s="202">
        <f t="shared" si="1"/>
        <v>42.7</v>
      </c>
      <c r="P14" s="202">
        <f t="shared" si="1"/>
        <v>73.400000000000006</v>
      </c>
      <c r="Q14" s="230">
        <f t="shared" si="1"/>
        <v>61.199999999999996</v>
      </c>
      <c r="R14" s="202">
        <f t="shared" si="1"/>
        <v>45.6</v>
      </c>
      <c r="S14" s="198">
        <f t="shared" si="1"/>
        <v>21.5</v>
      </c>
      <c r="T14" s="211"/>
      <c r="U14" s="224">
        <v>236</v>
      </c>
      <c r="V14" s="225">
        <f>SUM(J14:S14)/4</f>
        <v>207.85</v>
      </c>
    </row>
    <row r="15" spans="1:22" x14ac:dyDescent="0.3">
      <c r="B15" s="209" t="s">
        <v>361</v>
      </c>
      <c r="C15" s="60"/>
      <c r="D15" s="209"/>
      <c r="E15" s="60"/>
      <c r="F15" s="60"/>
      <c r="G15" s="60"/>
      <c r="H15" s="60"/>
      <c r="I15" s="60"/>
      <c r="J15" s="130">
        <f t="shared" ref="J15:N17" si="2">J11/J$14</f>
        <v>0.49984467225846541</v>
      </c>
      <c r="K15" s="130">
        <f t="shared" si="2"/>
        <v>0.49957228400342168</v>
      </c>
      <c r="L15" s="130">
        <f t="shared" si="2"/>
        <v>0.5</v>
      </c>
      <c r="M15" s="130">
        <f t="shared" si="2"/>
        <v>0.43852459016393441</v>
      </c>
      <c r="N15" s="130">
        <f t="shared" si="2"/>
        <v>0.4375</v>
      </c>
      <c r="O15" s="130">
        <f>O11/O$14</f>
        <v>0.43793911007025754</v>
      </c>
      <c r="P15" s="130">
        <f t="shared" ref="P15:S15" si="3">P11/P$14</f>
        <v>0.43869209809264303</v>
      </c>
      <c r="Q15" s="226">
        <f t="shared" si="3"/>
        <v>0.43954248366013071</v>
      </c>
      <c r="R15" s="130">
        <f t="shared" si="3"/>
        <v>0.43859649122807015</v>
      </c>
      <c r="S15" s="223">
        <f t="shared" si="3"/>
        <v>0.37674418604651161</v>
      </c>
      <c r="T15" s="211"/>
    </row>
    <row r="16" spans="1:22" x14ac:dyDescent="0.3">
      <c r="B16" s="209" t="s">
        <v>362</v>
      </c>
      <c r="C16" s="60"/>
      <c r="D16" s="209"/>
      <c r="E16" s="60"/>
      <c r="F16" s="60"/>
      <c r="G16" s="60"/>
      <c r="H16" s="60"/>
      <c r="I16" s="60"/>
      <c r="J16" s="130">
        <f t="shared" si="2"/>
        <v>0.20006213109661389</v>
      </c>
      <c r="K16" s="130">
        <f t="shared" si="2"/>
        <v>0.20017108639863129</v>
      </c>
      <c r="L16" s="130">
        <f t="shared" si="2"/>
        <v>0.2</v>
      </c>
      <c r="M16" s="130">
        <f t="shared" si="2"/>
        <v>0.24590163934426232</v>
      </c>
      <c r="N16" s="130">
        <f t="shared" si="2"/>
        <v>0.24671052631578946</v>
      </c>
      <c r="O16" s="130">
        <f t="shared" ref="O16:S16" si="4">O12/O$14</f>
        <v>0.24590163934426229</v>
      </c>
      <c r="P16" s="130">
        <f t="shared" si="4"/>
        <v>0.24523160762942778</v>
      </c>
      <c r="Q16" s="226">
        <f t="shared" si="4"/>
        <v>0.24509803921568629</v>
      </c>
      <c r="R16" s="130">
        <f t="shared" si="4"/>
        <v>0.24561403508771928</v>
      </c>
      <c r="S16" s="223">
        <f t="shared" si="4"/>
        <v>0.34883720930232559</v>
      </c>
      <c r="T16" s="211"/>
      <c r="U16" s="203"/>
    </row>
    <row r="17" spans="2:21" x14ac:dyDescent="0.3">
      <c r="B17" s="212" t="s">
        <v>363</v>
      </c>
      <c r="C17" s="218"/>
      <c r="D17" s="212"/>
      <c r="E17" s="218"/>
      <c r="F17" s="218"/>
      <c r="G17" s="218"/>
      <c r="H17" s="218"/>
      <c r="I17" s="218"/>
      <c r="J17" s="206">
        <f t="shared" si="2"/>
        <v>0.30009319664492079</v>
      </c>
      <c r="K17" s="206">
        <f t="shared" si="2"/>
        <v>0.30025662959794697</v>
      </c>
      <c r="L17" s="206">
        <f t="shared" si="2"/>
        <v>0.3</v>
      </c>
      <c r="M17" s="206">
        <f t="shared" si="2"/>
        <v>0.3155737704918033</v>
      </c>
      <c r="N17" s="206">
        <f t="shared" si="2"/>
        <v>0.31578947368421051</v>
      </c>
      <c r="O17" s="206">
        <f t="shared" ref="O17:S17" si="5">O13/O$14</f>
        <v>0.31615925058548006</v>
      </c>
      <c r="P17" s="206">
        <f t="shared" si="5"/>
        <v>0.3160762942779291</v>
      </c>
      <c r="Q17" s="229">
        <f t="shared" si="5"/>
        <v>0.31535947712418305</v>
      </c>
      <c r="R17" s="206">
        <f t="shared" si="5"/>
        <v>0.31578947368421051</v>
      </c>
      <c r="S17" s="199">
        <f t="shared" si="5"/>
        <v>0.2744186046511628</v>
      </c>
      <c r="T17" s="213"/>
    </row>
    <row r="18" spans="2:21" x14ac:dyDescent="0.3">
      <c r="B18" s="60"/>
      <c r="C18" s="60"/>
      <c r="D18" s="60"/>
      <c r="E18" s="60"/>
      <c r="F18" s="60"/>
      <c r="G18" s="60"/>
      <c r="H18" s="60"/>
      <c r="I18" s="60"/>
      <c r="J18" s="130"/>
      <c r="K18" s="130"/>
      <c r="L18" s="130"/>
      <c r="M18" s="130"/>
      <c r="N18" s="130"/>
      <c r="O18" s="130"/>
    </row>
    <row r="19" spans="2:21" ht="15.75" customHeight="1" x14ac:dyDescent="0.3"/>
    <row r="21" spans="2:21" ht="30" customHeight="1" x14ac:dyDescent="0.3"/>
    <row r="22" spans="2:21" ht="27" customHeight="1" x14ac:dyDescent="0.3">
      <c r="M22" s="36"/>
      <c r="N22" s="36"/>
      <c r="O22" s="36"/>
      <c r="P22" s="14"/>
      <c r="Q22" s="14"/>
      <c r="R22" s="14"/>
      <c r="S22" s="14"/>
      <c r="T22" s="14"/>
      <c r="U22" s="36"/>
    </row>
    <row r="23" spans="2:21" ht="31.5" customHeight="1" x14ac:dyDescent="0.3">
      <c r="M23" s="36"/>
      <c r="N23" s="36"/>
      <c r="O23" s="36"/>
      <c r="P23" s="14"/>
      <c r="Q23" s="14"/>
      <c r="R23" s="14"/>
      <c r="S23" s="14"/>
      <c r="T23" s="14"/>
      <c r="U23" s="36"/>
    </row>
    <row r="24" spans="2:21" ht="24.45" customHeight="1" x14ac:dyDescent="0.3">
      <c r="M24" s="36"/>
      <c r="N24" s="36"/>
      <c r="O24" s="36"/>
      <c r="P24" s="14"/>
      <c r="Q24" s="14"/>
      <c r="R24" s="14"/>
      <c r="S24" s="14"/>
      <c r="T24" s="14"/>
      <c r="U24" s="36"/>
    </row>
    <row r="25" spans="2:21" x14ac:dyDescent="0.3">
      <c r="M25" s="36"/>
      <c r="N25" s="36"/>
      <c r="O25" s="36"/>
      <c r="P25" s="36"/>
      <c r="Q25" s="36"/>
      <c r="R25" s="36"/>
      <c r="S25" s="36"/>
      <c r="T25" s="36"/>
      <c r="U25" s="36"/>
    </row>
    <row r="26" spans="2:21" x14ac:dyDescent="0.3">
      <c r="M26" s="36"/>
      <c r="N26" s="36"/>
      <c r="O26" s="36"/>
      <c r="P26" s="36"/>
      <c r="Q26" s="36"/>
      <c r="R26" s="36"/>
      <c r="S26" s="36"/>
      <c r="T26" s="36"/>
      <c r="U26" s="36"/>
    </row>
    <row r="27" spans="2:21" x14ac:dyDescent="0.3">
      <c r="M27" s="36"/>
      <c r="N27" s="36"/>
      <c r="O27" s="36"/>
      <c r="P27" s="36"/>
      <c r="Q27" s="36"/>
      <c r="R27" s="36"/>
      <c r="S27" s="36"/>
      <c r="T27" s="36"/>
      <c r="U27" s="36"/>
    </row>
    <row r="28" spans="2:21" x14ac:dyDescent="0.3">
      <c r="M28" s="36"/>
      <c r="N28" s="36"/>
      <c r="O28" s="36"/>
      <c r="P28" s="36"/>
      <c r="Q28" s="36"/>
      <c r="R28" s="36"/>
      <c r="S28" s="36"/>
      <c r="T28" s="36"/>
      <c r="U28" s="36"/>
    </row>
    <row r="29" spans="2:21" x14ac:dyDescent="0.3">
      <c r="M29" s="36"/>
      <c r="N29" s="36"/>
      <c r="O29" s="36"/>
      <c r="P29" s="36"/>
      <c r="Q29" s="36"/>
      <c r="R29" s="36"/>
      <c r="S29" s="36"/>
      <c r="T29" s="36"/>
      <c r="U29" s="36"/>
    </row>
    <row r="30" spans="2:21" x14ac:dyDescent="0.3">
      <c r="M30" s="36"/>
      <c r="N30" s="36"/>
      <c r="O30" s="36"/>
      <c r="P30" s="36"/>
      <c r="Q30" s="36"/>
      <c r="R30" s="36"/>
      <c r="S30" s="36"/>
      <c r="T30" s="36"/>
      <c r="U30" s="36"/>
    </row>
    <row r="31" spans="2:21" x14ac:dyDescent="0.3">
      <c r="M31" s="36"/>
      <c r="N31" s="36"/>
      <c r="O31" s="36"/>
      <c r="P31" s="36"/>
      <c r="Q31" s="36"/>
      <c r="R31" s="36"/>
      <c r="S31" s="36"/>
      <c r="T31" s="36"/>
      <c r="U31" s="36"/>
    </row>
    <row r="32" spans="2:21" x14ac:dyDescent="0.3">
      <c r="M32" s="36"/>
      <c r="N32" s="36"/>
      <c r="O32" s="36"/>
      <c r="P32" s="36"/>
      <c r="Q32" s="36"/>
      <c r="R32" s="36"/>
      <c r="S32" s="36"/>
      <c r="T32" s="36"/>
      <c r="U32" s="36"/>
    </row>
    <row r="33" spans="13:21" x14ac:dyDescent="0.3">
      <c r="M33" s="36"/>
      <c r="N33" s="36"/>
      <c r="O33" s="36"/>
      <c r="P33" s="36"/>
      <c r="Q33" s="36"/>
      <c r="R33" s="36"/>
      <c r="S33" s="36"/>
      <c r="T33" s="36"/>
      <c r="U33" s="36"/>
    </row>
    <row r="34" spans="13:21" x14ac:dyDescent="0.3">
      <c r="M34" s="36"/>
      <c r="N34" s="36"/>
      <c r="O34" s="36"/>
      <c r="P34" s="36"/>
      <c r="Q34" s="36"/>
      <c r="R34" s="36"/>
      <c r="S34" s="36"/>
      <c r="T34" s="36"/>
      <c r="U34" s="36"/>
    </row>
    <row r="35" spans="13:21" x14ac:dyDescent="0.3">
      <c r="M35" s="36"/>
      <c r="N35" s="36"/>
      <c r="O35" s="36"/>
      <c r="P35" s="36"/>
      <c r="Q35" s="36"/>
      <c r="R35" s="36"/>
      <c r="S35" s="36"/>
      <c r="T35" s="36"/>
      <c r="U35" s="36"/>
    </row>
    <row r="36" spans="13:21" x14ac:dyDescent="0.3">
      <c r="M36" s="36"/>
      <c r="N36" s="36"/>
      <c r="O36" s="36"/>
      <c r="P36" s="36"/>
      <c r="Q36" s="36"/>
      <c r="R36" s="36"/>
      <c r="S36" s="36"/>
      <c r="T36" s="36"/>
      <c r="U36" s="36"/>
    </row>
    <row r="37" spans="13:21" x14ac:dyDescent="0.3">
      <c r="M37" s="36"/>
      <c r="N37" s="36"/>
      <c r="O37" s="36"/>
      <c r="P37" s="36"/>
      <c r="Q37" s="36"/>
      <c r="R37" s="36"/>
      <c r="S37" s="36"/>
      <c r="T37" s="36"/>
      <c r="U37" s="36"/>
    </row>
    <row r="38" spans="13:21" x14ac:dyDescent="0.3">
      <c r="M38" s="36"/>
      <c r="N38" s="36"/>
      <c r="O38" s="36"/>
      <c r="P38" s="36"/>
      <c r="Q38" s="36"/>
      <c r="R38" s="36"/>
      <c r="S38" s="36"/>
      <c r="T38" s="36"/>
      <c r="U38" s="36"/>
    </row>
    <row r="39" spans="13:21" x14ac:dyDescent="0.3">
      <c r="M39" s="36"/>
      <c r="N39" s="36"/>
      <c r="O39" s="36"/>
      <c r="P39" s="36"/>
      <c r="Q39" s="36"/>
      <c r="R39" s="36"/>
      <c r="S39" s="36"/>
      <c r="T39" s="36"/>
      <c r="U39" s="36"/>
    </row>
    <row r="40" spans="13:21" x14ac:dyDescent="0.3">
      <c r="M40" s="36"/>
      <c r="N40" s="36"/>
      <c r="O40" s="36"/>
      <c r="P40" s="36"/>
      <c r="Q40" s="36"/>
      <c r="R40" s="36"/>
      <c r="S40" s="36"/>
      <c r="T40" s="36"/>
      <c r="U40" s="36"/>
    </row>
    <row r="41" spans="13:21" x14ac:dyDescent="0.3">
      <c r="M41" s="36"/>
      <c r="N41" s="36"/>
      <c r="O41" s="36"/>
      <c r="P41" s="36"/>
      <c r="Q41" s="36"/>
      <c r="R41" s="36"/>
      <c r="S41" s="36"/>
      <c r="T41" s="36"/>
      <c r="U41" s="36"/>
    </row>
    <row r="42" spans="13:21" x14ac:dyDescent="0.3">
      <c r="M42" s="36"/>
      <c r="N42" s="36"/>
      <c r="O42" s="36"/>
      <c r="P42" s="36"/>
      <c r="Q42" s="36"/>
      <c r="R42" s="36"/>
      <c r="S42" s="36"/>
      <c r="T42" s="36"/>
      <c r="U42" s="36"/>
    </row>
    <row r="43" spans="13:21" x14ac:dyDescent="0.3">
      <c r="M43" s="36"/>
      <c r="N43" s="36"/>
      <c r="O43" s="36"/>
      <c r="P43" s="36"/>
      <c r="Q43" s="36"/>
      <c r="R43" s="36"/>
      <c r="S43" s="36"/>
      <c r="T43" s="36"/>
      <c r="U43" s="36"/>
    </row>
    <row r="44" spans="13:21" x14ac:dyDescent="0.3">
      <c r="M44" s="36"/>
      <c r="N44" s="36"/>
      <c r="O44" s="36"/>
      <c r="P44" s="36"/>
      <c r="Q44" s="36"/>
      <c r="R44" s="36"/>
      <c r="S44" s="36"/>
      <c r="T44" s="36"/>
      <c r="U44" s="36"/>
    </row>
    <row r="45" spans="13:21" x14ac:dyDescent="0.3">
      <c r="M45" s="36"/>
      <c r="N45" s="36"/>
      <c r="O45" s="36"/>
      <c r="P45" s="36"/>
      <c r="Q45" s="36"/>
      <c r="R45" s="36"/>
      <c r="S45" s="36"/>
      <c r="T45" s="36"/>
      <c r="U45" s="36"/>
    </row>
  </sheetData>
  <mergeCells count="7">
    <mergeCell ref="B2:T6"/>
    <mergeCell ref="B1:T1"/>
    <mergeCell ref="B9:C10"/>
    <mergeCell ref="I9:L9"/>
    <mergeCell ref="E9:H9"/>
    <mergeCell ref="M9:P9"/>
    <mergeCell ref="Q9:S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topLeftCell="E1" zoomScale="110" zoomScaleNormal="110" workbookViewId="0">
      <selection activeCell="J17" sqref="J17"/>
    </sheetView>
  </sheetViews>
  <sheetFormatPr defaultColWidth="11.5546875" defaultRowHeight="14.4" x14ac:dyDescent="0.3"/>
  <cols>
    <col min="1" max="2" width="70.77734375" customWidth="1"/>
  </cols>
  <sheetData>
    <row r="1" spans="1:45" ht="15.6" customHeight="1" x14ac:dyDescent="0.3">
      <c r="A1" s="1121" t="s">
        <v>299</v>
      </c>
      <c r="B1" s="1121"/>
      <c r="C1" s="1121"/>
      <c r="D1" s="1121"/>
      <c r="E1" s="1121"/>
      <c r="F1" s="1121"/>
      <c r="G1" s="1121"/>
      <c r="H1" s="1121"/>
      <c r="I1" s="1121"/>
      <c r="J1" s="1121"/>
      <c r="K1" s="1121"/>
      <c r="L1" s="1121"/>
      <c r="M1" s="1121"/>
      <c r="N1" s="1121"/>
      <c r="O1" s="1121"/>
    </row>
    <row r="2" spans="1:45" ht="31.2" customHeight="1" x14ac:dyDescent="0.3">
      <c r="A2" s="231"/>
      <c r="B2" s="231" t="s">
        <v>179</v>
      </c>
      <c r="C2" s="238">
        <v>1</v>
      </c>
      <c r="D2" s="238">
        <f>C2+1</f>
        <v>2</v>
      </c>
      <c r="E2" s="238">
        <f t="shared" ref="E2:N2" si="0">D2+1</f>
        <v>3</v>
      </c>
      <c r="F2" s="238">
        <f t="shared" si="0"/>
        <v>4</v>
      </c>
      <c r="G2" s="238">
        <f t="shared" si="0"/>
        <v>5</v>
      </c>
      <c r="H2" s="238">
        <f t="shared" si="0"/>
        <v>6</v>
      </c>
      <c r="I2" s="238">
        <f t="shared" si="0"/>
        <v>7</v>
      </c>
      <c r="J2" s="238">
        <f t="shared" si="0"/>
        <v>8</v>
      </c>
      <c r="K2" s="238">
        <f t="shared" si="0"/>
        <v>9</v>
      </c>
      <c r="L2" s="238">
        <f t="shared" si="0"/>
        <v>10</v>
      </c>
      <c r="M2" s="238">
        <f t="shared" si="0"/>
        <v>11</v>
      </c>
      <c r="N2" s="238">
        <f t="shared" si="0"/>
        <v>12</v>
      </c>
      <c r="O2" s="236" t="s">
        <v>300</v>
      </c>
    </row>
    <row r="3" spans="1:45" ht="15.6" customHeight="1" x14ac:dyDescent="0.3">
      <c r="A3" s="233" t="s">
        <v>301</v>
      </c>
      <c r="B3" s="233" t="s">
        <v>302</v>
      </c>
      <c r="C3" s="240">
        <v>0.22500000000000001</v>
      </c>
      <c r="D3" s="240">
        <v>0.22500000000000001</v>
      </c>
      <c r="E3" s="240">
        <v>0.22500000000000001</v>
      </c>
      <c r="F3" s="240">
        <v>0.22500000000000001</v>
      </c>
      <c r="G3" s="239">
        <v>0</v>
      </c>
      <c r="H3" s="239">
        <v>0</v>
      </c>
      <c r="I3" s="239">
        <v>0</v>
      </c>
      <c r="J3" s="239">
        <v>0</v>
      </c>
      <c r="K3" s="239">
        <v>0</v>
      </c>
      <c r="L3" s="239">
        <v>0</v>
      </c>
      <c r="M3" s="239">
        <v>0</v>
      </c>
      <c r="N3" s="239">
        <v>0</v>
      </c>
      <c r="O3" s="232"/>
      <c r="P3" s="240"/>
      <c r="Q3" s="240"/>
      <c r="R3" s="240"/>
      <c r="S3" s="240"/>
      <c r="T3" s="239"/>
      <c r="U3" s="239"/>
      <c r="V3" s="239"/>
      <c r="W3" s="239"/>
      <c r="X3" s="239"/>
      <c r="Y3" s="239"/>
      <c r="Z3" s="239"/>
      <c r="AA3" s="239"/>
      <c r="AC3" s="73"/>
      <c r="AD3" s="73"/>
      <c r="AE3" s="73"/>
      <c r="AF3" s="73"/>
      <c r="AG3" s="73"/>
      <c r="AH3" s="73"/>
      <c r="AI3" s="73"/>
      <c r="AJ3" s="73"/>
      <c r="AK3" s="73"/>
      <c r="AL3" s="73"/>
      <c r="AM3" s="73"/>
      <c r="AN3" s="73"/>
      <c r="AO3" s="73"/>
      <c r="AP3" s="73"/>
      <c r="AQ3" s="73"/>
      <c r="AR3" s="73"/>
      <c r="AS3" s="73"/>
    </row>
    <row r="4" spans="1:45" ht="15.6" customHeight="1" x14ac:dyDescent="0.3">
      <c r="A4" s="235" t="s">
        <v>303</v>
      </c>
      <c r="B4" s="235" t="s">
        <v>304</v>
      </c>
      <c r="C4" s="240">
        <v>-3.3333333333333333E-2</v>
      </c>
      <c r="D4" s="240">
        <v>-3.3333333333333333E-2</v>
      </c>
      <c r="E4" s="240">
        <v>-3.3333333333333333E-2</v>
      </c>
      <c r="F4" s="240">
        <v>-3.3333333333333333E-2</v>
      </c>
      <c r="G4" s="240">
        <v>-3.3333333333333333E-2</v>
      </c>
      <c r="H4" s="240">
        <v>-3.3333333333333333E-2</v>
      </c>
      <c r="I4" s="240">
        <v>-3.3333333333333333E-2</v>
      </c>
      <c r="J4" s="240">
        <v>-3.3333333333333333E-2</v>
      </c>
      <c r="K4" s="240">
        <v>-3.3333333333333333E-2</v>
      </c>
      <c r="L4" s="240">
        <v>-3.3333333333333333E-2</v>
      </c>
      <c r="M4" s="240">
        <v>-3.3333333333333333E-2</v>
      </c>
      <c r="N4" s="240">
        <v>-3.3333333333333333E-2</v>
      </c>
      <c r="O4" s="237">
        <f>SUM(C4:N4)</f>
        <v>-0.39999999999999997</v>
      </c>
      <c r="P4" s="240"/>
      <c r="Q4" s="240"/>
      <c r="R4" s="240"/>
      <c r="S4" s="240"/>
      <c r="T4" s="240"/>
      <c r="U4" s="240"/>
      <c r="V4" s="240"/>
      <c r="W4" s="240"/>
      <c r="X4" s="240"/>
      <c r="Y4" s="240"/>
      <c r="Z4" s="240"/>
      <c r="AA4" s="240"/>
      <c r="AC4" s="73"/>
      <c r="AD4" s="73"/>
      <c r="AE4" s="73"/>
      <c r="AF4" s="73"/>
      <c r="AG4" s="73"/>
      <c r="AH4" s="73"/>
      <c r="AI4" s="73"/>
      <c r="AJ4" s="73"/>
      <c r="AK4" s="73"/>
      <c r="AL4" s="73"/>
      <c r="AM4" s="73"/>
      <c r="AN4" s="73"/>
    </row>
    <row r="5" spans="1:45" ht="15.6" customHeight="1" x14ac:dyDescent="0.3">
      <c r="A5" s="235" t="s">
        <v>305</v>
      </c>
      <c r="B5" s="235" t="s">
        <v>306</v>
      </c>
      <c r="C5" s="240">
        <v>-0.12</v>
      </c>
      <c r="D5" s="240">
        <v>-0.12</v>
      </c>
      <c r="E5" s="240">
        <v>-0.06</v>
      </c>
      <c r="F5" s="240">
        <v>-0.06</v>
      </c>
      <c r="G5" s="240">
        <v>-0.06</v>
      </c>
      <c r="H5" s="240">
        <v>-0.06</v>
      </c>
      <c r="I5" s="240">
        <v>-0.06</v>
      </c>
      <c r="J5" s="240">
        <v>-0.06</v>
      </c>
      <c r="K5" s="240">
        <v>0</v>
      </c>
      <c r="L5" s="240">
        <v>0</v>
      </c>
      <c r="M5" s="240">
        <v>0</v>
      </c>
      <c r="N5" s="240">
        <v>0</v>
      </c>
      <c r="O5" s="237">
        <f t="shared" ref="O5:O13" si="1">SUM(C5:N5)</f>
        <v>-0.60000000000000009</v>
      </c>
      <c r="P5" s="240"/>
      <c r="Q5" s="240"/>
      <c r="R5" s="240"/>
      <c r="S5" s="240"/>
      <c r="T5" s="240"/>
      <c r="U5" s="240"/>
      <c r="V5" s="240"/>
      <c r="W5" s="240"/>
      <c r="X5" s="240"/>
      <c r="Y5" s="240"/>
      <c r="Z5" s="240"/>
      <c r="AA5" s="240"/>
      <c r="AC5" s="73"/>
      <c r="AD5" s="73"/>
      <c r="AE5" s="73"/>
      <c r="AF5" s="73"/>
      <c r="AG5" s="73"/>
      <c r="AH5" s="73"/>
      <c r="AI5" s="73"/>
      <c r="AJ5" s="73"/>
      <c r="AK5" s="73"/>
      <c r="AL5" s="73"/>
      <c r="AM5" s="73"/>
      <c r="AN5" s="73"/>
    </row>
    <row r="6" spans="1:45" ht="15.6" customHeight="1" x14ac:dyDescent="0.3">
      <c r="A6" s="233" t="s">
        <v>307</v>
      </c>
      <c r="B6" s="233" t="s">
        <v>213</v>
      </c>
      <c r="C6" s="240">
        <v>0.24499999999999997</v>
      </c>
      <c r="D6" s="240">
        <v>0.105</v>
      </c>
      <c r="E6" s="240">
        <v>5.5999999999999994E-2</v>
      </c>
      <c r="F6" s="240">
        <v>5.5999999999999994E-2</v>
      </c>
      <c r="G6" s="240">
        <v>5.5999999999999994E-2</v>
      </c>
      <c r="H6" s="240">
        <v>5.5999999999999994E-2</v>
      </c>
      <c r="I6" s="240">
        <v>5.5999999999999994E-2</v>
      </c>
      <c r="J6" s="240">
        <v>5.5999999999999994E-2</v>
      </c>
      <c r="K6" s="240">
        <v>0</v>
      </c>
      <c r="L6" s="240">
        <v>0</v>
      </c>
      <c r="M6" s="240">
        <v>0</v>
      </c>
      <c r="N6" s="240">
        <v>0</v>
      </c>
      <c r="O6" s="237">
        <f t="shared" si="1"/>
        <v>0.68600000000000017</v>
      </c>
      <c r="P6" s="240"/>
      <c r="Q6" s="240"/>
      <c r="R6" s="240"/>
      <c r="S6" s="240"/>
      <c r="T6" s="240"/>
      <c r="U6" s="240"/>
      <c r="V6" s="240"/>
      <c r="W6" s="240"/>
      <c r="X6" s="240"/>
      <c r="Y6" s="240"/>
      <c r="Z6" s="240"/>
      <c r="AA6" s="240"/>
      <c r="AC6" s="73"/>
      <c r="AD6" s="73"/>
      <c r="AE6" s="73"/>
      <c r="AF6" s="73"/>
      <c r="AG6" s="73"/>
      <c r="AH6" s="73"/>
      <c r="AI6" s="73"/>
      <c r="AJ6" s="73"/>
      <c r="AK6" s="73"/>
      <c r="AL6" s="73"/>
      <c r="AM6" s="73"/>
      <c r="AN6" s="73"/>
    </row>
    <row r="7" spans="1:45" ht="15.6" customHeight="1" x14ac:dyDescent="0.3">
      <c r="A7" s="233" t="s">
        <v>308</v>
      </c>
      <c r="B7" s="233" t="s">
        <v>309</v>
      </c>
      <c r="C7" s="240">
        <v>0.315</v>
      </c>
      <c r="D7" s="240">
        <v>0.315</v>
      </c>
      <c r="E7" s="240">
        <v>9.0000000000000011E-2</v>
      </c>
      <c r="F7" s="240">
        <v>9.0000000000000011E-2</v>
      </c>
      <c r="G7" s="240">
        <v>4.5000000000000005E-2</v>
      </c>
      <c r="H7" s="240">
        <v>4.5000000000000005E-2</v>
      </c>
      <c r="I7" s="240">
        <v>0</v>
      </c>
      <c r="J7" s="240">
        <v>0</v>
      </c>
      <c r="K7" s="240">
        <v>0</v>
      </c>
      <c r="L7" s="240">
        <v>0</v>
      </c>
      <c r="M7" s="240">
        <v>0</v>
      </c>
      <c r="N7" s="240">
        <v>0</v>
      </c>
      <c r="O7" s="237">
        <f t="shared" si="1"/>
        <v>0.9</v>
      </c>
      <c r="P7" s="240"/>
      <c r="Q7" s="240"/>
      <c r="R7" s="240"/>
      <c r="S7" s="240"/>
      <c r="T7" s="240"/>
      <c r="U7" s="240"/>
      <c r="V7" s="240"/>
      <c r="W7" s="240"/>
      <c r="X7" s="240"/>
      <c r="Y7" s="240"/>
      <c r="Z7" s="240"/>
      <c r="AA7" s="240"/>
      <c r="AC7" s="73"/>
      <c r="AD7" s="73"/>
      <c r="AE7" s="73"/>
      <c r="AF7" s="73"/>
      <c r="AG7" s="73"/>
      <c r="AH7" s="73"/>
      <c r="AI7" s="73"/>
      <c r="AJ7" s="73"/>
      <c r="AK7" s="73"/>
      <c r="AL7" s="73"/>
      <c r="AM7" s="73"/>
      <c r="AN7" s="73"/>
    </row>
    <row r="8" spans="1:45" ht="15.6" customHeight="1" x14ac:dyDescent="0.3">
      <c r="A8" s="233" t="s">
        <v>310</v>
      </c>
      <c r="B8" s="233" t="s">
        <v>311</v>
      </c>
      <c r="C8" s="240">
        <v>0.22500000000000001</v>
      </c>
      <c r="D8" s="240">
        <v>0.22500000000000001</v>
      </c>
      <c r="E8" s="240">
        <v>0.22500000000000001</v>
      </c>
      <c r="F8" s="240">
        <v>0.22500000000000001</v>
      </c>
      <c r="G8" s="240">
        <v>0</v>
      </c>
      <c r="H8" s="240">
        <v>0</v>
      </c>
      <c r="I8" s="240">
        <v>0</v>
      </c>
      <c r="J8" s="240">
        <v>0</v>
      </c>
      <c r="K8" s="240">
        <v>0</v>
      </c>
      <c r="L8" s="240">
        <v>0</v>
      </c>
      <c r="M8" s="240">
        <v>0</v>
      </c>
      <c r="N8" s="240">
        <v>0</v>
      </c>
      <c r="O8" s="237">
        <f t="shared" si="1"/>
        <v>0.9</v>
      </c>
      <c r="P8" s="240"/>
      <c r="Q8" s="240"/>
      <c r="R8" s="240"/>
      <c r="S8" s="240"/>
      <c r="T8" s="240"/>
      <c r="U8" s="240"/>
      <c r="V8" s="240"/>
      <c r="W8" s="240"/>
      <c r="X8" s="240"/>
      <c r="Y8" s="240"/>
      <c r="Z8" s="240"/>
      <c r="AA8" s="240"/>
      <c r="AC8" s="73"/>
      <c r="AD8" s="73"/>
      <c r="AE8" s="73"/>
      <c r="AF8" s="73"/>
      <c r="AG8" s="73"/>
      <c r="AH8" s="73"/>
      <c r="AI8" s="73"/>
      <c r="AJ8" s="73"/>
      <c r="AK8" s="73"/>
      <c r="AL8" s="73"/>
      <c r="AM8" s="73"/>
      <c r="AN8" s="73"/>
    </row>
    <row r="9" spans="1:45" ht="15.6" customHeight="1" x14ac:dyDescent="0.3">
      <c r="A9" s="233" t="s">
        <v>312</v>
      </c>
      <c r="B9" s="233" t="s">
        <v>313</v>
      </c>
      <c r="C9" s="240">
        <v>4.9500000000000002E-2</v>
      </c>
      <c r="D9" s="240">
        <v>4.2750000000000003E-2</v>
      </c>
      <c r="E9" s="240">
        <v>4.0500000000000001E-2</v>
      </c>
      <c r="F9" s="240">
        <v>3.8250000000000006E-2</v>
      </c>
      <c r="G9" s="240">
        <v>3.6000000000000004E-2</v>
      </c>
      <c r="H9" s="240">
        <v>3.6000000000000004E-2</v>
      </c>
      <c r="I9" s="240">
        <v>3.6000000000000004E-2</v>
      </c>
      <c r="J9" s="240">
        <v>3.6000000000000004E-2</v>
      </c>
      <c r="K9" s="240">
        <v>3.3750000000000002E-2</v>
      </c>
      <c r="L9" s="240">
        <v>3.3750000000000002E-2</v>
      </c>
      <c r="M9" s="240">
        <v>3.3750000000000002E-2</v>
      </c>
      <c r="N9" s="240">
        <v>3.3750000000000002E-2</v>
      </c>
      <c r="O9" s="237">
        <f t="shared" si="1"/>
        <v>0.45000000000000007</v>
      </c>
      <c r="P9" s="240"/>
      <c r="Q9" s="240"/>
      <c r="R9" s="240"/>
      <c r="S9" s="240"/>
      <c r="T9" s="240"/>
      <c r="U9" s="240"/>
      <c r="V9" s="240"/>
      <c r="W9" s="240"/>
      <c r="X9" s="240"/>
      <c r="Y9" s="240"/>
      <c r="Z9" s="240"/>
      <c r="AA9" s="240"/>
      <c r="AC9" s="73"/>
      <c r="AD9" s="73"/>
      <c r="AE9" s="73"/>
      <c r="AF9" s="73"/>
      <c r="AG9" s="73"/>
      <c r="AH9" s="73"/>
      <c r="AI9" s="73"/>
      <c r="AJ9" s="73"/>
      <c r="AK9" s="73"/>
      <c r="AL9" s="73"/>
      <c r="AM9" s="73"/>
      <c r="AN9" s="73"/>
    </row>
    <row r="10" spans="1:45" ht="15.6" customHeight="1" x14ac:dyDescent="0.3">
      <c r="A10" s="233" t="s">
        <v>314</v>
      </c>
      <c r="B10" s="233" t="s">
        <v>215</v>
      </c>
      <c r="C10" s="240">
        <v>0.14000000000000001</v>
      </c>
      <c r="D10" s="240">
        <v>0.1</v>
      </c>
      <c r="E10" s="240">
        <v>0.1</v>
      </c>
      <c r="F10" s="240">
        <v>0.05</v>
      </c>
      <c r="G10" s="240">
        <v>0.05</v>
      </c>
      <c r="H10" s="240">
        <v>0.05</v>
      </c>
      <c r="I10" s="240">
        <v>0.05</v>
      </c>
      <c r="J10" s="240">
        <v>0.05</v>
      </c>
      <c r="K10" s="240">
        <v>0.05</v>
      </c>
      <c r="L10" s="240">
        <v>0</v>
      </c>
      <c r="M10" s="240">
        <v>0</v>
      </c>
      <c r="N10" s="240">
        <v>0</v>
      </c>
      <c r="O10" s="237">
        <f>SUM(C10:N10)</f>
        <v>0.64000000000000012</v>
      </c>
      <c r="P10" s="240"/>
      <c r="Q10" s="240"/>
      <c r="R10" s="240"/>
      <c r="S10" s="240"/>
      <c r="T10" s="240"/>
      <c r="U10" s="240"/>
      <c r="V10" s="240"/>
      <c r="W10" s="240"/>
      <c r="X10" s="240"/>
      <c r="Y10" s="240"/>
      <c r="Z10" s="240"/>
      <c r="AA10" s="240"/>
      <c r="AC10" s="73"/>
      <c r="AD10" s="73"/>
      <c r="AE10" s="73"/>
      <c r="AF10" s="73"/>
      <c r="AG10" s="73"/>
      <c r="AH10" s="73"/>
      <c r="AI10" s="73"/>
      <c r="AJ10" s="73"/>
      <c r="AK10" s="73"/>
      <c r="AL10" s="73"/>
      <c r="AM10" s="73"/>
      <c r="AN10" s="73"/>
    </row>
    <row r="11" spans="1:45" ht="15.6" customHeight="1" x14ac:dyDescent="0.3">
      <c r="A11" s="233" t="s">
        <v>315</v>
      </c>
      <c r="B11" s="233" t="s">
        <v>316</v>
      </c>
      <c r="C11" s="240">
        <v>0.2</v>
      </c>
      <c r="D11" s="240">
        <v>0.17</v>
      </c>
      <c r="E11" s="240">
        <v>0.16</v>
      </c>
      <c r="F11" s="240">
        <v>0.15</v>
      </c>
      <c r="G11" s="240">
        <v>0.09</v>
      </c>
      <c r="H11" s="240">
        <v>0.05</v>
      </c>
      <c r="I11" s="240">
        <v>0.05</v>
      </c>
      <c r="J11" s="240">
        <v>0.04</v>
      </c>
      <c r="K11" s="240">
        <v>0</v>
      </c>
      <c r="L11" s="240">
        <v>0</v>
      </c>
      <c r="M11" s="240">
        <v>0</v>
      </c>
      <c r="N11" s="240">
        <v>0</v>
      </c>
      <c r="O11" s="237">
        <f>SUM(C11:N11)</f>
        <v>0.91000000000000014</v>
      </c>
      <c r="P11" s="240"/>
      <c r="Q11" s="240"/>
      <c r="R11" s="240"/>
      <c r="S11" s="240"/>
      <c r="T11" s="240"/>
      <c r="U11" s="240"/>
      <c r="V11" s="240"/>
      <c r="W11" s="240"/>
      <c r="X11" s="240"/>
      <c r="Y11" s="240"/>
      <c r="Z11" s="240"/>
      <c r="AA11" s="240"/>
      <c r="AC11" s="73"/>
      <c r="AD11" s="73"/>
      <c r="AE11" s="73"/>
      <c r="AF11" s="73"/>
      <c r="AG11" s="73"/>
      <c r="AH11" s="73"/>
      <c r="AI11" s="73"/>
      <c r="AJ11" s="73"/>
      <c r="AK11" s="73"/>
      <c r="AL11" s="73"/>
      <c r="AM11" s="73"/>
      <c r="AN11" s="73"/>
    </row>
    <row r="12" spans="1:45" ht="46.95" customHeight="1" x14ac:dyDescent="0.3">
      <c r="A12" s="234" t="s">
        <v>317</v>
      </c>
      <c r="B12" s="234" t="s">
        <v>318</v>
      </c>
      <c r="C12" s="240">
        <v>0.2</v>
      </c>
      <c r="D12" s="240">
        <v>0.17</v>
      </c>
      <c r="E12" s="240">
        <v>0.16</v>
      </c>
      <c r="F12" s="240">
        <v>0.15</v>
      </c>
      <c r="G12" s="240">
        <v>0.09</v>
      </c>
      <c r="H12" s="240">
        <v>0.05</v>
      </c>
      <c r="I12" s="240">
        <v>0.05</v>
      </c>
      <c r="J12" s="240">
        <v>0.04</v>
      </c>
      <c r="K12" s="240">
        <v>0</v>
      </c>
      <c r="L12" s="240">
        <v>0</v>
      </c>
      <c r="M12" s="240">
        <v>0</v>
      </c>
      <c r="N12" s="240">
        <v>0</v>
      </c>
      <c r="O12" s="237">
        <f t="shared" si="1"/>
        <v>0.91000000000000014</v>
      </c>
      <c r="P12" s="240"/>
      <c r="Q12" s="240"/>
      <c r="R12" s="240"/>
      <c r="S12" s="240"/>
      <c r="T12" s="240"/>
      <c r="U12" s="240"/>
      <c r="V12" s="240"/>
      <c r="W12" s="240"/>
      <c r="X12" s="240"/>
      <c r="Y12" s="240"/>
      <c r="Z12" s="240"/>
      <c r="AA12" s="240"/>
      <c r="AC12" s="73"/>
      <c r="AD12" s="73"/>
      <c r="AE12" s="73"/>
      <c r="AF12" s="73"/>
      <c r="AG12" s="73"/>
      <c r="AH12" s="73"/>
      <c r="AI12" s="73"/>
      <c r="AJ12" s="73"/>
      <c r="AK12" s="73"/>
      <c r="AL12" s="73"/>
      <c r="AM12" s="73"/>
      <c r="AN12" s="73"/>
    </row>
    <row r="13" spans="1:45" ht="31.2" customHeight="1" x14ac:dyDescent="0.3">
      <c r="A13" s="234" t="s">
        <v>319</v>
      </c>
      <c r="B13" s="234" t="s">
        <v>320</v>
      </c>
      <c r="C13" s="240">
        <v>0.14000000000000001</v>
      </c>
      <c r="D13" s="240">
        <v>0.1</v>
      </c>
      <c r="E13" s="240">
        <v>0.1</v>
      </c>
      <c r="F13" s="240">
        <v>0.05</v>
      </c>
      <c r="G13" s="240">
        <v>0.05</v>
      </c>
      <c r="H13" s="240">
        <v>0.05</v>
      </c>
      <c r="I13" s="240">
        <v>0.05</v>
      </c>
      <c r="J13" s="240">
        <v>0.05</v>
      </c>
      <c r="K13" s="240">
        <v>0.05</v>
      </c>
      <c r="L13" s="240">
        <v>0</v>
      </c>
      <c r="M13" s="240">
        <v>0</v>
      </c>
      <c r="N13" s="240">
        <v>0</v>
      </c>
      <c r="O13" s="237">
        <f t="shared" si="1"/>
        <v>0.64000000000000012</v>
      </c>
      <c r="P13" s="240"/>
      <c r="Q13" s="240"/>
      <c r="R13" s="240"/>
      <c r="S13" s="240"/>
      <c r="T13" s="240"/>
      <c r="U13" s="240"/>
      <c r="V13" s="240"/>
      <c r="W13" s="240"/>
      <c r="X13" s="240"/>
      <c r="Y13" s="240"/>
      <c r="Z13" s="240"/>
      <c r="AA13" s="240"/>
      <c r="AC13" s="73"/>
      <c r="AD13" s="73"/>
      <c r="AE13" s="73"/>
      <c r="AF13" s="73"/>
      <c r="AG13" s="73"/>
      <c r="AH13" s="73"/>
      <c r="AI13" s="73"/>
      <c r="AJ13" s="73"/>
      <c r="AK13" s="73"/>
      <c r="AL13" s="73"/>
      <c r="AM13" s="73"/>
      <c r="AN13" s="73"/>
    </row>
    <row r="14" spans="1:45" ht="46.95" customHeight="1" x14ac:dyDescent="0.3">
      <c r="A14" s="234" t="s">
        <v>321</v>
      </c>
      <c r="B14" s="234" t="s">
        <v>322</v>
      </c>
      <c r="C14" s="240">
        <v>0.04</v>
      </c>
      <c r="D14" s="240">
        <v>0.04</v>
      </c>
      <c r="E14" s="240">
        <v>1.7000000000000001E-2</v>
      </c>
      <c r="F14" s="240">
        <v>1.7000000000000001E-2</v>
      </c>
      <c r="G14" s="240">
        <v>1.7000000000000001E-2</v>
      </c>
      <c r="H14" s="240">
        <v>1.7000000000000001E-2</v>
      </c>
      <c r="I14" s="240">
        <v>1.7000000000000001E-2</v>
      </c>
      <c r="J14" s="240">
        <v>1.7000000000000001E-2</v>
      </c>
      <c r="K14" s="240">
        <v>1.7000000000000001E-2</v>
      </c>
      <c r="L14" s="240">
        <v>1.7000000000000001E-2</v>
      </c>
      <c r="M14" s="240">
        <v>1.7000000000000001E-2</v>
      </c>
      <c r="N14" s="240">
        <v>1.7000000000000001E-2</v>
      </c>
      <c r="O14" s="237">
        <f>SUM(C14:N14)</f>
        <v>0.25000000000000011</v>
      </c>
      <c r="P14" s="240"/>
      <c r="Q14" s="240"/>
      <c r="R14" s="240"/>
      <c r="S14" s="240"/>
      <c r="T14" s="240"/>
      <c r="U14" s="240"/>
      <c r="V14" s="240"/>
      <c r="W14" s="240"/>
      <c r="X14" s="240"/>
      <c r="Y14" s="240"/>
      <c r="Z14" s="240"/>
      <c r="AA14" s="240"/>
      <c r="AC14" s="73"/>
      <c r="AD14" s="73"/>
      <c r="AE14" s="73"/>
      <c r="AF14" s="73"/>
      <c r="AG14" s="73"/>
      <c r="AH14" s="73"/>
      <c r="AI14" s="73"/>
      <c r="AJ14" s="73"/>
      <c r="AK14" s="73"/>
      <c r="AL14" s="73"/>
      <c r="AM14" s="73"/>
      <c r="AN14" s="73"/>
    </row>
    <row r="15" spans="1:45" ht="15.75" customHeight="1" x14ac:dyDescent="0.3">
      <c r="B15" s="234"/>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6"/>
  <sheetViews>
    <sheetView topLeftCell="D2" zoomScale="90" zoomScaleNormal="90" workbookViewId="0">
      <selection activeCell="M24" sqref="M24"/>
    </sheetView>
  </sheetViews>
  <sheetFormatPr defaultColWidth="11.554687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094" t="s">
        <v>53</v>
      </c>
      <c r="C1" s="1094"/>
      <c r="D1" s="1094"/>
      <c r="E1" s="1094"/>
      <c r="F1" s="1094"/>
      <c r="G1" s="1094"/>
      <c r="H1" s="1094"/>
      <c r="I1" s="1094"/>
      <c r="J1" s="1094"/>
      <c r="K1" s="1094"/>
      <c r="L1" s="1094"/>
      <c r="M1" s="1094"/>
      <c r="N1" s="1094"/>
      <c r="O1" s="1094"/>
      <c r="P1" s="1094"/>
      <c r="Q1" s="1094"/>
      <c r="R1" s="1094"/>
      <c r="S1" s="1094"/>
      <c r="T1" s="1094"/>
      <c r="U1" s="1094"/>
      <c r="V1" s="1094"/>
      <c r="W1" s="1094"/>
      <c r="X1" s="1094"/>
      <c r="Y1" s="1094"/>
      <c r="Z1" s="1094"/>
      <c r="AA1" s="1094"/>
      <c r="AB1" s="1094"/>
      <c r="AC1" s="1094"/>
    </row>
    <row r="2" spans="2:30" ht="14.25" customHeight="1" x14ac:dyDescent="0.3">
      <c r="B2" s="1122" t="s">
        <v>323</v>
      </c>
      <c r="C2" s="1122"/>
      <c r="D2" s="1122"/>
      <c r="E2" s="1122"/>
      <c r="F2" s="1122"/>
      <c r="G2" s="1122"/>
      <c r="H2" s="1122"/>
      <c r="I2" s="1122"/>
      <c r="J2" s="1122"/>
      <c r="K2" s="1122"/>
      <c r="L2" s="1122"/>
      <c r="M2" s="1122"/>
      <c r="N2" s="1122"/>
      <c r="O2" s="1122"/>
      <c r="P2" s="1122"/>
      <c r="Q2" s="1122"/>
      <c r="R2" s="1122"/>
      <c r="S2" s="1122"/>
      <c r="T2" s="1122"/>
      <c r="U2" s="1122"/>
      <c r="V2" s="1122"/>
      <c r="W2" s="1122"/>
      <c r="X2" s="1122"/>
      <c r="Y2" s="1122"/>
      <c r="Z2" s="1122"/>
      <c r="AA2" s="1122"/>
      <c r="AB2" s="1122"/>
      <c r="AC2" s="1122"/>
    </row>
    <row r="3" spans="2:30" x14ac:dyDescent="0.3">
      <c r="B3" s="1122"/>
      <c r="C3" s="1122"/>
      <c r="D3" s="1122"/>
      <c r="E3" s="1122"/>
      <c r="F3" s="1122"/>
      <c r="G3" s="1122"/>
      <c r="H3" s="1122"/>
      <c r="I3" s="1122"/>
      <c r="J3" s="1122"/>
      <c r="K3" s="1122"/>
      <c r="L3" s="1122"/>
      <c r="M3" s="1122"/>
      <c r="N3" s="1122"/>
      <c r="O3" s="1122"/>
      <c r="P3" s="1122"/>
      <c r="Q3" s="1122"/>
      <c r="R3" s="1122"/>
      <c r="S3" s="1122"/>
      <c r="T3" s="1122"/>
      <c r="U3" s="1122"/>
      <c r="V3" s="1122"/>
      <c r="W3" s="1122"/>
      <c r="X3" s="1122"/>
      <c r="Y3" s="1122"/>
      <c r="Z3" s="1122"/>
      <c r="AA3" s="1122"/>
      <c r="AB3" s="1122"/>
      <c r="AC3" s="1122"/>
    </row>
    <row r="4" spans="2:30" x14ac:dyDescent="0.3">
      <c r="B4" s="1122"/>
      <c r="C4" s="1122"/>
      <c r="D4" s="1122"/>
      <c r="E4" s="1122"/>
      <c r="F4" s="1122"/>
      <c r="G4" s="1122"/>
      <c r="H4" s="1122"/>
      <c r="I4" s="1122"/>
      <c r="J4" s="1122"/>
      <c r="K4" s="1122"/>
      <c r="L4" s="1122"/>
      <c r="M4" s="1122"/>
      <c r="N4" s="1122"/>
      <c r="O4" s="1122"/>
      <c r="P4" s="1122"/>
      <c r="Q4" s="1122"/>
      <c r="R4" s="1122"/>
      <c r="S4" s="1122"/>
      <c r="T4" s="1122"/>
      <c r="U4" s="1122"/>
      <c r="V4" s="1122"/>
      <c r="W4" s="1122"/>
      <c r="X4" s="1122"/>
      <c r="Y4" s="1122"/>
      <c r="Z4" s="1122"/>
      <c r="AA4" s="1122"/>
      <c r="AB4" s="1122"/>
      <c r="AC4" s="1122"/>
    </row>
    <row r="5" spans="2:30" x14ac:dyDescent="0.3">
      <c r="B5" s="1122"/>
      <c r="C5" s="1122"/>
      <c r="D5" s="1122"/>
      <c r="E5" s="1122"/>
      <c r="F5" s="1122"/>
      <c r="G5" s="1122"/>
      <c r="H5" s="1122"/>
      <c r="I5" s="1122"/>
      <c r="J5" s="1122"/>
      <c r="K5" s="1122"/>
      <c r="L5" s="1122"/>
      <c r="M5" s="1122"/>
      <c r="N5" s="1122"/>
      <c r="O5" s="1122"/>
      <c r="P5" s="1122"/>
      <c r="Q5" s="1122"/>
      <c r="R5" s="1122"/>
      <c r="S5" s="1122"/>
      <c r="T5" s="1122"/>
      <c r="U5" s="1122"/>
      <c r="V5" s="1122"/>
      <c r="W5" s="1122"/>
      <c r="X5" s="1122"/>
      <c r="Y5" s="1122"/>
      <c r="Z5" s="1122"/>
      <c r="AA5" s="1122"/>
      <c r="AB5" s="1122"/>
      <c r="AC5" s="1122"/>
    </row>
    <row r="6" spans="2:30" ht="38.700000000000003" customHeight="1" x14ac:dyDescent="0.3">
      <c r="B6" s="1122"/>
      <c r="C6" s="1122"/>
      <c r="D6" s="1122"/>
      <c r="E6" s="1122"/>
      <c r="F6" s="1122"/>
      <c r="G6" s="1122"/>
      <c r="H6" s="1122"/>
      <c r="I6" s="1122"/>
      <c r="J6" s="1122"/>
      <c r="K6" s="1122"/>
      <c r="L6" s="1122"/>
      <c r="M6" s="1122"/>
      <c r="N6" s="1122"/>
      <c r="O6" s="1122"/>
      <c r="P6" s="1122"/>
      <c r="Q6" s="1122"/>
      <c r="R6" s="1122"/>
      <c r="S6" s="1122"/>
      <c r="T6" s="1122"/>
      <c r="U6" s="1122"/>
      <c r="V6" s="1122"/>
      <c r="W6" s="1122"/>
      <c r="X6" s="1122"/>
      <c r="Y6" s="1122"/>
      <c r="Z6" s="1122"/>
      <c r="AA6" s="1122"/>
      <c r="AB6" s="1122"/>
      <c r="AC6" s="1122"/>
    </row>
    <row r="7" spans="2:30" x14ac:dyDescent="0.3">
      <c r="B7" s="268"/>
      <c r="C7" s="268"/>
      <c r="D7" s="268"/>
      <c r="E7" s="268"/>
      <c r="F7" s="268"/>
      <c r="G7" s="268"/>
      <c r="H7" s="269"/>
      <c r="I7" s="269"/>
      <c r="J7" s="269"/>
      <c r="K7" s="269"/>
      <c r="L7" s="269"/>
      <c r="M7" s="269"/>
      <c r="N7" s="269"/>
      <c r="O7" s="269"/>
      <c r="P7" s="269"/>
      <c r="Q7" s="269"/>
      <c r="R7" s="269"/>
      <c r="S7" s="269"/>
      <c r="T7" s="269"/>
      <c r="U7" s="269"/>
      <c r="V7" s="269"/>
      <c r="W7" s="269"/>
      <c r="X7" s="269"/>
      <c r="Y7" s="269"/>
    </row>
    <row r="8" spans="2:30" ht="14.7" customHeight="1" x14ac:dyDescent="0.3">
      <c r="B8" s="1123" t="s">
        <v>324</v>
      </c>
      <c r="C8" s="1107"/>
      <c r="D8" s="1104" t="s">
        <v>325</v>
      </c>
      <c r="E8" s="1105"/>
      <c r="F8" s="1105"/>
      <c r="G8" s="1105"/>
      <c r="H8" s="1105"/>
      <c r="I8" s="1105"/>
      <c r="J8" s="1105"/>
      <c r="K8" s="1105"/>
      <c r="L8" s="1105"/>
      <c r="M8" s="1105"/>
      <c r="N8" s="1105"/>
      <c r="O8" s="1105"/>
      <c r="P8" s="1105"/>
      <c r="Q8" s="1106"/>
      <c r="R8" s="1106"/>
      <c r="S8" s="1107"/>
      <c r="T8" s="1131" t="s">
        <v>326</v>
      </c>
      <c r="U8" s="1132"/>
      <c r="V8" s="1132"/>
      <c r="W8" s="1132"/>
      <c r="X8" s="1132"/>
      <c r="Y8" s="1132"/>
      <c r="Z8" s="1132"/>
      <c r="AA8" s="1132"/>
      <c r="AB8" s="1132"/>
      <c r="AC8" s="1133"/>
    </row>
    <row r="9" spans="2:30" ht="12.75" customHeight="1" x14ac:dyDescent="0.3">
      <c r="B9" s="1124"/>
      <c r="C9" s="1125"/>
      <c r="D9" s="142">
        <v>2018</v>
      </c>
      <c r="E9" s="1095">
        <v>2019</v>
      </c>
      <c r="F9" s="1096"/>
      <c r="G9" s="1096"/>
      <c r="H9" s="1103"/>
      <c r="I9" s="1096">
        <v>2020</v>
      </c>
      <c r="J9" s="1096"/>
      <c r="K9" s="1096"/>
      <c r="L9" s="1096"/>
      <c r="M9" s="1095">
        <v>2021</v>
      </c>
      <c r="N9" s="1096"/>
      <c r="O9" s="1096"/>
      <c r="P9" s="1096"/>
      <c r="Q9" s="1129">
        <v>2022</v>
      </c>
      <c r="R9" s="1130"/>
      <c r="S9" s="253"/>
      <c r="T9" s="288"/>
      <c r="U9" s="1126">
        <v>2023</v>
      </c>
      <c r="V9" s="1127"/>
      <c r="W9" s="1127"/>
      <c r="X9" s="1128"/>
      <c r="Y9" s="1126">
        <v>2024</v>
      </c>
      <c r="Z9" s="1127"/>
      <c r="AA9" s="1127"/>
      <c r="AB9" s="1127"/>
      <c r="AC9" s="259">
        <v>2025</v>
      </c>
    </row>
    <row r="10" spans="2:30" ht="14.7" customHeight="1" x14ac:dyDescent="0.3">
      <c r="B10" s="1124"/>
      <c r="C10" s="1125"/>
      <c r="D10" s="153" t="s">
        <v>327</v>
      </c>
      <c r="E10" s="153" t="s">
        <v>328</v>
      </c>
      <c r="F10" s="152" t="s">
        <v>329</v>
      </c>
      <c r="G10" s="152" t="s">
        <v>238</v>
      </c>
      <c r="H10" s="204" t="s">
        <v>327</v>
      </c>
      <c r="I10" s="152" t="s">
        <v>328</v>
      </c>
      <c r="J10" s="152" t="s">
        <v>329</v>
      </c>
      <c r="K10" s="152" t="s">
        <v>238</v>
      </c>
      <c r="L10" s="152" t="s">
        <v>327</v>
      </c>
      <c r="M10" s="153" t="s">
        <v>328</v>
      </c>
      <c r="N10" s="152" t="s">
        <v>329</v>
      </c>
      <c r="O10" s="152" t="s">
        <v>238</v>
      </c>
      <c r="P10" s="152" t="s">
        <v>327</v>
      </c>
      <c r="Q10" s="153" t="s">
        <v>328</v>
      </c>
      <c r="R10" s="152" t="s">
        <v>329</v>
      </c>
      <c r="S10" s="204" t="s">
        <v>238</v>
      </c>
      <c r="T10" s="275" t="s">
        <v>327</v>
      </c>
      <c r="U10" s="274" t="s">
        <v>328</v>
      </c>
      <c r="V10" s="275" t="s">
        <v>329</v>
      </c>
      <c r="W10" s="275" t="s">
        <v>238</v>
      </c>
      <c r="X10" s="276" t="s">
        <v>327</v>
      </c>
      <c r="Y10" s="274" t="s">
        <v>328</v>
      </c>
      <c r="Z10" s="270" t="s">
        <v>329</v>
      </c>
      <c r="AA10" s="275" t="s">
        <v>238</v>
      </c>
      <c r="AB10" s="275" t="s">
        <v>327</v>
      </c>
      <c r="AC10" s="278" t="s">
        <v>328</v>
      </c>
    </row>
    <row r="11" spans="2:30" x14ac:dyDescent="0.3">
      <c r="B11" s="263" t="s">
        <v>102</v>
      </c>
      <c r="C11" s="280" t="s">
        <v>330</v>
      </c>
      <c r="D11" s="287">
        <f>'Haver Pivoted'!GO14</f>
        <v>27.8</v>
      </c>
      <c r="E11" s="283">
        <f>'Haver Pivoted'!GP14</f>
        <v>29.4</v>
      </c>
      <c r="F11" s="283">
        <f>'Haver Pivoted'!GQ14</f>
        <v>26.9</v>
      </c>
      <c r="G11" s="283">
        <f>'Haver Pivoted'!GR14</f>
        <v>26.4</v>
      </c>
      <c r="H11" s="283">
        <f>'Haver Pivoted'!GS14</f>
        <v>27.7</v>
      </c>
      <c r="I11" s="283">
        <f>'Haver Pivoted'!GT14</f>
        <v>40.700000000000003</v>
      </c>
      <c r="J11" s="283">
        <f>'Haver Pivoted'!GU14</f>
        <v>1007.5</v>
      </c>
      <c r="K11" s="283">
        <f>'Haver Pivoted'!GV14</f>
        <v>792.9</v>
      </c>
      <c r="L11" s="283">
        <f>'Haver Pivoted'!GW14</f>
        <v>308.5</v>
      </c>
      <c r="M11" s="283">
        <f>'Haver Pivoted'!GX14</f>
        <v>556.20000000000005</v>
      </c>
      <c r="N11" s="283">
        <f>'Haver Pivoted'!GY14</f>
        <v>448.6</v>
      </c>
      <c r="O11" s="283">
        <f>'Haver Pivoted'!GZ14</f>
        <v>245.1</v>
      </c>
      <c r="P11" s="283">
        <f>'Haver Pivoted'!HA14</f>
        <v>33.799999999999997</v>
      </c>
      <c r="Q11" s="283">
        <f>'Haver Pivoted'!HB14</f>
        <v>23.6</v>
      </c>
      <c r="R11" s="283">
        <f>'Haver Pivoted'!HC14</f>
        <v>18.600000000000001</v>
      </c>
      <c r="S11" s="144">
        <f>'Haver Pivoted'!HD14</f>
        <v>18.5</v>
      </c>
      <c r="T11" s="281">
        <f>SUM(T12+T13+T20)</f>
        <v>18.93224299065421</v>
      </c>
      <c r="U11" s="281">
        <f t="shared" ref="U11:AC11" si="0">U12+U13+U20</f>
        <v>18.56915887850468</v>
      </c>
      <c r="V11" s="281">
        <f t="shared" si="0"/>
        <v>18.257943925233651</v>
      </c>
      <c r="W11" s="281">
        <f t="shared" si="0"/>
        <v>18.315000000000008</v>
      </c>
      <c r="X11" s="281">
        <f t="shared" si="0"/>
        <v>18.418738317757018</v>
      </c>
      <c r="Y11" s="281">
        <f t="shared" si="0"/>
        <v>18.787009345794402</v>
      </c>
      <c r="Z11" s="281">
        <f t="shared" si="0"/>
        <v>20.602429906542067</v>
      </c>
      <c r="AA11" s="281">
        <f t="shared" si="0"/>
        <v>20.856588785046743</v>
      </c>
      <c r="AB11" s="281">
        <f t="shared" si="0"/>
        <v>21.17299065420562</v>
      </c>
      <c r="AC11" s="257">
        <f t="shared" si="0"/>
        <v>21.479018691588795</v>
      </c>
      <c r="AD11" s="155" t="s">
        <v>331</v>
      </c>
    </row>
    <row r="12" spans="2:30" x14ac:dyDescent="0.3">
      <c r="B12" s="260" t="s">
        <v>332</v>
      </c>
      <c r="C12" s="261" t="s">
        <v>333</v>
      </c>
      <c r="D12" s="284">
        <f>'Haver Pivoted'!GO63</f>
        <v>0</v>
      </c>
      <c r="E12" s="139">
        <f>'Haver Pivoted'!GP63</f>
        <v>0</v>
      </c>
      <c r="F12" s="139">
        <f>'Haver Pivoted'!GQ63</f>
        <v>0</v>
      </c>
      <c r="G12" s="139">
        <f>'Haver Pivoted'!GR63</f>
        <v>0</v>
      </c>
      <c r="H12" s="139">
        <f>'Haver Pivoted'!GS63</f>
        <v>0</v>
      </c>
      <c r="I12" s="139">
        <f>'Haver Pivoted'!GT63</f>
        <v>0</v>
      </c>
      <c r="J12" s="139">
        <f>'Haver Pivoted'!GU63</f>
        <v>0.1</v>
      </c>
      <c r="K12" s="139">
        <f>'Haver Pivoted'!GV63</f>
        <v>3.7</v>
      </c>
      <c r="L12" s="139">
        <f>'Haver Pivoted'!GW63</f>
        <v>12.9</v>
      </c>
      <c r="M12" s="139">
        <f>'Haver Pivoted'!GX63</f>
        <v>25.5</v>
      </c>
      <c r="N12" s="139">
        <f>'Haver Pivoted'!GY63</f>
        <v>3.8</v>
      </c>
      <c r="O12" s="139">
        <f>'Haver Pivoted'!GZ63</f>
        <v>1.8</v>
      </c>
      <c r="P12" s="139">
        <f>'Haver Pivoted'!HA63</f>
        <v>0.6</v>
      </c>
      <c r="Q12" s="139">
        <f>'Haver Pivoted'!HB63</f>
        <v>0.2</v>
      </c>
      <c r="R12" s="139">
        <f>'Haver Pivoted'!HC63</f>
        <v>0.1</v>
      </c>
      <c r="S12" s="204">
        <f>'Haver Pivoted'!HD63</f>
        <v>0</v>
      </c>
      <c r="T12" s="250">
        <f>MAX(S12*(T22-5)/(S22-5),0)</f>
        <v>0</v>
      </c>
      <c r="U12" s="250">
        <f t="shared" ref="U12:AB12" si="1">T12*U22/T22</f>
        <v>0</v>
      </c>
      <c r="V12" s="250">
        <f t="shared" si="1"/>
        <v>0</v>
      </c>
      <c r="W12" s="250">
        <f t="shared" si="1"/>
        <v>0</v>
      </c>
      <c r="X12" s="250">
        <f t="shared" si="1"/>
        <v>0</v>
      </c>
      <c r="Y12" s="250">
        <f t="shared" si="1"/>
        <v>0</v>
      </c>
      <c r="Z12" s="250">
        <f t="shared" si="1"/>
        <v>0</v>
      </c>
      <c r="AA12" s="250">
        <f t="shared" si="1"/>
        <v>0</v>
      </c>
      <c r="AB12" s="250">
        <f t="shared" si="1"/>
        <v>0</v>
      </c>
      <c r="AC12" s="254">
        <f>AB12*AC22/AB22</f>
        <v>0</v>
      </c>
    </row>
    <row r="13" spans="2:30" x14ac:dyDescent="0.3">
      <c r="B13" s="260" t="s">
        <v>334</v>
      </c>
      <c r="C13" s="261"/>
      <c r="D13" s="284"/>
      <c r="E13" s="139"/>
      <c r="F13" s="139"/>
      <c r="G13" s="139"/>
      <c r="H13" s="148">
        <f>SUM(H14:H17)</f>
        <v>0</v>
      </c>
      <c r="I13" s="148">
        <f t="shared" ref="I13:M13" si="2">SUM(I14:I17)</f>
        <v>0</v>
      </c>
      <c r="J13" s="148">
        <f t="shared" si="2"/>
        <v>779.7</v>
      </c>
      <c r="K13" s="148">
        <f t="shared" si="2"/>
        <v>582.6</v>
      </c>
      <c r="L13" s="148">
        <f t="shared" si="2"/>
        <v>216.5</v>
      </c>
      <c r="M13" s="148">
        <f t="shared" si="2"/>
        <v>497.6</v>
      </c>
      <c r="N13" s="158">
        <f>SUM(N14:N17)</f>
        <v>401.5</v>
      </c>
      <c r="O13" s="158">
        <f t="shared" ref="O13:AC13" si="3">SUM(O14:O17)</f>
        <v>207.4</v>
      </c>
      <c r="P13" s="158">
        <f t="shared" si="3"/>
        <v>5.5</v>
      </c>
      <c r="Q13" s="158">
        <v>0</v>
      </c>
      <c r="R13" s="158">
        <f t="shared" si="3"/>
        <v>1</v>
      </c>
      <c r="S13" s="246">
        <f t="shared" si="3"/>
        <v>0.5</v>
      </c>
      <c r="T13" s="250">
        <f t="shared" si="3"/>
        <v>0.51168224299065423</v>
      </c>
      <c r="U13" s="250">
        <f t="shared" si="3"/>
        <v>0.5018691588785047</v>
      </c>
      <c r="V13" s="250">
        <f t="shared" si="3"/>
        <v>0.49345794392523368</v>
      </c>
      <c r="W13" s="250">
        <f t="shared" si="3"/>
        <v>0.49500000000000005</v>
      </c>
      <c r="X13" s="250">
        <f t="shared" si="3"/>
        <v>0.49780373831775704</v>
      </c>
      <c r="Y13" s="250">
        <f t="shared" si="3"/>
        <v>0.50775700934579437</v>
      </c>
      <c r="Z13" s="250">
        <f t="shared" si="3"/>
        <v>0.55682242990654207</v>
      </c>
      <c r="AA13" s="250">
        <f t="shared" si="3"/>
        <v>0.56369158878504677</v>
      </c>
      <c r="AB13" s="250">
        <f t="shared" si="3"/>
        <v>0.5722429906542057</v>
      </c>
      <c r="AC13" s="254">
        <f t="shared" si="3"/>
        <v>0.58051401869158892</v>
      </c>
    </row>
    <row r="14" spans="2:30" ht="18" customHeight="1" x14ac:dyDescent="0.3">
      <c r="B14" s="262" t="s">
        <v>335</v>
      </c>
      <c r="C14" s="140" t="s">
        <v>333</v>
      </c>
      <c r="D14" s="282">
        <f>'Haver Pivoted'!GO63</f>
        <v>0</v>
      </c>
      <c r="E14" s="150">
        <f>'Haver Pivoted'!GP63</f>
        <v>0</v>
      </c>
      <c r="F14" s="150">
        <f>'Haver Pivoted'!GQ63</f>
        <v>0</v>
      </c>
      <c r="G14" s="150">
        <f>'Haver Pivoted'!GR63</f>
        <v>0</v>
      </c>
      <c r="H14" s="150">
        <f>'Haver Pivoted'!GS63</f>
        <v>0</v>
      </c>
      <c r="I14" s="150">
        <f>'Haver Pivoted'!GT63</f>
        <v>0</v>
      </c>
      <c r="J14" s="150">
        <f>'Haver Pivoted'!GU63</f>
        <v>0.1</v>
      </c>
      <c r="K14" s="150">
        <f>'Haver Pivoted'!GV63</f>
        <v>3.7</v>
      </c>
      <c r="L14" s="150">
        <f>'Haver Pivoted'!GW63</f>
        <v>12.9</v>
      </c>
      <c r="M14" s="150">
        <f>'Haver Pivoted'!GX63</f>
        <v>25.5</v>
      </c>
      <c r="N14" s="150">
        <f>'Haver Pivoted'!GY63</f>
        <v>3.8</v>
      </c>
      <c r="O14" s="150">
        <f>'Haver Pivoted'!GZ63</f>
        <v>1.8</v>
      </c>
      <c r="P14" s="150">
        <f>'Haver Pivoted'!HA63</f>
        <v>0.6</v>
      </c>
      <c r="Q14" s="150">
        <f>'Haver Pivoted'!HB63</f>
        <v>0.2</v>
      </c>
      <c r="R14" s="150">
        <f>'Haver Pivoted'!HC63</f>
        <v>0.1</v>
      </c>
      <c r="S14" s="247">
        <f>'Haver Pivoted'!HD63</f>
        <v>0</v>
      </c>
      <c r="T14" s="250">
        <f t="shared" ref="T14:X14" si="4">T12</f>
        <v>0</v>
      </c>
      <c r="U14" s="250">
        <f t="shared" si="4"/>
        <v>0</v>
      </c>
      <c r="V14" s="250">
        <f t="shared" si="4"/>
        <v>0</v>
      </c>
      <c r="W14" s="250">
        <f t="shared" si="4"/>
        <v>0</v>
      </c>
      <c r="X14" s="250">
        <f t="shared" si="4"/>
        <v>0</v>
      </c>
      <c r="Y14" s="250">
        <f>Y12</f>
        <v>0</v>
      </c>
      <c r="Z14" s="250">
        <f t="shared" ref="Z14:AC14" si="5">Z12</f>
        <v>0</v>
      </c>
      <c r="AA14" s="250">
        <f t="shared" si="5"/>
        <v>0</v>
      </c>
      <c r="AB14" s="250">
        <f t="shared" si="5"/>
        <v>0</v>
      </c>
      <c r="AC14" s="254">
        <f t="shared" si="5"/>
        <v>0</v>
      </c>
    </row>
    <row r="15" spans="2:30" ht="18" customHeight="1" x14ac:dyDescent="0.3">
      <c r="B15" s="262" t="s">
        <v>336</v>
      </c>
      <c r="C15" s="140" t="s">
        <v>337</v>
      </c>
      <c r="D15" s="282">
        <f>'Haver Pivoted'!GO59</f>
        <v>0</v>
      </c>
      <c r="E15" s="150">
        <f>'Haver Pivoted'!GP59</f>
        <v>0</v>
      </c>
      <c r="F15" s="150">
        <f>'Haver Pivoted'!GQ59</f>
        <v>0</v>
      </c>
      <c r="G15" s="150">
        <f>'Haver Pivoted'!GR59</f>
        <v>0</v>
      </c>
      <c r="H15" s="150">
        <f>'Haver Pivoted'!GS59</f>
        <v>0</v>
      </c>
      <c r="I15" s="150">
        <f>'Haver Pivoted'!GT59</f>
        <v>0</v>
      </c>
      <c r="J15" s="150">
        <f>'Haver Pivoted'!GU59</f>
        <v>6.3</v>
      </c>
      <c r="K15" s="150">
        <f>'Haver Pivoted'!GV59</f>
        <v>26.7</v>
      </c>
      <c r="L15" s="150">
        <f>'Haver Pivoted'!GW59</f>
        <v>82.1</v>
      </c>
      <c r="M15" s="150">
        <f>'Haver Pivoted'!GX59</f>
        <v>94.7</v>
      </c>
      <c r="N15" s="150">
        <f>'Haver Pivoted'!GY59</f>
        <v>92.1</v>
      </c>
      <c r="O15" s="150">
        <f>'Haver Pivoted'!GZ59</f>
        <v>51.6</v>
      </c>
      <c r="P15" s="150">
        <f>'Haver Pivoted'!HA59</f>
        <v>2.8</v>
      </c>
      <c r="Q15" s="150">
        <f>'Haver Pivoted'!HB59</f>
        <v>0.8</v>
      </c>
      <c r="R15" s="150">
        <f>'Haver Pivoted'!HC59</f>
        <v>0.5</v>
      </c>
      <c r="S15" s="247">
        <f>'Haver Pivoted'!HD59</f>
        <v>0.3</v>
      </c>
      <c r="T15" s="250">
        <f t="shared" ref="T15:T17" si="6">S15*T$22/S$22</f>
        <v>0.30700934579439254</v>
      </c>
      <c r="U15" s="250">
        <f t="shared" ref="U15:AB15" si="7">T15*U$22/T$22</f>
        <v>0.30112149532710286</v>
      </c>
      <c r="V15" s="250">
        <f t="shared" si="7"/>
        <v>0.29607476635514024</v>
      </c>
      <c r="W15" s="250">
        <f t="shared" si="7"/>
        <v>0.29700000000000004</v>
      </c>
      <c r="X15" s="250">
        <f t="shared" si="7"/>
        <v>0.29868224299065421</v>
      </c>
      <c r="Y15" s="250">
        <f t="shared" si="7"/>
        <v>0.30465420560747664</v>
      </c>
      <c r="Z15" s="250">
        <f t="shared" si="7"/>
        <v>0.33409345794392525</v>
      </c>
      <c r="AA15" s="250">
        <f t="shared" si="7"/>
        <v>0.33821495327102807</v>
      </c>
      <c r="AB15" s="250">
        <f t="shared" si="7"/>
        <v>0.34334579439252338</v>
      </c>
      <c r="AC15" s="254">
        <f>AB15*AC$22/AB$22</f>
        <v>0.34830841121495332</v>
      </c>
    </row>
    <row r="16" spans="2:30" ht="18" customHeight="1" x14ac:dyDescent="0.3">
      <c r="B16" s="262" t="s">
        <v>338</v>
      </c>
      <c r="C16" s="140" t="s">
        <v>339</v>
      </c>
      <c r="D16" s="282">
        <f>'Haver Pivoted'!GO60</f>
        <v>0</v>
      </c>
      <c r="E16" s="150">
        <f>'Haver Pivoted'!GP60</f>
        <v>0</v>
      </c>
      <c r="F16" s="150">
        <f>'Haver Pivoted'!GQ60</f>
        <v>0</v>
      </c>
      <c r="G16" s="150">
        <f>'Haver Pivoted'!GR60</f>
        <v>0</v>
      </c>
      <c r="H16" s="150">
        <f>'Haver Pivoted'!GS60</f>
        <v>0</v>
      </c>
      <c r="I16" s="150">
        <f>'Haver Pivoted'!GT60</f>
        <v>0</v>
      </c>
      <c r="J16" s="150">
        <f>'Haver Pivoted'!GU60</f>
        <v>74.400000000000006</v>
      </c>
      <c r="K16" s="150">
        <f>'Haver Pivoted'!GV60</f>
        <v>138.30000000000001</v>
      </c>
      <c r="L16" s="150">
        <f>'Haver Pivoted'!GW60</f>
        <v>106.8</v>
      </c>
      <c r="M16" s="150">
        <f>'Haver Pivoted'!GX60</f>
        <v>89.2</v>
      </c>
      <c r="N16" s="150">
        <f>'Haver Pivoted'!GY60</f>
        <v>72.3</v>
      </c>
      <c r="O16" s="150">
        <f>'Haver Pivoted'!GZ60</f>
        <v>43.5</v>
      </c>
      <c r="P16" s="150">
        <f>'Haver Pivoted'!HA60</f>
        <v>2.1</v>
      </c>
      <c r="Q16" s="150">
        <f>'Haver Pivoted'!HB60</f>
        <v>0.8</v>
      </c>
      <c r="R16" s="150">
        <f>'Haver Pivoted'!HC60</f>
        <v>0.4</v>
      </c>
      <c r="S16" s="247">
        <f>'Haver Pivoted'!HD60</f>
        <v>0.2</v>
      </c>
      <c r="T16" s="250">
        <f t="shared" si="6"/>
        <v>0.20467289719626169</v>
      </c>
      <c r="U16" s="250">
        <f t="shared" ref="U16:AB16" si="8">T16*U$22/T$22</f>
        <v>0.20074766355140189</v>
      </c>
      <c r="V16" s="250">
        <f t="shared" si="8"/>
        <v>0.19738317757009347</v>
      </c>
      <c r="W16" s="250">
        <f t="shared" si="8"/>
        <v>0.19800000000000001</v>
      </c>
      <c r="X16" s="250">
        <f t="shared" si="8"/>
        <v>0.19912149532710283</v>
      </c>
      <c r="Y16" s="250">
        <f t="shared" si="8"/>
        <v>0.20310280373831777</v>
      </c>
      <c r="Z16" s="250">
        <f t="shared" si="8"/>
        <v>0.22272897196261685</v>
      </c>
      <c r="AA16" s="250">
        <f t="shared" si="8"/>
        <v>0.22547663551401873</v>
      </c>
      <c r="AB16" s="250">
        <f t="shared" si="8"/>
        <v>0.22889719626168228</v>
      </c>
      <c r="AC16" s="254">
        <f>AB16*AC$22/AB$22</f>
        <v>0.23220560747663554</v>
      </c>
    </row>
    <row r="17" spans="2:30" ht="18" customHeight="1" x14ac:dyDescent="0.3">
      <c r="B17" s="262" t="s">
        <v>340</v>
      </c>
      <c r="C17" s="140" t="s">
        <v>341</v>
      </c>
      <c r="D17" s="282">
        <f>'Haver Pivoted'!GO61</f>
        <v>0</v>
      </c>
      <c r="E17" s="150">
        <f>'Haver Pivoted'!GP61</f>
        <v>0</v>
      </c>
      <c r="F17" s="150">
        <f>'Haver Pivoted'!GQ61</f>
        <v>0</v>
      </c>
      <c r="G17" s="150">
        <f>'Haver Pivoted'!GR61</f>
        <v>0</v>
      </c>
      <c r="H17" s="150">
        <f>'Haver Pivoted'!GS61</f>
        <v>0</v>
      </c>
      <c r="I17" s="150">
        <f>'Haver Pivoted'!GT61</f>
        <v>0</v>
      </c>
      <c r="J17" s="150">
        <f>'Haver Pivoted'!GU61</f>
        <v>698.9</v>
      </c>
      <c r="K17" s="150">
        <f>'Haver Pivoted'!GV61</f>
        <v>413.9</v>
      </c>
      <c r="L17" s="150">
        <f>'Haver Pivoted'!GW61</f>
        <v>14.7</v>
      </c>
      <c r="M17" s="150">
        <f>'Haver Pivoted'!GX61</f>
        <v>288.2</v>
      </c>
      <c r="N17" s="150">
        <f>'Haver Pivoted'!GY61</f>
        <v>233.3</v>
      </c>
      <c r="O17" s="150">
        <f>'Haver Pivoted'!GZ61</f>
        <v>110.5</v>
      </c>
      <c r="P17" s="150">
        <f>'Haver Pivoted'!HA61</f>
        <v>0</v>
      </c>
      <c r="Q17" s="150">
        <f>'Haver Pivoted'!HB61</f>
        <v>0</v>
      </c>
      <c r="R17" s="150">
        <f>'Haver Pivoted'!HC61</f>
        <v>0</v>
      </c>
      <c r="S17" s="247">
        <f>'Haver Pivoted'!HD61</f>
        <v>0</v>
      </c>
      <c r="T17" s="250">
        <f t="shared" si="6"/>
        <v>0</v>
      </c>
      <c r="U17" s="250">
        <f t="shared" ref="U17:AB17" si="9">T17*U$22/T$22</f>
        <v>0</v>
      </c>
      <c r="V17" s="250">
        <f t="shared" si="9"/>
        <v>0</v>
      </c>
      <c r="W17" s="250">
        <f t="shared" si="9"/>
        <v>0</v>
      </c>
      <c r="X17" s="250">
        <f t="shared" si="9"/>
        <v>0</v>
      </c>
      <c r="Y17" s="250">
        <f t="shared" si="9"/>
        <v>0</v>
      </c>
      <c r="Z17" s="250">
        <f t="shared" si="9"/>
        <v>0</v>
      </c>
      <c r="AA17" s="250">
        <f t="shared" si="9"/>
        <v>0</v>
      </c>
      <c r="AB17" s="250">
        <f t="shared" si="9"/>
        <v>0</v>
      </c>
      <c r="AC17" s="254">
        <f>AB17*AC$22/AB$22</f>
        <v>0</v>
      </c>
    </row>
    <row r="18" spans="2:30" x14ac:dyDescent="0.3">
      <c r="B18" s="271" t="s">
        <v>158</v>
      </c>
      <c r="C18" s="155" t="s">
        <v>342</v>
      </c>
      <c r="D18" s="284">
        <f>'Haver Pivoted'!GO64</f>
        <v>0</v>
      </c>
      <c r="E18" s="139">
        <f>'Haver Pivoted'!GP64</f>
        <v>0</v>
      </c>
      <c r="F18" s="139">
        <f>'Haver Pivoted'!GQ64</f>
        <v>0</v>
      </c>
      <c r="G18" s="139">
        <f>'Haver Pivoted'!GR64</f>
        <v>0</v>
      </c>
      <c r="H18" s="139">
        <f>'Haver Pivoted'!GS64</f>
        <v>0</v>
      </c>
      <c r="I18" s="139">
        <f>'Haver Pivoted'!GT64</f>
        <v>0</v>
      </c>
      <c r="J18" s="139">
        <f>'Haver Pivoted'!GU64</f>
        <v>0</v>
      </c>
      <c r="K18" s="139">
        <f>'Haver Pivoted'!GV64</f>
        <v>106.2</v>
      </c>
      <c r="L18" s="139">
        <f>'Haver Pivoted'!GW64</f>
        <v>35.9</v>
      </c>
      <c r="M18" s="139">
        <f>'Haver Pivoted'!GX64</f>
        <v>1.6</v>
      </c>
      <c r="N18" s="139">
        <f>'Haver Pivoted'!GY64</f>
        <v>0.6</v>
      </c>
      <c r="O18" s="139">
        <f>'Haver Pivoted'!GZ64</f>
        <v>0.1</v>
      </c>
      <c r="P18" s="139">
        <f>'Haver Pivoted'!HA64</f>
        <v>0</v>
      </c>
      <c r="Q18" s="150">
        <f>'Haver Pivoted'!HB64</f>
        <v>0</v>
      </c>
      <c r="R18" s="150">
        <f>'Haver Pivoted'!HC64</f>
        <v>0</v>
      </c>
      <c r="S18" s="247">
        <f>'Haver Pivoted'!HD64</f>
        <v>0</v>
      </c>
      <c r="T18" s="250"/>
      <c r="U18" s="250"/>
      <c r="V18" s="250"/>
      <c r="W18" s="250"/>
      <c r="X18" s="250"/>
      <c r="Y18" s="250"/>
      <c r="Z18" s="250"/>
      <c r="AA18" s="250"/>
      <c r="AB18" s="250"/>
      <c r="AC18" s="254"/>
    </row>
    <row r="19" spans="2:30" ht="14.55" customHeight="1" x14ac:dyDescent="0.3">
      <c r="B19" s="272" t="s">
        <v>343</v>
      </c>
      <c r="C19" s="279"/>
      <c r="D19" s="255">
        <f t="shared" ref="D19:N19" si="10">D11-D20</f>
        <v>0</v>
      </c>
      <c r="E19" s="249">
        <f t="shared" si="10"/>
        <v>0</v>
      </c>
      <c r="F19" s="249">
        <f t="shared" si="10"/>
        <v>0</v>
      </c>
      <c r="G19" s="249">
        <f t="shared" si="10"/>
        <v>0</v>
      </c>
      <c r="H19" s="249">
        <f t="shared" si="10"/>
        <v>0</v>
      </c>
      <c r="I19" s="249">
        <f t="shared" si="10"/>
        <v>0</v>
      </c>
      <c r="J19" s="249">
        <f t="shared" si="10"/>
        <v>779.80000000000007</v>
      </c>
      <c r="K19" s="249">
        <f t="shared" si="10"/>
        <v>586.29999999999995</v>
      </c>
      <c r="L19" s="249">
        <f t="shared" si="10"/>
        <v>229.4</v>
      </c>
      <c r="M19" s="249">
        <f t="shared" si="10"/>
        <v>523.1</v>
      </c>
      <c r="N19" s="248">
        <f t="shared" si="10"/>
        <v>405.3</v>
      </c>
      <c r="O19" s="248">
        <f>O11-O20</f>
        <v>209.20000000000002</v>
      </c>
      <c r="P19" s="248">
        <f t="shared" ref="P19" si="11">P11-P20</f>
        <v>6.1000000000000014</v>
      </c>
      <c r="Q19" s="248">
        <f>Q11-Q20</f>
        <v>0.19999999999999929</v>
      </c>
      <c r="R19" s="248">
        <f>R11-R20</f>
        <v>1.1000000000000014</v>
      </c>
      <c r="S19" s="245">
        <f>S11-S20</f>
        <v>0.5</v>
      </c>
      <c r="T19" s="251">
        <v>0</v>
      </c>
      <c r="U19" s="251">
        <v>0</v>
      </c>
      <c r="V19" s="251">
        <v>0</v>
      </c>
      <c r="W19" s="251">
        <v>0</v>
      </c>
      <c r="X19" s="251">
        <v>0</v>
      </c>
      <c r="Y19" s="251">
        <v>0</v>
      </c>
      <c r="Z19" s="251">
        <v>0</v>
      </c>
      <c r="AA19" s="251">
        <v>0</v>
      </c>
      <c r="AB19" s="251">
        <v>0</v>
      </c>
      <c r="AC19" s="256">
        <v>0</v>
      </c>
    </row>
    <row r="20" spans="2:30" ht="14.55" customHeight="1" x14ac:dyDescent="0.3">
      <c r="B20" s="272" t="s">
        <v>344</v>
      </c>
      <c r="C20" s="279"/>
      <c r="D20" s="255">
        <f t="shared" ref="D20:H20" si="12">D11</f>
        <v>27.8</v>
      </c>
      <c r="E20" s="249">
        <f t="shared" si="12"/>
        <v>29.4</v>
      </c>
      <c r="F20" s="249">
        <f t="shared" si="12"/>
        <v>26.9</v>
      </c>
      <c r="G20" s="249">
        <f t="shared" si="12"/>
        <v>26.4</v>
      </c>
      <c r="H20" s="249">
        <f t="shared" si="12"/>
        <v>27.7</v>
      </c>
      <c r="I20" s="249">
        <f>I11</f>
        <v>40.700000000000003</v>
      </c>
      <c r="J20" s="249">
        <f>J11-J13-J12</f>
        <v>227.69999999999996</v>
      </c>
      <c r="K20" s="249">
        <f>K11-K13-K12</f>
        <v>206.59999999999997</v>
      </c>
      <c r="L20" s="249">
        <f>L11-L13-L12</f>
        <v>79.099999999999994</v>
      </c>
      <c r="M20" s="249">
        <f>M11-M13-M12</f>
        <v>33.100000000000023</v>
      </c>
      <c r="N20" s="248">
        <f t="shared" ref="N20:S20" si="13">N11-N12-N13</f>
        <v>43.300000000000011</v>
      </c>
      <c r="O20" s="248">
        <f t="shared" si="13"/>
        <v>35.899999999999977</v>
      </c>
      <c r="P20" s="248">
        <f t="shared" si="13"/>
        <v>27.699999999999996</v>
      </c>
      <c r="Q20" s="150">
        <f t="shared" si="13"/>
        <v>23.400000000000002</v>
      </c>
      <c r="R20" s="150">
        <f t="shared" si="13"/>
        <v>17.5</v>
      </c>
      <c r="S20" s="247">
        <f t="shared" si="13"/>
        <v>18</v>
      </c>
      <c r="T20" s="251">
        <f>S20*T22/S22</f>
        <v>18.420560747663554</v>
      </c>
      <c r="U20" s="251">
        <f t="shared" ref="U20:AB20" si="14">T20*U22/T22</f>
        <v>18.067289719626174</v>
      </c>
      <c r="V20" s="251">
        <f t="shared" si="14"/>
        <v>17.764485981308418</v>
      </c>
      <c r="W20" s="251">
        <f t="shared" si="14"/>
        <v>17.820000000000007</v>
      </c>
      <c r="X20" s="251">
        <f t="shared" si="14"/>
        <v>17.920934579439262</v>
      </c>
      <c r="Y20" s="251">
        <f t="shared" si="14"/>
        <v>18.279252336448607</v>
      </c>
      <c r="Z20" s="251">
        <f t="shared" si="14"/>
        <v>20.045607476635524</v>
      </c>
      <c r="AA20" s="251">
        <f t="shared" si="14"/>
        <v>20.292897196261695</v>
      </c>
      <c r="AB20" s="251">
        <f t="shared" si="14"/>
        <v>20.600747663551413</v>
      </c>
      <c r="AC20" s="256">
        <f>AB20*AC22/AB22</f>
        <v>20.898504672897207</v>
      </c>
      <c r="AD20" s="258" t="s">
        <v>345</v>
      </c>
    </row>
    <row r="21" spans="2:30" x14ac:dyDescent="0.3">
      <c r="B21" s="271"/>
      <c r="C21" s="264"/>
      <c r="D21" s="282"/>
      <c r="E21" s="150"/>
      <c r="F21" s="150"/>
      <c r="G21" s="150"/>
      <c r="H21" s="148"/>
      <c r="I21" s="148"/>
      <c r="J21" s="148"/>
      <c r="K21" s="148"/>
      <c r="L21" s="148"/>
      <c r="M21" s="148"/>
      <c r="N21" s="148"/>
      <c r="O21" s="148"/>
      <c r="P21" s="148"/>
      <c r="Q21" s="148"/>
      <c r="R21" s="148"/>
      <c r="S21" s="297"/>
      <c r="T21" s="252"/>
      <c r="U21" s="252"/>
      <c r="V21" s="252"/>
      <c r="W21" s="252"/>
      <c r="X21" s="252"/>
      <c r="Y21" s="252"/>
      <c r="Z21" s="252"/>
      <c r="AA21" s="252"/>
      <c r="AB21" s="252"/>
      <c r="AC21" s="266"/>
    </row>
    <row r="22" spans="2:30" x14ac:dyDescent="0.3">
      <c r="B22" s="149" t="s">
        <v>346</v>
      </c>
      <c r="C22" s="265"/>
      <c r="D22" s="285"/>
      <c r="E22" s="157"/>
      <c r="F22" s="157"/>
      <c r="G22" s="157"/>
      <c r="H22" s="286"/>
      <c r="I22" s="286"/>
      <c r="J22" s="286"/>
      <c r="K22" s="286"/>
      <c r="L22" s="286"/>
      <c r="M22" s="286">
        <f>D33</f>
        <v>6.166666666666667</v>
      </c>
      <c r="N22" s="286">
        <f>D36</f>
        <v>5.7666666666666657</v>
      </c>
      <c r="O22" s="286">
        <f>D39</f>
        <v>5.1333333333333337</v>
      </c>
      <c r="P22" s="286">
        <f>D42</f>
        <v>4.2333333333333334</v>
      </c>
      <c r="Q22" s="286">
        <f>D45</f>
        <v>3.8000000000000003</v>
      </c>
      <c r="R22" s="298">
        <f>D48</f>
        <v>3.6</v>
      </c>
      <c r="S22" s="299">
        <f>D51</f>
        <v>3.5666666666666664</v>
      </c>
      <c r="T22" s="267">
        <v>3.65</v>
      </c>
      <c r="U22" s="267">
        <v>3.58</v>
      </c>
      <c r="V22" s="267">
        <v>3.52</v>
      </c>
      <c r="W22" s="267">
        <v>3.5310000000000001</v>
      </c>
      <c r="X22" s="267">
        <v>3.5510000000000002</v>
      </c>
      <c r="Y22" s="267">
        <v>3.6219999999999999</v>
      </c>
      <c r="Z22" s="267">
        <v>3.972</v>
      </c>
      <c r="AA22" s="267">
        <v>4.0209999999999999</v>
      </c>
      <c r="AB22" s="267">
        <v>4.0819999999999999</v>
      </c>
      <c r="AC22" s="277">
        <v>4.141</v>
      </c>
      <c r="AD22" s="273" t="s">
        <v>347</v>
      </c>
    </row>
    <row r="23" spans="2:30" x14ac:dyDescent="0.3">
      <c r="C23" s="155"/>
      <c r="D23" s="139"/>
      <c r="E23" s="139"/>
      <c r="F23" s="139"/>
      <c r="G23" s="139"/>
      <c r="H23" s="148"/>
      <c r="I23" s="148"/>
      <c r="J23" s="148"/>
      <c r="K23" s="148"/>
      <c r="L23" s="148"/>
      <c r="M23" s="148"/>
      <c r="N23" s="148"/>
      <c r="O23" s="148"/>
      <c r="P23" s="148"/>
      <c r="AD23" s="273"/>
    </row>
    <row r="24" spans="2:30" ht="15.75" customHeight="1" x14ac:dyDescent="0.3">
      <c r="C24" s="155"/>
      <c r="D24" s="139"/>
      <c r="E24" s="139"/>
      <c r="F24" s="139"/>
      <c r="G24" s="139"/>
      <c r="H24" s="148"/>
      <c r="I24" s="148"/>
      <c r="J24" s="148"/>
      <c r="K24" s="148"/>
      <c r="L24" s="148"/>
      <c r="M24" s="148"/>
      <c r="N24" s="148"/>
      <c r="O24" s="148"/>
      <c r="P24" s="148"/>
      <c r="AD24" s="273"/>
    </row>
    <row r="25" spans="2:30" x14ac:dyDescent="0.3">
      <c r="C25" s="155"/>
      <c r="D25" s="139"/>
      <c r="E25" s="139"/>
      <c r="F25" s="139"/>
      <c r="G25" s="139"/>
      <c r="H25" s="148"/>
      <c r="I25" s="148"/>
      <c r="J25" s="148"/>
      <c r="K25" s="148"/>
      <c r="L25" s="148"/>
      <c r="M25" s="148"/>
      <c r="N25" s="148"/>
      <c r="O25" s="148"/>
      <c r="P25" s="148"/>
      <c r="AD25" s="273"/>
    </row>
    <row r="26" spans="2:30" x14ac:dyDescent="0.3">
      <c r="C26" s="155"/>
      <c r="D26" s="139"/>
      <c r="E26" s="139"/>
      <c r="F26" s="139"/>
      <c r="G26" s="139"/>
      <c r="H26" s="148"/>
      <c r="I26" s="148"/>
      <c r="J26" s="148"/>
      <c r="K26" s="148"/>
      <c r="L26" s="148"/>
      <c r="M26" s="148"/>
      <c r="N26" s="148"/>
      <c r="O26" s="148"/>
      <c r="P26" s="148"/>
      <c r="AD26" s="273"/>
    </row>
    <row r="27" spans="2:30" x14ac:dyDescent="0.3">
      <c r="C27" s="155"/>
      <c r="D27" s="139"/>
      <c r="E27" s="139"/>
      <c r="F27" s="139"/>
      <c r="G27" s="139"/>
      <c r="H27" s="148"/>
      <c r="I27" s="148"/>
      <c r="J27" s="148"/>
      <c r="K27" s="148"/>
      <c r="L27" s="148"/>
      <c r="M27" s="148"/>
      <c r="N27" s="148"/>
      <c r="O27" s="148"/>
      <c r="P27" s="148"/>
      <c r="AD27" s="273"/>
    </row>
    <row r="28" spans="2:30" x14ac:dyDescent="0.3">
      <c r="C28" s="155"/>
      <c r="D28" s="139"/>
      <c r="E28" s="139"/>
      <c r="F28" s="139"/>
      <c r="G28" s="139"/>
      <c r="H28" s="148"/>
      <c r="I28" s="148"/>
      <c r="J28" s="148"/>
      <c r="K28" s="148"/>
      <c r="L28" s="148"/>
      <c r="M28" s="148"/>
      <c r="N28" s="148"/>
      <c r="O28" s="148"/>
      <c r="P28" s="148"/>
      <c r="AD28" s="273"/>
    </row>
    <row r="29" spans="2:30" x14ac:dyDescent="0.3">
      <c r="M29" s="273"/>
      <c r="N29" s="273"/>
      <c r="O29" s="273"/>
    </row>
    <row r="30" spans="2:30" x14ac:dyDescent="0.3">
      <c r="M30" s="155"/>
      <c r="N30" s="155"/>
      <c r="O30" s="155"/>
    </row>
    <row r="31" spans="2:30" x14ac:dyDescent="0.3">
      <c r="M31" s="155"/>
      <c r="N31" s="155"/>
      <c r="O31" s="155"/>
    </row>
    <row r="32" spans="2:30" ht="30.75" customHeight="1" x14ac:dyDescent="0.3">
      <c r="B32" s="289" t="s">
        <v>348</v>
      </c>
      <c r="C32" s="296" t="s">
        <v>349</v>
      </c>
      <c r="D32" s="290" t="s">
        <v>350</v>
      </c>
      <c r="M32" s="155"/>
      <c r="N32" s="155"/>
      <c r="O32" s="155"/>
    </row>
    <row r="33" spans="1:38" x14ac:dyDescent="0.3">
      <c r="A33" s="36"/>
      <c r="B33" s="291">
        <v>44197</v>
      </c>
      <c r="C33" s="293">
        <v>6.3</v>
      </c>
      <c r="D33" s="292">
        <f>AVERAGE(C33:C35)</f>
        <v>6.166666666666667</v>
      </c>
      <c r="E33" s="36"/>
      <c r="M33" s="155"/>
      <c r="N33" s="155"/>
      <c r="O33" s="155"/>
    </row>
    <row r="34" spans="1:38" x14ac:dyDescent="0.3">
      <c r="A34" s="36"/>
      <c r="B34" s="291">
        <v>44228</v>
      </c>
      <c r="C34" s="293">
        <v>6.2</v>
      </c>
      <c r="D34" s="292"/>
      <c r="E34" s="36"/>
      <c r="M34" s="155"/>
      <c r="N34" s="155"/>
      <c r="O34" s="155"/>
    </row>
    <row r="35" spans="1:38" x14ac:dyDescent="0.3">
      <c r="A35" s="36"/>
      <c r="B35" s="291">
        <v>44256</v>
      </c>
      <c r="C35" s="293">
        <v>6</v>
      </c>
      <c r="D35" s="292"/>
      <c r="E35" s="36"/>
      <c r="M35" s="155"/>
      <c r="N35" s="155"/>
      <c r="O35" s="155"/>
    </row>
    <row r="36" spans="1:38" x14ac:dyDescent="0.3">
      <c r="A36" s="36"/>
      <c r="B36" s="291">
        <v>44287</v>
      </c>
      <c r="C36" s="293">
        <v>6.1</v>
      </c>
      <c r="D36" s="292">
        <f>AVERAGE(C36:C38)</f>
        <v>5.7666666666666657</v>
      </c>
      <c r="E36" s="36"/>
      <c r="M36" s="155"/>
      <c r="N36" s="155"/>
      <c r="O36" s="155"/>
    </row>
    <row r="37" spans="1:38" x14ac:dyDescent="0.3">
      <c r="A37" s="36"/>
      <c r="B37" s="291">
        <v>44317</v>
      </c>
      <c r="C37" s="293">
        <v>5.8</v>
      </c>
      <c r="D37" s="292"/>
      <c r="E37" s="36"/>
      <c r="M37" s="155"/>
      <c r="N37" s="155"/>
      <c r="O37" s="155"/>
    </row>
    <row r="38" spans="1:38" x14ac:dyDescent="0.3">
      <c r="A38" s="36"/>
      <c r="B38" s="291">
        <v>44348</v>
      </c>
      <c r="C38" s="293">
        <v>5.4</v>
      </c>
      <c r="D38" s="292"/>
      <c r="E38" s="36"/>
      <c r="M38" s="155"/>
      <c r="N38" s="155"/>
      <c r="O38" s="155"/>
    </row>
    <row r="39" spans="1:38" x14ac:dyDescent="0.3">
      <c r="A39" s="36"/>
      <c r="B39" s="291">
        <v>44378</v>
      </c>
      <c r="C39" s="293">
        <v>5.4</v>
      </c>
      <c r="D39" s="292">
        <f>AVERAGE(C39:C41)</f>
        <v>5.1333333333333337</v>
      </c>
      <c r="E39" s="155" t="s">
        <v>351</v>
      </c>
      <c r="M39" s="155"/>
      <c r="N39" s="155"/>
      <c r="O39" s="155"/>
    </row>
    <row r="40" spans="1:38" x14ac:dyDescent="0.3">
      <c r="A40" s="36"/>
      <c r="B40" s="291">
        <v>44409</v>
      </c>
      <c r="C40" s="293">
        <v>5.2</v>
      </c>
      <c r="D40" s="292"/>
      <c r="E40" s="36"/>
      <c r="M40" s="155"/>
      <c r="N40" s="155"/>
      <c r="O40" s="155"/>
    </row>
    <row r="41" spans="1:38" x14ac:dyDescent="0.3">
      <c r="A41" s="36"/>
      <c r="B41" s="291">
        <v>44440</v>
      </c>
      <c r="C41" s="293">
        <v>4.8</v>
      </c>
      <c r="D41" s="292"/>
      <c r="E41" s="36"/>
      <c r="M41" s="155"/>
      <c r="N41" s="155"/>
      <c r="O41" s="155"/>
    </row>
    <row r="42" spans="1:38" x14ac:dyDescent="0.3">
      <c r="A42" s="36"/>
      <c r="B42" s="291">
        <v>44470</v>
      </c>
      <c r="C42" s="293">
        <v>4.5999999999999996</v>
      </c>
      <c r="D42" s="292">
        <f>AVERAGE(C42:C44)</f>
        <v>4.2333333333333334</v>
      </c>
      <c r="E42" s="36"/>
      <c r="M42" s="155"/>
      <c r="N42" s="155"/>
      <c r="O42" s="155"/>
    </row>
    <row r="43" spans="1:38" x14ac:dyDescent="0.3">
      <c r="A43" s="36"/>
      <c r="B43" s="291">
        <v>44501</v>
      </c>
      <c r="C43" s="293">
        <v>4.2</v>
      </c>
      <c r="D43" s="292"/>
      <c r="E43" s="36"/>
      <c r="M43" s="155"/>
      <c r="N43" s="155"/>
      <c r="O43" s="155"/>
      <c r="AD43" s="155"/>
      <c r="AE43" s="155"/>
      <c r="AF43" s="155"/>
      <c r="AG43" s="155"/>
      <c r="AH43" s="155"/>
      <c r="AI43" s="155"/>
      <c r="AJ43" s="155"/>
      <c r="AK43" s="155"/>
      <c r="AL43" s="155"/>
    </row>
    <row r="44" spans="1:38" x14ac:dyDescent="0.3">
      <c r="A44" s="36"/>
      <c r="B44" s="291">
        <v>44531</v>
      </c>
      <c r="C44" s="293">
        <v>3.9</v>
      </c>
      <c r="D44" s="292"/>
      <c r="E44" s="36"/>
      <c r="M44" s="155"/>
      <c r="N44" s="155"/>
      <c r="O44" s="155"/>
      <c r="AD44" s="155"/>
      <c r="AE44" s="155"/>
      <c r="AF44" s="155"/>
      <c r="AG44" s="155"/>
      <c r="AH44" s="155"/>
      <c r="AI44" s="155"/>
      <c r="AJ44" s="155"/>
      <c r="AK44" s="155"/>
      <c r="AL44" s="155"/>
    </row>
    <row r="45" spans="1:38" x14ac:dyDescent="0.3">
      <c r="A45" s="36"/>
      <c r="B45" s="291">
        <v>44562</v>
      </c>
      <c r="C45" s="293">
        <v>4</v>
      </c>
      <c r="D45" s="293">
        <f>AVERAGE(C45:C47)</f>
        <v>3.8000000000000003</v>
      </c>
      <c r="E45" s="36"/>
      <c r="M45" s="155"/>
      <c r="N45" s="155"/>
      <c r="O45" s="155"/>
    </row>
    <row r="46" spans="1:38" x14ac:dyDescent="0.3">
      <c r="A46" s="36"/>
      <c r="B46" s="291">
        <v>44593</v>
      </c>
      <c r="C46" s="293">
        <v>3.8</v>
      </c>
      <c r="D46" s="293"/>
      <c r="E46" s="36"/>
    </row>
    <row r="47" spans="1:38" x14ac:dyDescent="0.3">
      <c r="A47" s="36"/>
      <c r="B47" s="291">
        <v>44621</v>
      </c>
      <c r="C47" s="293">
        <v>3.6</v>
      </c>
      <c r="D47" s="293"/>
      <c r="E47" s="36"/>
    </row>
    <row r="48" spans="1:38" x14ac:dyDescent="0.3">
      <c r="A48" s="36"/>
      <c r="B48" s="291">
        <v>44652</v>
      </c>
      <c r="C48" s="293">
        <v>3.6</v>
      </c>
      <c r="D48" s="293">
        <f>AVERAGE(C48:C50)</f>
        <v>3.6</v>
      </c>
      <c r="E48" s="36"/>
    </row>
    <row r="49" spans="1:5" x14ac:dyDescent="0.3">
      <c r="A49" s="36"/>
      <c r="B49" s="291">
        <v>44682</v>
      </c>
      <c r="C49" s="293">
        <v>3.6</v>
      </c>
      <c r="D49" s="293"/>
      <c r="E49" s="36"/>
    </row>
    <row r="50" spans="1:5" x14ac:dyDescent="0.3">
      <c r="A50" s="36"/>
      <c r="B50" s="291">
        <v>44713</v>
      </c>
      <c r="C50" s="293">
        <v>3.6</v>
      </c>
      <c r="D50" s="293"/>
      <c r="E50" s="36"/>
    </row>
    <row r="51" spans="1:5" x14ac:dyDescent="0.3">
      <c r="A51" s="36"/>
      <c r="B51" s="291">
        <v>44743</v>
      </c>
      <c r="C51" s="293">
        <v>3.5</v>
      </c>
      <c r="D51" s="293">
        <f>AVERAGE(C51:C53)</f>
        <v>3.5666666666666664</v>
      </c>
      <c r="E51" s="36"/>
    </row>
    <row r="52" spans="1:5" x14ac:dyDescent="0.3">
      <c r="A52" s="36"/>
      <c r="B52" s="291">
        <v>44774</v>
      </c>
      <c r="C52" s="293">
        <v>3.7</v>
      </c>
      <c r="D52" s="293"/>
      <c r="E52" s="36"/>
    </row>
    <row r="53" spans="1:5" x14ac:dyDescent="0.3">
      <c r="B53" s="291">
        <v>44805</v>
      </c>
      <c r="C53" s="293">
        <v>3.5</v>
      </c>
      <c r="D53" s="293"/>
    </row>
    <row r="54" spans="1:5" x14ac:dyDescent="0.3">
      <c r="B54" s="291">
        <v>44835</v>
      </c>
      <c r="C54" s="293"/>
      <c r="D54" s="293" t="e">
        <f>AVERAGE(C54:C56)</f>
        <v>#DIV/0!</v>
      </c>
    </row>
    <row r="55" spans="1:5" x14ac:dyDescent="0.3">
      <c r="B55" s="291">
        <v>44866</v>
      </c>
      <c r="C55" s="293"/>
      <c r="D55" s="293"/>
    </row>
    <row r="56" spans="1:5" x14ac:dyDescent="0.3">
      <c r="B56" s="294">
        <v>44896</v>
      </c>
      <c r="C56" s="295"/>
      <c r="D56" s="295"/>
    </row>
  </sheetData>
  <mergeCells count="11">
    <mergeCell ref="B1:AC1"/>
    <mergeCell ref="B2:AC6"/>
    <mergeCell ref="E9:H9"/>
    <mergeCell ref="B8:C10"/>
    <mergeCell ref="I9:L9"/>
    <mergeCell ref="U9:X9"/>
    <mergeCell ref="Y9:AB9"/>
    <mergeCell ref="M9:P9"/>
    <mergeCell ref="Q9:R9"/>
    <mergeCell ref="T8:AC8"/>
    <mergeCell ref="D8:S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19"/>
  <sheetViews>
    <sheetView topLeftCell="C1" zoomScale="89" zoomScaleNormal="89" workbookViewId="0">
      <selection activeCell="Q75" sqref="Q75"/>
    </sheetView>
  </sheetViews>
  <sheetFormatPr defaultColWidth="11.554687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094" t="s">
        <v>192</v>
      </c>
      <c r="C1" s="1094"/>
      <c r="D1" s="1094"/>
      <c r="E1" s="1094"/>
      <c r="F1" s="1094"/>
      <c r="G1" s="1094"/>
      <c r="H1" s="1094"/>
      <c r="I1" s="1094"/>
      <c r="J1" s="1094"/>
      <c r="K1" s="1094"/>
      <c r="L1" s="1094"/>
      <c r="M1" s="1094"/>
      <c r="N1" s="1094"/>
      <c r="O1" s="1094"/>
      <c r="P1" s="1094"/>
      <c r="Q1" s="1094"/>
      <c r="R1" s="1094"/>
      <c r="S1" s="1094"/>
      <c r="T1" s="1094"/>
      <c r="U1" s="1094"/>
      <c r="V1" s="1094"/>
      <c r="W1" s="1094"/>
      <c r="X1" s="1094"/>
      <c r="Y1" s="1094"/>
      <c r="Z1" s="141"/>
      <c r="AA1" s="141"/>
      <c r="AB1" s="141"/>
      <c r="AC1" s="141"/>
      <c r="AD1" s="137"/>
      <c r="AE1" s="137"/>
    </row>
    <row r="2" spans="2:34" ht="14.25" customHeight="1" x14ac:dyDescent="0.3">
      <c r="B2" s="1122" t="s">
        <v>380</v>
      </c>
      <c r="C2" s="1122"/>
      <c r="D2" s="1122"/>
      <c r="E2" s="1122"/>
      <c r="F2" s="1122"/>
      <c r="G2" s="1122"/>
      <c r="H2" s="1122"/>
      <c r="I2" s="1122"/>
      <c r="J2" s="1122"/>
      <c r="K2" s="1122"/>
      <c r="L2" s="1122"/>
      <c r="M2" s="1122"/>
      <c r="N2" s="1122"/>
      <c r="O2" s="1122"/>
      <c r="P2" s="1122"/>
      <c r="Q2" s="1122"/>
      <c r="R2" s="1122"/>
      <c r="S2" s="1122"/>
      <c r="T2" s="1122"/>
      <c r="U2" s="1122"/>
      <c r="V2" s="1122"/>
      <c r="W2" s="1122"/>
      <c r="X2" s="1122"/>
      <c r="Y2" s="1122"/>
      <c r="Z2" s="1122"/>
      <c r="AA2" s="1122"/>
      <c r="AB2" s="1122"/>
      <c r="AC2" s="1122"/>
      <c r="AD2" s="241"/>
      <c r="AE2" s="241"/>
    </row>
    <row r="3" spans="2:34" ht="50.7" customHeight="1" x14ac:dyDescent="0.3">
      <c r="B3" s="1122"/>
      <c r="C3" s="1122"/>
      <c r="D3" s="1122"/>
      <c r="E3" s="1122"/>
      <c r="F3" s="1122"/>
      <c r="G3" s="1122"/>
      <c r="H3" s="1122"/>
      <c r="I3" s="1122"/>
      <c r="J3" s="1122"/>
      <c r="K3" s="1122"/>
      <c r="L3" s="1122"/>
      <c r="M3" s="1122"/>
      <c r="N3" s="1122"/>
      <c r="O3" s="1122"/>
      <c r="P3" s="1122"/>
      <c r="Q3" s="1122"/>
      <c r="R3" s="1122"/>
      <c r="S3" s="1122"/>
      <c r="T3" s="1122"/>
      <c r="U3" s="1122"/>
      <c r="V3" s="1122"/>
      <c r="W3" s="1122"/>
      <c r="X3" s="1122"/>
      <c r="Y3" s="1122"/>
      <c r="Z3" s="1122"/>
      <c r="AA3" s="1122"/>
      <c r="AB3" s="1122"/>
      <c r="AC3" s="1122"/>
      <c r="AD3" s="241"/>
      <c r="AE3" s="241"/>
    </row>
    <row r="4" spans="2:34" ht="5.25" customHeight="1" x14ac:dyDescent="0.3">
      <c r="B4" s="1122"/>
      <c r="C4" s="1122"/>
      <c r="D4" s="1122"/>
      <c r="E4" s="1122"/>
      <c r="F4" s="1122"/>
      <c r="G4" s="1122"/>
      <c r="H4" s="1122"/>
      <c r="I4" s="1122"/>
      <c r="J4" s="1122"/>
      <c r="K4" s="1122"/>
      <c r="L4" s="1122"/>
      <c r="M4" s="1122"/>
      <c r="N4" s="1122"/>
      <c r="O4" s="1122"/>
      <c r="P4" s="1122"/>
      <c r="Q4" s="1122"/>
      <c r="R4" s="1122"/>
      <c r="S4" s="1122"/>
      <c r="T4" s="1122"/>
      <c r="U4" s="1122"/>
      <c r="V4" s="1122"/>
      <c r="W4" s="1122"/>
      <c r="X4" s="1122"/>
      <c r="Y4" s="1122"/>
      <c r="Z4" s="1122"/>
      <c r="AA4" s="1122"/>
      <c r="AB4" s="1122"/>
      <c r="AC4" s="1122"/>
      <c r="AD4" s="241"/>
      <c r="AE4" s="241"/>
    </row>
    <row r="5" spans="2:34" x14ac:dyDescent="0.3">
      <c r="B5" s="354" t="s">
        <v>381</v>
      </c>
    </row>
    <row r="6" spans="2:34" ht="14.7" customHeight="1" x14ac:dyDescent="0.3">
      <c r="B6" s="1123" t="s">
        <v>382</v>
      </c>
      <c r="C6" s="1107"/>
      <c r="D6" s="1104" t="s">
        <v>325</v>
      </c>
      <c r="E6" s="1105"/>
      <c r="F6" s="1105"/>
      <c r="G6" s="1105"/>
      <c r="H6" s="1105"/>
      <c r="I6" s="1105"/>
      <c r="J6" s="1105"/>
      <c r="K6" s="1105"/>
      <c r="L6" s="1105"/>
      <c r="M6" s="1105"/>
      <c r="N6" s="1105"/>
      <c r="O6" s="1105"/>
      <c r="P6" s="1105"/>
      <c r="Q6" s="1106"/>
      <c r="R6" s="1106"/>
      <c r="S6" s="1106"/>
      <c r="T6" s="1132" t="s">
        <v>326</v>
      </c>
      <c r="U6" s="1132"/>
      <c r="V6" s="1132"/>
      <c r="W6" s="1132"/>
      <c r="X6" s="1132"/>
      <c r="Y6" s="1132"/>
      <c r="Z6" s="1132"/>
      <c r="AA6" s="1132"/>
      <c r="AB6" s="1132"/>
      <c r="AC6" s="1133"/>
      <c r="AD6" s="1145" t="s">
        <v>383</v>
      </c>
      <c r="AE6" s="1148" t="s">
        <v>384</v>
      </c>
    </row>
    <row r="7" spans="2:34" ht="24" customHeight="1" x14ac:dyDescent="0.3">
      <c r="B7" s="1124"/>
      <c r="C7" s="1125"/>
      <c r="D7" s="153">
        <v>2018</v>
      </c>
      <c r="E7" s="1143">
        <v>2019</v>
      </c>
      <c r="F7" s="1144"/>
      <c r="G7" s="1144"/>
      <c r="H7" s="1151"/>
      <c r="I7" s="1143">
        <v>2020</v>
      </c>
      <c r="J7" s="1144"/>
      <c r="K7" s="1144"/>
      <c r="L7" s="1144"/>
      <c r="M7" s="1143">
        <v>2021</v>
      </c>
      <c r="N7" s="1144"/>
      <c r="O7" s="1144"/>
      <c r="P7" s="1144"/>
      <c r="Q7" s="1129">
        <v>2022</v>
      </c>
      <c r="R7" s="1130"/>
      <c r="S7" s="253"/>
      <c r="T7" s="288"/>
      <c r="U7" s="1126">
        <v>2023</v>
      </c>
      <c r="V7" s="1127"/>
      <c r="W7" s="1127"/>
      <c r="X7" s="1127"/>
      <c r="Y7" s="1126">
        <v>2024</v>
      </c>
      <c r="Z7" s="1127"/>
      <c r="AA7" s="1127"/>
      <c r="AB7" s="1128"/>
      <c r="AC7" s="259">
        <v>2025</v>
      </c>
      <c r="AD7" s="1146"/>
      <c r="AE7" s="1149"/>
    </row>
    <row r="8" spans="2:34" ht="14.25" customHeight="1" x14ac:dyDescent="0.3">
      <c r="B8" s="1135"/>
      <c r="C8" s="1136"/>
      <c r="D8" s="153" t="s">
        <v>327</v>
      </c>
      <c r="E8" s="153" t="s">
        <v>328</v>
      </c>
      <c r="F8" s="152" t="s">
        <v>329</v>
      </c>
      <c r="G8" s="152" t="s">
        <v>238</v>
      </c>
      <c r="H8" s="204" t="s">
        <v>327</v>
      </c>
      <c r="I8" s="152" t="s">
        <v>328</v>
      </c>
      <c r="J8" s="152" t="s">
        <v>329</v>
      </c>
      <c r="K8" s="152" t="s">
        <v>238</v>
      </c>
      <c r="L8" s="152" t="s">
        <v>327</v>
      </c>
      <c r="M8" s="153" t="s">
        <v>328</v>
      </c>
      <c r="N8" s="152" t="s">
        <v>329</v>
      </c>
      <c r="O8" s="152" t="s">
        <v>238</v>
      </c>
      <c r="P8" s="152" t="s">
        <v>327</v>
      </c>
      <c r="Q8" s="153" t="s">
        <v>328</v>
      </c>
      <c r="R8" s="152" t="s">
        <v>329</v>
      </c>
      <c r="S8" s="204" t="s">
        <v>238</v>
      </c>
      <c r="T8" s="275" t="s">
        <v>327</v>
      </c>
      <c r="U8" s="356" t="s">
        <v>328</v>
      </c>
      <c r="V8" s="357" t="s">
        <v>329</v>
      </c>
      <c r="W8" s="357" t="s">
        <v>238</v>
      </c>
      <c r="X8" s="357" t="s">
        <v>327</v>
      </c>
      <c r="Y8" s="356" t="s">
        <v>328</v>
      </c>
      <c r="Z8" s="250" t="s">
        <v>329</v>
      </c>
      <c r="AA8" s="357" t="s">
        <v>238</v>
      </c>
      <c r="AB8" s="369" t="s">
        <v>327</v>
      </c>
      <c r="AC8" s="384" t="s">
        <v>328</v>
      </c>
      <c r="AD8" s="1147"/>
      <c r="AE8" s="1150"/>
    </row>
    <row r="9" spans="2:34" ht="23.7" customHeight="1" x14ac:dyDescent="0.3">
      <c r="B9" s="363" t="s">
        <v>385</v>
      </c>
      <c r="C9" s="389" t="s">
        <v>386</v>
      </c>
      <c r="D9" s="305">
        <f>'Haver Pivoted'!GO32</f>
        <v>587.79999999999995</v>
      </c>
      <c r="E9" s="306">
        <f>'Haver Pivoted'!GP32</f>
        <v>592.4</v>
      </c>
      <c r="F9" s="306">
        <f>'Haver Pivoted'!GQ32</f>
        <v>615.5</v>
      </c>
      <c r="G9" s="306">
        <f>'Haver Pivoted'!GR32</f>
        <v>610.4</v>
      </c>
      <c r="H9" s="306">
        <f>'Haver Pivoted'!GS32</f>
        <v>617.5</v>
      </c>
      <c r="I9" s="306">
        <f>'Haver Pivoted'!GT32</f>
        <v>638.6</v>
      </c>
      <c r="J9" s="306">
        <f>'Haver Pivoted'!GU32</f>
        <v>1395</v>
      </c>
      <c r="K9" s="306">
        <f>'Haver Pivoted'!GV32</f>
        <v>737.1</v>
      </c>
      <c r="L9" s="306">
        <f>'Haver Pivoted'!GW32</f>
        <v>744.8</v>
      </c>
      <c r="M9" s="306">
        <f>'Haver Pivoted'!GX32</f>
        <v>785.1</v>
      </c>
      <c r="N9" s="306">
        <f>'Haver Pivoted'!GY32</f>
        <v>1653.7</v>
      </c>
      <c r="O9" s="306">
        <f>'Haver Pivoted'!GZ32</f>
        <v>1085</v>
      </c>
      <c r="P9" s="306">
        <f>'Haver Pivoted'!HA32</f>
        <v>924.7</v>
      </c>
      <c r="Q9" s="306">
        <f>'Haver Pivoted'!HB32</f>
        <v>940</v>
      </c>
      <c r="R9" s="306">
        <f>'Haver Pivoted'!HC32</f>
        <v>960.5</v>
      </c>
      <c r="S9" s="304">
        <f>'Haver Pivoted'!HD32</f>
        <v>953.4</v>
      </c>
      <c r="T9" s="281">
        <f t="shared" ref="T9:AC9" si="0">T10+T11</f>
        <v>988.05533129594869</v>
      </c>
      <c r="U9" s="281">
        <f t="shared" si="0"/>
        <v>985.34811111030479</v>
      </c>
      <c r="V9" s="281">
        <f t="shared" si="0"/>
        <v>992.70278767230116</v>
      </c>
      <c r="W9" s="281">
        <f t="shared" si="0"/>
        <v>959.69440173825092</v>
      </c>
      <c r="X9" s="281">
        <f t="shared" si="0"/>
        <v>930.35404643950301</v>
      </c>
      <c r="Y9" s="281">
        <f t="shared" si="0"/>
        <v>901.80842588282997</v>
      </c>
      <c r="Z9" s="281">
        <f t="shared" si="0"/>
        <v>879.35942058183196</v>
      </c>
      <c r="AA9" s="281">
        <f t="shared" si="0"/>
        <v>876.0065293754169</v>
      </c>
      <c r="AB9" s="281">
        <f t="shared" si="0"/>
        <v>855.15117343413499</v>
      </c>
      <c r="AC9" s="257">
        <f t="shared" si="0"/>
        <v>852.03016637468545</v>
      </c>
      <c r="AD9" s="340"/>
      <c r="AE9" s="393"/>
    </row>
    <row r="10" spans="2:34" ht="27.6" customHeight="1" x14ac:dyDescent="0.3">
      <c r="B10" s="400" t="s">
        <v>133</v>
      </c>
      <c r="C10" s="150" t="s">
        <v>387</v>
      </c>
      <c r="D10" s="307">
        <f>'Haver Pivoted'!GO40</f>
        <v>390.53500000000003</v>
      </c>
      <c r="E10" s="70">
        <f>'Haver Pivoted'!GP40</f>
        <v>407.62099999999998</v>
      </c>
      <c r="F10" s="70">
        <f>'Haver Pivoted'!GQ40</f>
        <v>416.459</v>
      </c>
      <c r="G10" s="70">
        <f>'Haver Pivoted'!GR40</f>
        <v>418.661</v>
      </c>
      <c r="H10" s="70">
        <f>'Haver Pivoted'!GS40</f>
        <v>411.69499999999999</v>
      </c>
      <c r="I10" s="70">
        <f>'Haver Pivoted'!GT40</f>
        <v>428.30799999999999</v>
      </c>
      <c r="J10" s="70">
        <f>'Haver Pivoted'!GU40</f>
        <v>506.81599999999997</v>
      </c>
      <c r="K10" s="70">
        <f>'Haver Pivoted'!GV40</f>
        <v>484.78</v>
      </c>
      <c r="L10" s="70">
        <f>'Haver Pivoted'!GW40</f>
        <v>500.25799999999998</v>
      </c>
      <c r="M10" s="70">
        <f>'Haver Pivoted'!GX40</f>
        <v>509.42099999999999</v>
      </c>
      <c r="N10" s="70">
        <f>'Haver Pivoted'!GY40</f>
        <v>527.01700000000005</v>
      </c>
      <c r="O10" s="70">
        <f>'Haver Pivoted'!GZ40</f>
        <v>542.85299999999995</v>
      </c>
      <c r="P10" s="70">
        <f>'Haver Pivoted'!HA40</f>
        <v>553.86500000000001</v>
      </c>
      <c r="Q10" s="70">
        <f>'Haver Pivoted'!HB40</f>
        <v>592.26700000000005</v>
      </c>
      <c r="R10" s="70">
        <f>'Haver Pivoted'!HC40</f>
        <v>590.13</v>
      </c>
      <c r="S10" s="302">
        <f>'Haver Pivoted'!HD40</f>
        <v>605.63699999999994</v>
      </c>
      <c r="T10" s="312">
        <f>Medicaid!T34</f>
        <v>603.00068356357667</v>
      </c>
      <c r="U10" s="312">
        <f>Medicaid!U34</f>
        <v>607.65035951605387</v>
      </c>
      <c r="V10" s="312">
        <f>Medicaid!V34</f>
        <v>612.33588863926911</v>
      </c>
      <c r="W10" s="312">
        <f>Medicaid!W34</f>
        <v>576.63205507158432</v>
      </c>
      <c r="X10" s="312">
        <f>Medicaid!X34</f>
        <v>569.82769279783622</v>
      </c>
      <c r="Y10" s="312">
        <f>Medicaid!Y34</f>
        <v>563.5332442248091</v>
      </c>
      <c r="Z10" s="312">
        <f>Medicaid!Z34</f>
        <v>557.30832558747863</v>
      </c>
      <c r="AA10" s="312">
        <f>Medicaid!AA34</f>
        <v>551.1521688420836</v>
      </c>
      <c r="AB10" s="312">
        <f>Medicaid!AB34</f>
        <v>541.34192564680143</v>
      </c>
      <c r="AC10" s="387">
        <f>Medicaid!AC34</f>
        <v>535.36213745034365</v>
      </c>
      <c r="AD10" s="330"/>
      <c r="AE10" s="372"/>
    </row>
    <row r="11" spans="2:34" ht="17.25" customHeight="1" x14ac:dyDescent="0.3">
      <c r="B11" s="271" t="s">
        <v>388</v>
      </c>
      <c r="C11" s="150"/>
      <c r="D11" s="307">
        <f t="shared" ref="D11:G11" si="1">D9-D10</f>
        <v>197.26499999999993</v>
      </c>
      <c r="E11" s="70">
        <f t="shared" si="1"/>
        <v>184.779</v>
      </c>
      <c r="F11" s="70">
        <f t="shared" si="1"/>
        <v>199.041</v>
      </c>
      <c r="G11" s="70">
        <f t="shared" si="1"/>
        <v>191.73899999999998</v>
      </c>
      <c r="H11" s="70">
        <f>H9-H10</f>
        <v>205.80500000000001</v>
      </c>
      <c r="I11" s="70">
        <f t="shared" ref="I11:N11" si="2">I9-I10</f>
        <v>210.29200000000003</v>
      </c>
      <c r="J11" s="70">
        <f t="shared" si="2"/>
        <v>888.18399999999997</v>
      </c>
      <c r="K11" s="70">
        <f t="shared" si="2"/>
        <v>252.32000000000005</v>
      </c>
      <c r="L11" s="70">
        <f t="shared" si="2"/>
        <v>244.54199999999997</v>
      </c>
      <c r="M11" s="70">
        <f t="shared" si="2"/>
        <v>275.67900000000003</v>
      </c>
      <c r="N11" s="70">
        <f t="shared" si="2"/>
        <v>1126.683</v>
      </c>
      <c r="O11" s="70">
        <f>O9-O10</f>
        <v>542.14700000000005</v>
      </c>
      <c r="P11" s="70">
        <f>P9-P10</f>
        <v>370.83500000000004</v>
      </c>
      <c r="Q11" s="70">
        <f>Q9-Q10</f>
        <v>347.73299999999995</v>
      </c>
      <c r="R11" s="70">
        <f>R9-R10</f>
        <v>370.37</v>
      </c>
      <c r="S11" s="302">
        <f>S9-S10</f>
        <v>347.76300000000003</v>
      </c>
      <c r="T11" s="312">
        <f t="shared" ref="T11:AC11" si="3">SUM(T12:T20)</f>
        <v>385.05464773237202</v>
      </c>
      <c r="U11" s="312">
        <f t="shared" si="3"/>
        <v>377.69775159425092</v>
      </c>
      <c r="V11" s="312">
        <f t="shared" si="3"/>
        <v>380.36689903303204</v>
      </c>
      <c r="W11" s="312">
        <f t="shared" si="3"/>
        <v>383.0623466666666</v>
      </c>
      <c r="X11" s="312">
        <f t="shared" si="3"/>
        <v>360.52635364166684</v>
      </c>
      <c r="Y11" s="312">
        <f t="shared" si="3"/>
        <v>338.27518165802087</v>
      </c>
      <c r="Z11" s="312">
        <f t="shared" si="3"/>
        <v>322.05109499435332</v>
      </c>
      <c r="AA11" s="312">
        <f t="shared" si="3"/>
        <v>324.85436053333331</v>
      </c>
      <c r="AB11" s="312">
        <f t="shared" si="3"/>
        <v>313.8092477873335</v>
      </c>
      <c r="AC11" s="387">
        <f t="shared" si="3"/>
        <v>316.66802892434174</v>
      </c>
      <c r="AD11" s="330"/>
      <c r="AE11" s="372"/>
    </row>
    <row r="12" spans="2:34" ht="16.2" customHeight="1" x14ac:dyDescent="0.3">
      <c r="B12" s="397" t="s">
        <v>149</v>
      </c>
      <c r="C12" s="54" t="s">
        <v>389</v>
      </c>
      <c r="D12" s="416"/>
      <c r="E12" s="54"/>
      <c r="F12" s="54"/>
      <c r="G12" s="54"/>
      <c r="H12" s="70"/>
      <c r="I12" s="70"/>
      <c r="J12" s="70">
        <f>'Haver Pivoted'!GU56</f>
        <v>597.9</v>
      </c>
      <c r="K12" s="70"/>
      <c r="L12" s="70"/>
      <c r="M12" s="70"/>
      <c r="N12" s="70"/>
      <c r="O12" s="52">
        <v>0</v>
      </c>
      <c r="P12" s="52">
        <v>0</v>
      </c>
      <c r="Q12" s="52">
        <v>0</v>
      </c>
      <c r="R12" s="52">
        <v>0</v>
      </c>
      <c r="S12" s="330">
        <v>0</v>
      </c>
      <c r="T12" s="312">
        <v>0</v>
      </c>
      <c r="U12" s="312">
        <v>0</v>
      </c>
      <c r="V12" s="312">
        <v>0</v>
      </c>
      <c r="W12" s="312">
        <v>0</v>
      </c>
      <c r="X12" s="312">
        <v>0</v>
      </c>
      <c r="Y12" s="312">
        <v>0</v>
      </c>
      <c r="Z12" s="312">
        <v>0</v>
      </c>
      <c r="AA12" s="312">
        <v>0</v>
      </c>
      <c r="AB12" s="312">
        <v>0</v>
      </c>
      <c r="AC12" s="387">
        <v>0</v>
      </c>
      <c r="AD12" s="330">
        <f>SUM(I12:Y12)/4</f>
        <v>149.47499999999999</v>
      </c>
      <c r="AE12" s="372">
        <f>AD36</f>
        <v>150</v>
      </c>
    </row>
    <row r="13" spans="2:34" x14ac:dyDescent="0.3">
      <c r="B13" s="397" t="s">
        <v>150</v>
      </c>
      <c r="C13" s="54" t="s">
        <v>390</v>
      </c>
      <c r="D13" s="416"/>
      <c r="E13" s="54"/>
      <c r="F13" s="54"/>
      <c r="G13" s="54"/>
      <c r="H13" s="70"/>
      <c r="I13" s="70"/>
      <c r="J13" s="70">
        <f>'Haver Pivoted'!GU57</f>
        <v>28.4</v>
      </c>
      <c r="K13" s="70">
        <f>'Haver Pivoted'!GV57</f>
        <v>15.8</v>
      </c>
      <c r="L13" s="70">
        <f>'Haver Pivoted'!GW57</f>
        <v>15.2</v>
      </c>
      <c r="M13" s="70">
        <f>'Haver Pivoted'!GX57</f>
        <v>28.9</v>
      </c>
      <c r="N13" s="70">
        <f>'Haver Pivoted'!GY57</f>
        <v>67.599999999999994</v>
      </c>
      <c r="O13" s="70">
        <f>'Haver Pivoted'!GZ57</f>
        <v>80.7</v>
      </c>
      <c r="P13" s="70">
        <f>'Haver Pivoted'!HA57</f>
        <v>87.2</v>
      </c>
      <c r="Q13" s="70">
        <f>'Haver Pivoted'!HB57</f>
        <v>72.400000000000006</v>
      </c>
      <c r="R13" s="70">
        <f>'Haver Pivoted'!HC57</f>
        <v>85.9</v>
      </c>
      <c r="S13" s="302">
        <f>'Haver Pivoted'!HD57</f>
        <v>68.3</v>
      </c>
      <c r="T13" s="312">
        <f t="shared" ref="T13:AC13" si="4">T37+T41+T47</f>
        <v>70.92933333333329</v>
      </c>
      <c r="U13" s="312">
        <f t="shared" si="4"/>
        <v>60.929333333333297</v>
      </c>
      <c r="V13" s="312">
        <f t="shared" si="4"/>
        <v>60.929333333333297</v>
      </c>
      <c r="W13" s="312">
        <f t="shared" si="4"/>
        <v>60.929333333333297</v>
      </c>
      <c r="X13" s="312">
        <f t="shared" si="4"/>
        <v>54.244333333333302</v>
      </c>
      <c r="Y13" s="312">
        <f t="shared" si="4"/>
        <v>50.911000000000001</v>
      </c>
      <c r="Z13" s="312">
        <f t="shared" si="4"/>
        <v>31.911000000000001</v>
      </c>
      <c r="AA13" s="312">
        <f t="shared" si="4"/>
        <v>31.911000000000001</v>
      </c>
      <c r="AB13" s="312">
        <f t="shared" si="4"/>
        <v>23.099</v>
      </c>
      <c r="AC13" s="387">
        <f t="shared" si="4"/>
        <v>23.099</v>
      </c>
      <c r="AD13" s="330">
        <f t="shared" ref="AD13:AD19" si="5">SUM(I13:Y13)/4</f>
        <v>227.31816666666657</v>
      </c>
      <c r="AE13" s="372">
        <f>AD37+AD41+AD47</f>
        <v>225.76349999999994</v>
      </c>
      <c r="AF13" s="58">
        <f>SUM(J13:R13)/4</f>
        <v>120.52500000000001</v>
      </c>
    </row>
    <row r="14" spans="2:34" x14ac:dyDescent="0.3">
      <c r="B14" s="397" t="s">
        <v>152</v>
      </c>
      <c r="C14" s="51" t="s">
        <v>355</v>
      </c>
      <c r="D14" s="339"/>
      <c r="E14" s="51"/>
      <c r="F14" s="51"/>
      <c r="G14" s="51"/>
      <c r="H14" s="70"/>
      <c r="I14" s="70"/>
      <c r="J14" s="70">
        <f>'Haver Pivoted'!GU58</f>
        <v>64.400000000000006</v>
      </c>
      <c r="K14" s="70">
        <f>'Haver Pivoted'!GV58</f>
        <v>23.4</v>
      </c>
      <c r="L14" s="70">
        <f>'Haver Pivoted'!GW58</f>
        <v>13.8</v>
      </c>
      <c r="M14" s="70">
        <f>'Haver Pivoted'!GX58</f>
        <v>12</v>
      </c>
      <c r="N14" s="70">
        <f>'Haver Pivoted'!GY58</f>
        <v>7.5</v>
      </c>
      <c r="O14" s="70">
        <f>'Haver Pivoted'!GZ58</f>
        <v>10.5</v>
      </c>
      <c r="P14" s="70">
        <f>'Haver Pivoted'!HA58</f>
        <v>18</v>
      </c>
      <c r="Q14" s="70">
        <f>'Haver Pivoted'!HB58</f>
        <v>15</v>
      </c>
      <c r="R14" s="70">
        <f>'Haver Pivoted'!HC58</f>
        <v>11.2</v>
      </c>
      <c r="S14" s="302">
        <f>'Haver Pivoted'!HD58</f>
        <v>7.5</v>
      </c>
      <c r="T14" s="312">
        <f>'Provider Relief'!T12</f>
        <v>0</v>
      </c>
      <c r="U14" s="312">
        <f>'Provider Relief'!U12</f>
        <v>0</v>
      </c>
      <c r="V14" s="312">
        <f>'Provider Relief'!V12</f>
        <v>0</v>
      </c>
      <c r="W14" s="312">
        <f>'Provider Relief'!W12</f>
        <v>0</v>
      </c>
      <c r="X14" s="312">
        <f>'Provider Relief'!X12</f>
        <v>0</v>
      </c>
      <c r="Y14" s="312">
        <f>'Provider Relief'!Y12</f>
        <v>0</v>
      </c>
      <c r="Z14" s="312">
        <f>'Provider Relief'!Z12</f>
        <v>0</v>
      </c>
      <c r="AA14" s="312">
        <f>'Provider Relief'!AA12</f>
        <v>0</v>
      </c>
      <c r="AB14" s="312">
        <f>'Provider Relief'!AB12</f>
        <v>0</v>
      </c>
      <c r="AC14" s="387">
        <f>'Provider Relief'!AC12</f>
        <v>0</v>
      </c>
      <c r="AD14" s="330">
        <f>SUM(I14:Y14)/4</f>
        <v>45.825000000000003</v>
      </c>
      <c r="AE14" s="372">
        <f>AD38+AD42+AD48</f>
        <v>34.125000000000007</v>
      </c>
    </row>
    <row r="15" spans="2:34" ht="15.75" customHeight="1" x14ac:dyDescent="0.3">
      <c r="B15" s="397" t="s">
        <v>391</v>
      </c>
      <c r="C15" s="51"/>
      <c r="D15" s="339"/>
      <c r="E15" s="51"/>
      <c r="F15" s="51"/>
      <c r="G15" s="51"/>
      <c r="H15" s="70"/>
      <c r="I15" s="70"/>
      <c r="J15" s="70"/>
      <c r="K15" s="70"/>
      <c r="L15" s="70"/>
      <c r="M15" s="70">
        <f>M40</f>
        <v>9.6666666666666661</v>
      </c>
      <c r="N15" s="52">
        <f t="shared" ref="N15:AC15" si="6">N40</f>
        <v>9.6666666666666661</v>
      </c>
      <c r="O15" s="52">
        <f t="shared" si="6"/>
        <v>9.6666666666666661</v>
      </c>
      <c r="P15" s="52">
        <f>P40</f>
        <v>9.6666666666666661</v>
      </c>
      <c r="Q15" s="52">
        <f>Q40</f>
        <v>9.6666666666666661</v>
      </c>
      <c r="R15" s="52">
        <f t="shared" si="6"/>
        <v>9.6666666666666661</v>
      </c>
      <c r="S15" s="330">
        <f t="shared" si="6"/>
        <v>9.6666666666666661</v>
      </c>
      <c r="T15" s="312">
        <f t="shared" si="6"/>
        <v>9.6666666666666661</v>
      </c>
      <c r="U15" s="312">
        <f t="shared" si="6"/>
        <v>9.6666666666666661</v>
      </c>
      <c r="V15" s="312">
        <f t="shared" si="6"/>
        <v>9.6666666666666661</v>
      </c>
      <c r="W15" s="312">
        <f t="shared" si="6"/>
        <v>9.6666666666666661</v>
      </c>
      <c r="X15" s="312">
        <f t="shared" si="6"/>
        <v>9.6666666666666661</v>
      </c>
      <c r="Y15" s="312">
        <f t="shared" si="6"/>
        <v>0</v>
      </c>
      <c r="Z15" s="312">
        <f t="shared" si="6"/>
        <v>0</v>
      </c>
      <c r="AA15" s="312">
        <f t="shared" si="6"/>
        <v>0</v>
      </c>
      <c r="AB15" s="312">
        <f t="shared" si="6"/>
        <v>0</v>
      </c>
      <c r="AC15" s="387">
        <f t="shared" si="6"/>
        <v>0</v>
      </c>
      <c r="AD15" s="330">
        <f>SUM(I15:Y15)/4</f>
        <v>29.000000000000004</v>
      </c>
      <c r="AE15" s="373">
        <f>AD40</f>
        <v>29.000000000000004</v>
      </c>
      <c r="AF15" s="322" t="s">
        <v>392</v>
      </c>
      <c r="AG15" s="322"/>
      <c r="AH15" s="322"/>
    </row>
    <row r="16" spans="2:34" ht="31.2" customHeight="1" x14ac:dyDescent="0.3">
      <c r="B16" s="397" t="s">
        <v>393</v>
      </c>
      <c r="C16" s="51"/>
      <c r="D16" s="339"/>
      <c r="E16" s="51"/>
      <c r="F16" s="51"/>
      <c r="G16" s="51"/>
      <c r="H16" s="70"/>
      <c r="I16" s="70"/>
      <c r="J16" s="70"/>
      <c r="K16" s="70"/>
      <c r="L16" s="70"/>
      <c r="M16" s="70">
        <f>M44+M43</f>
        <v>12</v>
      </c>
      <c r="N16" s="52">
        <f>N44+N43</f>
        <v>12</v>
      </c>
      <c r="O16" s="52">
        <f>O44+O43</f>
        <v>12</v>
      </c>
      <c r="P16" s="52">
        <f t="shared" ref="P16:AC16" si="7">P44+P43</f>
        <v>12</v>
      </c>
      <c r="Q16" s="52">
        <f t="shared" si="7"/>
        <v>12</v>
      </c>
      <c r="R16" s="52">
        <f t="shared" si="7"/>
        <v>12</v>
      </c>
      <c r="S16" s="330">
        <f t="shared" si="7"/>
        <v>12</v>
      </c>
      <c r="T16" s="312">
        <f t="shared" si="7"/>
        <v>12</v>
      </c>
      <c r="U16" s="312">
        <f t="shared" si="7"/>
        <v>12</v>
      </c>
      <c r="V16" s="312">
        <f t="shared" si="7"/>
        <v>12</v>
      </c>
      <c r="W16" s="312">
        <f t="shared" si="7"/>
        <v>12</v>
      </c>
      <c r="X16" s="312">
        <f t="shared" si="7"/>
        <v>12</v>
      </c>
      <c r="Y16" s="312">
        <f t="shared" si="7"/>
        <v>0</v>
      </c>
      <c r="Z16" s="312">
        <f t="shared" si="7"/>
        <v>0</v>
      </c>
      <c r="AA16" s="312">
        <f t="shared" si="7"/>
        <v>0</v>
      </c>
      <c r="AB16" s="312">
        <f t="shared" si="7"/>
        <v>0</v>
      </c>
      <c r="AC16" s="387">
        <f t="shared" si="7"/>
        <v>0</v>
      </c>
      <c r="AD16" s="330">
        <f>SUM(I16:Y16)/4</f>
        <v>36</v>
      </c>
      <c r="AE16" s="372">
        <f>SUM(AD43:AD44)+AD49</f>
        <v>130.3365</v>
      </c>
      <c r="AF16" s="322" t="s">
        <v>394</v>
      </c>
      <c r="AG16" s="322"/>
      <c r="AH16" s="322"/>
    </row>
    <row r="17" spans="1:34" x14ac:dyDescent="0.3">
      <c r="B17" s="397" t="s">
        <v>395</v>
      </c>
      <c r="C17" s="51"/>
      <c r="D17" s="339"/>
      <c r="E17" s="51"/>
      <c r="F17" s="51"/>
      <c r="G17" s="51"/>
      <c r="H17" s="70"/>
      <c r="I17" s="70"/>
      <c r="J17" s="70"/>
      <c r="K17" s="70"/>
      <c r="L17" s="70"/>
      <c r="M17" s="70"/>
      <c r="N17" s="52">
        <f>N49</f>
        <v>59.256</v>
      </c>
      <c r="O17" s="52">
        <f>O49</f>
        <v>59.256</v>
      </c>
      <c r="P17" s="52">
        <f>P49</f>
        <v>35.671000000000006</v>
      </c>
      <c r="Q17" s="52">
        <f>Q49</f>
        <v>35.671000000000006</v>
      </c>
      <c r="R17" s="52">
        <f t="shared" ref="R17:AC17" si="8">R49</f>
        <v>35.671000000000006</v>
      </c>
      <c r="S17" s="330">
        <f t="shared" si="8"/>
        <v>35.671000000000006</v>
      </c>
      <c r="T17" s="312">
        <f t="shared" si="8"/>
        <v>24.216000000000001</v>
      </c>
      <c r="U17" s="312">
        <f t="shared" si="8"/>
        <v>24.216000000000001</v>
      </c>
      <c r="V17" s="312">
        <f t="shared" si="8"/>
        <v>24.216000000000001</v>
      </c>
      <c r="W17" s="312">
        <f t="shared" si="8"/>
        <v>24.216000000000001</v>
      </c>
      <c r="X17" s="312">
        <f t="shared" si="8"/>
        <v>9.6430000000000007</v>
      </c>
      <c r="Y17" s="312">
        <f t="shared" si="8"/>
        <v>9.6430000000000007</v>
      </c>
      <c r="Z17" s="312">
        <f t="shared" si="8"/>
        <v>9.6430000000000007</v>
      </c>
      <c r="AA17" s="312">
        <f t="shared" si="8"/>
        <v>9.6430000000000007</v>
      </c>
      <c r="AB17" s="312">
        <f t="shared" si="8"/>
        <v>4.5789999999999997</v>
      </c>
      <c r="AC17" s="387">
        <f t="shared" si="8"/>
        <v>4.5789999999999997</v>
      </c>
      <c r="AD17" s="330">
        <f>SUM(I17:Y17)/4</f>
        <v>94.336500000000001</v>
      </c>
      <c r="AE17" s="372"/>
      <c r="AF17" s="322"/>
      <c r="AG17" s="322"/>
      <c r="AH17" s="322"/>
    </row>
    <row r="18" spans="1:34" ht="41.55" customHeight="1" x14ac:dyDescent="0.3">
      <c r="B18" s="380" t="s">
        <v>847</v>
      </c>
      <c r="C18" s="51"/>
      <c r="D18" s="339"/>
      <c r="E18" s="51"/>
      <c r="F18" s="51"/>
      <c r="G18" s="51"/>
      <c r="H18" s="70"/>
      <c r="I18" s="70"/>
      <c r="J18" s="70"/>
      <c r="K18" s="70"/>
      <c r="L18" s="70"/>
      <c r="M18" s="70"/>
      <c r="N18" s="52">
        <v>-40</v>
      </c>
      <c r="O18" s="52">
        <v>-40</v>
      </c>
      <c r="P18" s="52">
        <f>-51</f>
        <v>-51</v>
      </c>
      <c r="Q18" s="52">
        <f>-51</f>
        <v>-51</v>
      </c>
      <c r="R18" s="52">
        <v>-51</v>
      </c>
      <c r="S18" s="330">
        <f>-51</f>
        <v>-51</v>
      </c>
      <c r="T18" s="312">
        <v>0</v>
      </c>
      <c r="U18" s="312">
        <v>0</v>
      </c>
      <c r="V18" s="312">
        <v>0</v>
      </c>
      <c r="W18" s="312">
        <v>0</v>
      </c>
      <c r="X18" s="312">
        <v>-4</v>
      </c>
      <c r="Y18" s="312">
        <v>-4</v>
      </c>
      <c r="Z18" s="312">
        <v>-4</v>
      </c>
      <c r="AA18" s="312">
        <v>-4</v>
      </c>
      <c r="AB18" s="312">
        <v>-4</v>
      </c>
      <c r="AC18" s="387">
        <v>-4</v>
      </c>
      <c r="AD18" s="330"/>
      <c r="AE18" s="372"/>
      <c r="AF18" s="322"/>
      <c r="AG18" s="322"/>
      <c r="AH18" s="322"/>
    </row>
    <row r="19" spans="1:34" ht="15.75" customHeight="1" x14ac:dyDescent="0.3">
      <c r="B19" s="397" t="s">
        <v>396</v>
      </c>
      <c r="C19" s="54" t="s">
        <v>397</v>
      </c>
      <c r="D19" s="339"/>
      <c r="E19" s="51"/>
      <c r="F19" s="51"/>
      <c r="G19" s="51"/>
      <c r="H19" s="70"/>
      <c r="I19" s="70"/>
      <c r="J19" s="70"/>
      <c r="K19" s="70">
        <f>'Haver Pivoted'!GV56</f>
        <v>0</v>
      </c>
      <c r="L19" s="70">
        <f>'Haver Pivoted'!GW56</f>
        <v>0</v>
      </c>
      <c r="M19" s="70">
        <f>'Haver Pivoted'!GX56</f>
        <v>0</v>
      </c>
      <c r="N19" s="70">
        <f>'Haver Pivoted'!GY56</f>
        <v>785.9</v>
      </c>
      <c r="O19" s="70">
        <f>'Haver Pivoted'!GZ56</f>
        <v>187.9</v>
      </c>
      <c r="P19" s="70">
        <f>'Haver Pivoted'!HA56</f>
        <v>9.1999999999999993</v>
      </c>
      <c r="Q19" s="70">
        <f>'Haver Pivoted'!HB56</f>
        <v>0.6</v>
      </c>
      <c r="R19" s="70">
        <f>'Haver Pivoted'!HC56</f>
        <v>0</v>
      </c>
      <c r="S19" s="302">
        <f>'Haver Pivoted'!HD56</f>
        <v>0</v>
      </c>
      <c r="T19" s="313">
        <f t="shared" ref="T19:AC19" si="9">T46</f>
        <v>0</v>
      </c>
      <c r="U19" s="313">
        <f t="shared" si="9"/>
        <v>0</v>
      </c>
      <c r="V19" s="313">
        <f t="shared" si="9"/>
        <v>0</v>
      </c>
      <c r="W19" s="313">
        <f t="shared" si="9"/>
        <v>0</v>
      </c>
      <c r="X19" s="313">
        <f t="shared" si="9"/>
        <v>0</v>
      </c>
      <c r="Y19" s="313">
        <f t="shared" si="9"/>
        <v>0</v>
      </c>
      <c r="Z19" s="313">
        <f t="shared" si="9"/>
        <v>0</v>
      </c>
      <c r="AA19" s="313">
        <f t="shared" si="9"/>
        <v>0</v>
      </c>
      <c r="AB19" s="313">
        <f t="shared" si="9"/>
        <v>0</v>
      </c>
      <c r="AC19" s="386">
        <f t="shared" si="9"/>
        <v>0</v>
      </c>
      <c r="AD19" s="330">
        <f t="shared" si="5"/>
        <v>245.9</v>
      </c>
      <c r="AE19" s="372">
        <f>AD46</f>
        <v>362.04999999999995</v>
      </c>
      <c r="AF19" s="351"/>
      <c r="AH19" s="322"/>
    </row>
    <row r="20" spans="1:34" ht="15.75" customHeight="1" x14ac:dyDescent="0.3">
      <c r="A20" s="325"/>
      <c r="B20" s="323" t="s">
        <v>398</v>
      </c>
      <c r="C20" s="343"/>
      <c r="D20" s="341">
        <f t="shared" ref="D20:S20" si="10">D11-SUM(D12:D19)</f>
        <v>197.26499999999993</v>
      </c>
      <c r="E20" s="343">
        <f t="shared" si="10"/>
        <v>184.779</v>
      </c>
      <c r="F20" s="343">
        <f t="shared" si="10"/>
        <v>199.041</v>
      </c>
      <c r="G20" s="343">
        <f t="shared" si="10"/>
        <v>191.73899999999998</v>
      </c>
      <c r="H20" s="343">
        <f t="shared" si="10"/>
        <v>205.80500000000001</v>
      </c>
      <c r="I20" s="343">
        <f t="shared" si="10"/>
        <v>210.29200000000003</v>
      </c>
      <c r="J20" s="343">
        <f t="shared" si="10"/>
        <v>197.48400000000004</v>
      </c>
      <c r="K20" s="343">
        <f t="shared" si="10"/>
        <v>213.12000000000006</v>
      </c>
      <c r="L20" s="343">
        <f t="shared" si="10"/>
        <v>215.54199999999997</v>
      </c>
      <c r="M20" s="343">
        <f t="shared" si="10"/>
        <v>213.11233333333337</v>
      </c>
      <c r="N20" s="343">
        <f t="shared" si="10"/>
        <v>224.76033333333339</v>
      </c>
      <c r="O20" s="343">
        <f t="shared" si="10"/>
        <v>222.12433333333337</v>
      </c>
      <c r="P20" s="343">
        <f t="shared" si="10"/>
        <v>250.09733333333338</v>
      </c>
      <c r="Q20" s="343">
        <f t="shared" si="10"/>
        <v>253.39533333333327</v>
      </c>
      <c r="R20" s="343">
        <f t="shared" si="10"/>
        <v>266.9323333333333</v>
      </c>
      <c r="S20" s="303">
        <f t="shared" si="10"/>
        <v>265.62533333333334</v>
      </c>
      <c r="T20" s="270">
        <f t="shared" ref="T20:AC20" si="11">S20*(1.04)^0.25</f>
        <v>268.24264773237206</v>
      </c>
      <c r="U20" s="270">
        <f t="shared" si="11"/>
        <v>270.88575159425096</v>
      </c>
      <c r="V20" s="270">
        <f t="shared" si="11"/>
        <v>273.55489903303209</v>
      </c>
      <c r="W20" s="270">
        <f t="shared" si="11"/>
        <v>276.25034666666664</v>
      </c>
      <c r="X20" s="270">
        <f t="shared" si="11"/>
        <v>278.97235364166687</v>
      </c>
      <c r="Y20" s="270">
        <f t="shared" si="11"/>
        <v>281.7211816580209</v>
      </c>
      <c r="Z20" s="270">
        <f t="shared" si="11"/>
        <v>284.49709499435329</v>
      </c>
      <c r="AA20" s="270">
        <f t="shared" si="11"/>
        <v>287.30036053333328</v>
      </c>
      <c r="AB20" s="270">
        <f t="shared" si="11"/>
        <v>290.13124778733351</v>
      </c>
      <c r="AC20" s="406">
        <f t="shared" si="11"/>
        <v>292.99002892434174</v>
      </c>
      <c r="AD20" s="378"/>
      <c r="AE20" s="374"/>
      <c r="AF20" s="322" t="s">
        <v>399</v>
      </c>
      <c r="AG20" s="322"/>
      <c r="AH20" s="322"/>
    </row>
    <row r="21" spans="1:34" ht="15.75" customHeight="1" x14ac:dyDescent="0.3">
      <c r="A21" s="2"/>
      <c r="B21" s="324"/>
      <c r="C21" s="51"/>
      <c r="D21" s="51"/>
      <c r="E21" s="51"/>
      <c r="F21" s="51"/>
      <c r="G21" s="51"/>
      <c r="H21" s="51"/>
      <c r="I21" s="51"/>
      <c r="J21" s="51"/>
      <c r="K21" s="51"/>
      <c r="L21" s="51"/>
      <c r="M21" s="51"/>
      <c r="N21" s="51"/>
      <c r="O21" s="337"/>
      <c r="P21" s="51"/>
      <c r="Q21" s="158"/>
      <c r="R21" s="158"/>
      <c r="S21" s="158"/>
      <c r="T21" s="158"/>
      <c r="U21" s="158"/>
      <c r="V21" s="158"/>
      <c r="W21" s="158"/>
      <c r="X21" s="158"/>
      <c r="Y21" s="158"/>
      <c r="Z21" s="158"/>
      <c r="AA21" s="158"/>
      <c r="AB21" s="158"/>
      <c r="AC21" s="158"/>
      <c r="AD21" s="158"/>
      <c r="AE21" s="328"/>
      <c r="AF21" s="322"/>
      <c r="AG21" s="322"/>
      <c r="AH21" s="322"/>
    </row>
    <row r="22" spans="1:34" ht="15.75" customHeight="1" x14ac:dyDescent="0.3">
      <c r="A22" s="2"/>
      <c r="B22" s="324"/>
      <c r="C22" s="51"/>
      <c r="D22" s="51"/>
      <c r="E22" s="51"/>
      <c r="F22" s="51"/>
      <c r="G22" s="51"/>
      <c r="H22" s="51"/>
      <c r="I22" s="51"/>
      <c r="J22" s="51"/>
      <c r="K22" s="51"/>
      <c r="L22" s="51"/>
      <c r="M22" s="51"/>
      <c r="N22" s="51"/>
      <c r="O22" s="337"/>
      <c r="P22" s="51"/>
      <c r="Q22" s="158"/>
      <c r="R22" s="158"/>
      <c r="S22" s="158"/>
      <c r="T22" s="158"/>
      <c r="U22" s="158"/>
      <c r="V22" s="158"/>
      <c r="W22" s="158"/>
      <c r="X22" s="158"/>
      <c r="Y22" s="158"/>
      <c r="Z22" s="158"/>
      <c r="AA22" s="158"/>
      <c r="AB22" s="158"/>
      <c r="AC22" s="158"/>
      <c r="AD22" s="158"/>
      <c r="AE22" s="328"/>
      <c r="AF22" s="322"/>
      <c r="AG22" s="322"/>
      <c r="AH22" s="322"/>
    </row>
    <row r="23" spans="1:34" ht="15.75" customHeight="1" x14ac:dyDescent="0.3">
      <c r="A23" s="2"/>
      <c r="B23" s="324"/>
      <c r="C23" s="51"/>
      <c r="D23" s="51"/>
      <c r="E23" s="51"/>
      <c r="F23" s="51"/>
      <c r="G23" s="51"/>
      <c r="H23" s="51"/>
      <c r="I23" s="51"/>
      <c r="J23" s="51"/>
      <c r="K23" s="51"/>
      <c r="L23" s="51"/>
      <c r="M23" s="51"/>
      <c r="N23" s="51"/>
      <c r="O23" s="337"/>
      <c r="P23" s="51"/>
      <c r="Q23" s="158"/>
      <c r="R23" s="158"/>
      <c r="S23" s="158"/>
      <c r="T23" s="158"/>
      <c r="U23" s="158"/>
      <c r="V23" s="158"/>
      <c r="W23" s="158"/>
      <c r="X23" s="158"/>
      <c r="Y23" s="158"/>
      <c r="Z23" s="158"/>
      <c r="AA23" s="158"/>
      <c r="AB23" s="158"/>
      <c r="AC23" s="158"/>
      <c r="AD23" s="158"/>
      <c r="AE23" s="328"/>
      <c r="AF23" s="322"/>
      <c r="AG23" s="322"/>
      <c r="AH23" s="322"/>
    </row>
    <row r="24" spans="1:34" ht="15.75" customHeight="1" x14ac:dyDescent="0.3">
      <c r="A24" s="2"/>
      <c r="B24" s="324"/>
      <c r="C24" s="51"/>
      <c r="D24" s="51"/>
      <c r="E24" s="51"/>
      <c r="F24" s="51"/>
      <c r="G24" s="51"/>
      <c r="H24" s="51"/>
      <c r="I24" s="51"/>
      <c r="J24" s="51"/>
      <c r="K24" s="51"/>
      <c r="L24" s="51"/>
      <c r="M24" s="51"/>
      <c r="N24" s="51"/>
      <c r="O24" s="337"/>
      <c r="P24" s="51"/>
      <c r="Q24" s="158"/>
      <c r="R24" s="158"/>
      <c r="S24" s="158"/>
      <c r="T24" s="158"/>
      <c r="U24" s="158"/>
      <c r="V24" s="158"/>
      <c r="W24" s="158"/>
      <c r="X24" s="158"/>
      <c r="Y24" s="158"/>
      <c r="Z24" s="158"/>
      <c r="AA24" s="158"/>
      <c r="AB24" s="158"/>
      <c r="AC24" s="158"/>
      <c r="AD24" s="158"/>
      <c r="AE24" s="328"/>
      <c r="AF24" s="322"/>
      <c r="AG24" s="322"/>
      <c r="AH24" s="322"/>
    </row>
    <row r="25" spans="1:34" ht="15.75" customHeight="1" x14ac:dyDescent="0.3">
      <c r="A25" s="2"/>
      <c r="B25" s="324"/>
      <c r="C25" s="51"/>
      <c r="D25" s="51"/>
      <c r="E25" s="51"/>
      <c r="F25" s="51"/>
      <c r="G25" s="51"/>
      <c r="H25" s="51"/>
      <c r="I25" s="51"/>
      <c r="J25" s="51"/>
      <c r="K25" s="51"/>
      <c r="L25" s="51"/>
      <c r="M25" s="51"/>
      <c r="N25" s="51"/>
      <c r="O25" s="337"/>
      <c r="P25" s="51"/>
      <c r="Q25" s="158"/>
      <c r="R25" s="158"/>
      <c r="S25" s="158"/>
      <c r="T25" s="158"/>
      <c r="U25" s="158"/>
      <c r="V25" s="158"/>
      <c r="W25" s="158"/>
      <c r="X25" s="158"/>
      <c r="Y25" s="158"/>
      <c r="Z25" s="158"/>
      <c r="AA25" s="158"/>
      <c r="AB25" s="158"/>
      <c r="AC25" s="158"/>
      <c r="AD25" s="158"/>
      <c r="AE25" s="328"/>
      <c r="AF25" s="322"/>
      <c r="AG25" s="322"/>
      <c r="AH25" s="322"/>
    </row>
    <row r="26" spans="1:34" ht="15.75" customHeight="1" x14ac:dyDescent="0.3">
      <c r="A26" s="2"/>
      <c r="B26" s="324"/>
      <c r="C26" s="51"/>
      <c r="D26" s="51"/>
      <c r="E26" s="51"/>
      <c r="F26" s="51"/>
      <c r="G26" s="51"/>
      <c r="H26" s="51"/>
      <c r="I26" s="51"/>
      <c r="J26" s="51"/>
      <c r="K26" s="51"/>
      <c r="L26" s="51"/>
      <c r="M26" s="51"/>
      <c r="N26" s="51"/>
      <c r="O26" s="337"/>
      <c r="P26" s="51"/>
      <c r="Q26" s="158"/>
      <c r="R26" s="158"/>
      <c r="S26" s="158"/>
      <c r="T26" s="158"/>
      <c r="U26" s="158"/>
      <c r="V26" s="158"/>
      <c r="W26" s="158"/>
      <c r="X26" s="158"/>
      <c r="Y26" s="158"/>
      <c r="Z26" s="158"/>
      <c r="AA26" s="158"/>
      <c r="AB26" s="158"/>
      <c r="AC26" s="158"/>
      <c r="AD26" s="158"/>
      <c r="AE26" s="328"/>
      <c r="AF26" s="322"/>
      <c r="AG26" s="322"/>
      <c r="AH26" s="322"/>
    </row>
    <row r="27" spans="1:34" ht="15.75" customHeight="1" x14ac:dyDescent="0.3">
      <c r="A27" s="2"/>
      <c r="B27" s="324"/>
      <c r="C27" s="51"/>
      <c r="D27" s="51"/>
      <c r="E27" s="51"/>
      <c r="F27" s="51"/>
      <c r="G27" s="51"/>
      <c r="H27" s="51"/>
      <c r="I27" s="51"/>
      <c r="J27" s="51"/>
      <c r="K27" s="51"/>
      <c r="L27" s="51"/>
      <c r="M27" s="51"/>
      <c r="N27" s="51"/>
      <c r="O27" s="337"/>
      <c r="P27" s="51"/>
      <c r="Q27" s="158"/>
      <c r="R27" s="158"/>
      <c r="S27" s="158"/>
      <c r="T27" s="158"/>
      <c r="U27" s="158"/>
      <c r="V27" s="158"/>
      <c r="W27" s="158"/>
      <c r="X27" s="158"/>
      <c r="Y27" s="158"/>
      <c r="Z27" s="158"/>
      <c r="AA27" s="158"/>
      <c r="AB27" s="158"/>
      <c r="AC27" s="158"/>
      <c r="AD27" s="158"/>
      <c r="AE27" s="328"/>
      <c r="AF27" s="322"/>
      <c r="AG27" s="322"/>
      <c r="AH27" s="322"/>
    </row>
    <row r="28" spans="1:34" ht="15.75" customHeight="1" x14ac:dyDescent="0.3">
      <c r="A28" s="2"/>
      <c r="B28" s="324"/>
      <c r="C28" s="51"/>
      <c r="D28" s="51"/>
      <c r="E28" s="51"/>
      <c r="F28" s="51"/>
      <c r="G28" s="51"/>
      <c r="H28" s="51"/>
      <c r="I28" s="51"/>
      <c r="J28" s="51"/>
      <c r="K28" s="51"/>
      <c r="L28" s="51"/>
      <c r="M28" s="51"/>
      <c r="N28" s="51"/>
      <c r="O28" s="337"/>
      <c r="P28" s="51"/>
      <c r="Q28" s="158"/>
      <c r="R28" s="158"/>
      <c r="S28" s="158"/>
      <c r="T28" s="158"/>
      <c r="U28" s="158"/>
      <c r="V28" s="158"/>
      <c r="W28" s="158"/>
      <c r="X28" s="158"/>
      <c r="Y28" s="158"/>
      <c r="Z28" s="158"/>
      <c r="AA28" s="158"/>
      <c r="AB28" s="158"/>
      <c r="AC28" s="158"/>
      <c r="AD28" s="158"/>
      <c r="AE28" s="328"/>
      <c r="AF28" s="322"/>
      <c r="AG28" s="322"/>
      <c r="AH28" s="322"/>
    </row>
    <row r="29" spans="1:34" ht="15.75" customHeight="1" x14ac:dyDescent="0.3">
      <c r="A29" s="2"/>
      <c r="B29" s="324"/>
      <c r="C29" s="51"/>
      <c r="D29" s="51"/>
      <c r="E29" s="51"/>
      <c r="F29" s="51"/>
      <c r="G29" s="51"/>
      <c r="H29" s="51"/>
      <c r="I29" s="51"/>
      <c r="J29" s="51"/>
      <c r="K29" s="51"/>
      <c r="L29" s="51"/>
      <c r="M29" s="51"/>
      <c r="N29" s="51"/>
      <c r="O29" s="337"/>
      <c r="P29" s="51"/>
      <c r="Q29" s="158"/>
      <c r="R29" s="158"/>
      <c r="S29" s="158"/>
      <c r="T29" s="158"/>
      <c r="U29" s="158"/>
      <c r="V29" s="158"/>
      <c r="W29" s="158"/>
      <c r="X29" s="158"/>
      <c r="Y29" s="158"/>
      <c r="Z29" s="158"/>
      <c r="AA29" s="158"/>
      <c r="AB29" s="158"/>
      <c r="AC29" s="158"/>
      <c r="AD29" s="158"/>
      <c r="AE29" s="328"/>
      <c r="AF29" s="322"/>
      <c r="AG29" s="322"/>
      <c r="AH29" s="322"/>
    </row>
    <row r="30" spans="1:34" ht="15.75" customHeight="1" x14ac:dyDescent="0.3">
      <c r="A30" s="2"/>
      <c r="B30" s="324"/>
      <c r="C30" s="51"/>
      <c r="D30" s="51"/>
      <c r="E30" s="51"/>
      <c r="F30" s="51"/>
      <c r="G30" s="51"/>
      <c r="H30" s="51"/>
      <c r="I30" s="51"/>
      <c r="J30" s="51"/>
      <c r="K30" s="51"/>
      <c r="L30" s="51"/>
      <c r="M30" s="51"/>
      <c r="N30" s="51"/>
      <c r="O30" s="337"/>
      <c r="P30" s="51"/>
      <c r="Q30" s="158"/>
      <c r="R30" s="158"/>
      <c r="S30" s="158"/>
      <c r="T30" s="158"/>
      <c r="U30" s="158"/>
      <c r="V30" s="158"/>
      <c r="W30" s="158"/>
      <c r="X30" s="158"/>
      <c r="Y30" s="158"/>
      <c r="Z30" s="158"/>
      <c r="AA30" s="158"/>
      <c r="AB30" s="158"/>
      <c r="AC30" s="158"/>
      <c r="AD30" s="158"/>
      <c r="AE30" s="328"/>
      <c r="AF30" s="322"/>
      <c r="AG30" s="322"/>
      <c r="AH30" s="322"/>
    </row>
    <row r="31" spans="1:34" ht="15.75" customHeight="1" x14ac:dyDescent="0.3">
      <c r="A31" s="2"/>
      <c r="B31" s="324"/>
      <c r="C31" s="51"/>
      <c r="D31" s="51"/>
      <c r="E31" s="51"/>
      <c r="F31" s="51"/>
      <c r="G31" s="51"/>
      <c r="H31" s="51"/>
      <c r="I31" s="51"/>
      <c r="J31" s="51"/>
      <c r="K31" s="51"/>
      <c r="L31" s="51"/>
      <c r="M31" s="51"/>
      <c r="N31" s="51"/>
      <c r="O31" s="337"/>
      <c r="P31" s="51"/>
      <c r="Q31" s="158"/>
      <c r="R31" s="158"/>
      <c r="S31" s="158"/>
      <c r="T31" s="158"/>
      <c r="U31" s="158"/>
      <c r="V31" s="158"/>
      <c r="W31" s="158"/>
      <c r="X31" s="158"/>
      <c r="Y31" s="158"/>
      <c r="Z31" s="158"/>
      <c r="AA31" s="158"/>
      <c r="AB31" s="158"/>
      <c r="AC31" s="158"/>
      <c r="AD31" s="158"/>
      <c r="AE31" s="328"/>
      <c r="AF31" s="322"/>
      <c r="AG31" s="322"/>
      <c r="AH31" s="322"/>
    </row>
    <row r="32" spans="1:34" x14ac:dyDescent="0.3">
      <c r="C32" s="51"/>
      <c r="D32" s="51"/>
      <c r="E32" s="329"/>
      <c r="F32" s="51"/>
      <c r="G32" s="51"/>
      <c r="H32" s="51"/>
      <c r="I32" s="51"/>
      <c r="J32" s="51"/>
      <c r="K32" s="51"/>
      <c r="L32" s="51"/>
      <c r="M32" s="51"/>
      <c r="N32" s="51"/>
      <c r="P32" s="51"/>
      <c r="Q32" s="51"/>
      <c r="R32" s="51"/>
      <c r="S32" s="51"/>
      <c r="T32" s="51"/>
      <c r="U32" s="51"/>
      <c r="V32" s="51"/>
      <c r="W32" s="51"/>
      <c r="X32" s="51"/>
      <c r="Y32" s="51"/>
      <c r="Z32" s="51"/>
      <c r="AA32" s="51"/>
      <c r="AB32" s="51"/>
      <c r="AC32" s="51"/>
      <c r="AD32" s="51"/>
      <c r="AE32" s="51"/>
    </row>
    <row r="33" spans="2:32" x14ac:dyDescent="0.3">
      <c r="B33" s="364" t="s">
        <v>400</v>
      </c>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row>
    <row r="34" spans="2:32" ht="27" customHeight="1" x14ac:dyDescent="0.3">
      <c r="B34" s="1138" t="s">
        <v>401</v>
      </c>
      <c r="C34" s="1139"/>
      <c r="D34" s="1140"/>
      <c r="E34" s="1140"/>
      <c r="F34" s="1140"/>
      <c r="G34" s="1140"/>
      <c r="H34" s="1140"/>
      <c r="I34" s="1140"/>
      <c r="J34" s="1140"/>
      <c r="K34" s="1140"/>
      <c r="L34" s="1140"/>
      <c r="M34" s="1140"/>
      <c r="N34" s="1140"/>
      <c r="O34" s="1140"/>
      <c r="P34" s="1140"/>
      <c r="Q34" s="1140"/>
      <c r="R34" s="1140"/>
      <c r="S34" s="1140"/>
      <c r="T34" s="1140"/>
      <c r="U34" s="1140"/>
      <c r="V34" s="1140"/>
      <c r="W34" s="1140"/>
      <c r="X34" s="1140"/>
      <c r="Y34" s="1140"/>
      <c r="Z34" s="1140"/>
      <c r="AA34" s="1140"/>
      <c r="AB34" s="1140"/>
      <c r="AC34" s="1141"/>
      <c r="AD34" s="376" t="s">
        <v>383</v>
      </c>
      <c r="AE34" s="375"/>
    </row>
    <row r="35" spans="2:32" ht="17.7" customHeight="1" x14ac:dyDescent="0.3">
      <c r="B35" s="385" t="s">
        <v>402</v>
      </c>
      <c r="C35" s="51"/>
      <c r="D35" s="402"/>
      <c r="E35" s="388"/>
      <c r="F35" s="388"/>
      <c r="G35" s="388"/>
      <c r="H35" s="381"/>
      <c r="I35" s="381"/>
      <c r="J35" s="308">
        <f>SUM(J36:J38)</f>
        <v>692.8</v>
      </c>
      <c r="K35" s="308">
        <f t="shared" ref="K35:P35" si="12">SUM(K36:K38)</f>
        <v>39.200000000000003</v>
      </c>
      <c r="L35" s="308">
        <f t="shared" si="12"/>
        <v>29</v>
      </c>
      <c r="M35" s="308">
        <f t="shared" si="12"/>
        <v>27</v>
      </c>
      <c r="N35" s="308">
        <f t="shared" si="12"/>
        <v>18</v>
      </c>
      <c r="O35" s="308">
        <f t="shared" si="12"/>
        <v>0</v>
      </c>
      <c r="P35" s="403">
        <f t="shared" si="12"/>
        <v>0</v>
      </c>
      <c r="Q35" s="308"/>
      <c r="R35" s="308"/>
      <c r="S35" s="308"/>
      <c r="T35" s="379"/>
      <c r="U35" s="379"/>
      <c r="V35" s="379"/>
      <c r="W35" s="379"/>
      <c r="X35" s="379"/>
      <c r="Y35" s="379"/>
      <c r="Z35" s="379"/>
      <c r="AA35" s="379"/>
      <c r="AB35" s="379"/>
      <c r="AC35" s="358"/>
      <c r="AD35" s="330">
        <f t="shared" ref="AD35:AD49" si="13">SUM(I35:Y35)/4</f>
        <v>201.5</v>
      </c>
      <c r="AE35" s="1137" t="s">
        <v>403</v>
      </c>
      <c r="AF35" s="1093"/>
    </row>
    <row r="36" spans="2:32" x14ac:dyDescent="0.3">
      <c r="B36" s="326" t="s">
        <v>149</v>
      </c>
      <c r="C36" s="51"/>
      <c r="D36" s="339"/>
      <c r="E36" s="51"/>
      <c r="F36" s="51"/>
      <c r="G36" s="51"/>
      <c r="H36" s="52"/>
      <c r="I36" s="52"/>
      <c r="J36" s="317">
        <f>C56*4</f>
        <v>600</v>
      </c>
      <c r="K36" s="317"/>
      <c r="L36" s="317"/>
      <c r="M36" s="317"/>
      <c r="N36" s="317"/>
      <c r="O36" s="317"/>
      <c r="P36" s="361"/>
      <c r="Q36" s="317"/>
      <c r="R36" s="317"/>
      <c r="S36" s="317"/>
      <c r="T36" s="313"/>
      <c r="U36" s="313"/>
      <c r="V36" s="313"/>
      <c r="W36" s="313"/>
      <c r="X36" s="313"/>
      <c r="Y36" s="313"/>
      <c r="Z36" s="313"/>
      <c r="AA36" s="313"/>
      <c r="AB36" s="313"/>
      <c r="AC36" s="386"/>
      <c r="AD36" s="330">
        <f t="shared" si="13"/>
        <v>150</v>
      </c>
      <c r="AE36" s="317"/>
    </row>
    <row r="37" spans="2:32" ht="15" customHeight="1" x14ac:dyDescent="0.3">
      <c r="B37" s="326" t="s">
        <v>150</v>
      </c>
      <c r="C37" s="51"/>
      <c r="D37" s="339"/>
      <c r="E37" s="51"/>
      <c r="F37" s="51"/>
      <c r="G37" s="51"/>
      <c r="H37" s="52"/>
      <c r="I37" s="52"/>
      <c r="J37" s="317">
        <v>28.4</v>
      </c>
      <c r="K37" s="317">
        <v>15.8</v>
      </c>
      <c r="L37" s="317">
        <v>15.2</v>
      </c>
      <c r="M37" s="317">
        <v>10.9</v>
      </c>
      <c r="N37" s="317">
        <v>18</v>
      </c>
      <c r="O37" s="317"/>
      <c r="P37" s="361"/>
      <c r="Q37" s="317"/>
      <c r="R37" s="317"/>
      <c r="S37" s="317">
        <v>20</v>
      </c>
      <c r="T37" s="311">
        <v>10</v>
      </c>
      <c r="U37" s="313"/>
      <c r="V37" s="313"/>
      <c r="W37" s="313"/>
      <c r="X37" s="313"/>
      <c r="Y37" s="313"/>
      <c r="Z37" s="313"/>
      <c r="AA37" s="313"/>
      <c r="AB37" s="313"/>
      <c r="AC37" s="386"/>
      <c r="AD37" s="330">
        <f t="shared" si="13"/>
        <v>29.575000000000003</v>
      </c>
      <c r="AE37" s="317"/>
    </row>
    <row r="38" spans="2:32" x14ac:dyDescent="0.3">
      <c r="B38" s="326" t="s">
        <v>152</v>
      </c>
      <c r="C38" s="51"/>
      <c r="D38" s="339"/>
      <c r="E38" s="51"/>
      <c r="F38" s="51"/>
      <c r="G38" s="51"/>
      <c r="H38" s="52"/>
      <c r="I38" s="52"/>
      <c r="J38" s="150">
        <v>64.400000000000006</v>
      </c>
      <c r="K38" s="150">
        <v>23.4</v>
      </c>
      <c r="L38" s="150">
        <v>13.8</v>
      </c>
      <c r="M38" s="150">
        <v>16.100000000000001</v>
      </c>
      <c r="N38" s="317"/>
      <c r="O38" s="317"/>
      <c r="P38" s="361"/>
      <c r="Q38" s="317"/>
      <c r="R38" s="317"/>
      <c r="S38" s="317"/>
      <c r="T38" s="313"/>
      <c r="U38" s="313"/>
      <c r="V38" s="313"/>
      <c r="W38" s="313"/>
      <c r="X38" s="313"/>
      <c r="Y38" s="313"/>
      <c r="Z38" s="313"/>
      <c r="AA38" s="313"/>
      <c r="AB38" s="313"/>
      <c r="AC38" s="386"/>
      <c r="AD38" s="330">
        <f t="shared" si="13"/>
        <v>29.425000000000004</v>
      </c>
      <c r="AE38" s="317"/>
    </row>
    <row r="39" spans="2:32" ht="16.5" customHeight="1" x14ac:dyDescent="0.3">
      <c r="B39" s="385" t="s">
        <v>404</v>
      </c>
      <c r="C39" s="51"/>
      <c r="D39" s="339"/>
      <c r="E39" s="51"/>
      <c r="F39" s="51"/>
      <c r="G39" s="51"/>
      <c r="H39" s="52"/>
      <c r="I39" s="52"/>
      <c r="J39" s="52"/>
      <c r="K39" s="52"/>
      <c r="L39" s="52"/>
      <c r="M39" s="317">
        <f>SUM(M40:M44)</f>
        <v>43</v>
      </c>
      <c r="N39" s="317">
        <f t="shared" ref="N39:AC39" si="14">SUM(N40:N44)</f>
        <v>70</v>
      </c>
      <c r="O39" s="317">
        <f t="shared" si="14"/>
        <v>59.999999999999964</v>
      </c>
      <c r="P39" s="361">
        <f t="shared" si="14"/>
        <v>50</v>
      </c>
      <c r="Q39" s="317">
        <f t="shared" si="14"/>
        <v>44.999999999999964</v>
      </c>
      <c r="R39" s="317">
        <f t="shared" si="14"/>
        <v>44.999999999999964</v>
      </c>
      <c r="S39" s="317">
        <f t="shared" si="14"/>
        <v>44.999999999999964</v>
      </c>
      <c r="T39" s="313">
        <f t="shared" si="14"/>
        <v>44.999999999999964</v>
      </c>
      <c r="U39" s="313">
        <f t="shared" si="14"/>
        <v>44.999999999999964</v>
      </c>
      <c r="V39" s="313">
        <f t="shared" si="14"/>
        <v>44.999999999999964</v>
      </c>
      <c r="W39" s="313">
        <f t="shared" si="14"/>
        <v>44.999999999999964</v>
      </c>
      <c r="X39" s="313">
        <f t="shared" si="14"/>
        <v>44.999999999999964</v>
      </c>
      <c r="Y39" s="313">
        <f t="shared" si="14"/>
        <v>19</v>
      </c>
      <c r="Z39" s="313">
        <f t="shared" si="14"/>
        <v>0</v>
      </c>
      <c r="AA39" s="313">
        <f t="shared" si="14"/>
        <v>0</v>
      </c>
      <c r="AB39" s="313">
        <f t="shared" si="14"/>
        <v>0</v>
      </c>
      <c r="AC39" s="386">
        <f t="shared" si="14"/>
        <v>0</v>
      </c>
      <c r="AD39" s="330">
        <f t="shared" si="13"/>
        <v>150.49999999999991</v>
      </c>
      <c r="AE39" s="1137" t="s">
        <v>405</v>
      </c>
      <c r="AF39" s="1093"/>
    </row>
    <row r="40" spans="2:32" x14ac:dyDescent="0.3">
      <c r="B40" s="326" t="s">
        <v>391</v>
      </c>
      <c r="C40" s="51"/>
      <c r="D40" s="339"/>
      <c r="E40" s="51"/>
      <c r="F40" s="51"/>
      <c r="G40" s="51"/>
      <c r="H40" s="52"/>
      <c r="I40" s="52"/>
      <c r="J40" s="52"/>
      <c r="K40" s="52"/>
      <c r="L40" s="52"/>
      <c r="M40" s="317">
        <f>C59/12*4</f>
        <v>9.6666666666666661</v>
      </c>
      <c r="N40" s="317">
        <f>M40</f>
        <v>9.6666666666666661</v>
      </c>
      <c r="O40" s="317">
        <f t="shared" ref="O40:X40" si="15">N40</f>
        <v>9.6666666666666661</v>
      </c>
      <c r="P40" s="361">
        <f t="shared" si="15"/>
        <v>9.6666666666666661</v>
      </c>
      <c r="Q40" s="317">
        <f t="shared" si="15"/>
        <v>9.6666666666666661</v>
      </c>
      <c r="R40" s="317">
        <f t="shared" si="15"/>
        <v>9.6666666666666661</v>
      </c>
      <c r="S40" s="317">
        <f t="shared" si="15"/>
        <v>9.6666666666666661</v>
      </c>
      <c r="T40" s="313">
        <f t="shared" si="15"/>
        <v>9.6666666666666661</v>
      </c>
      <c r="U40" s="313">
        <f t="shared" si="15"/>
        <v>9.6666666666666661</v>
      </c>
      <c r="V40" s="313">
        <f t="shared" si="15"/>
        <v>9.6666666666666661</v>
      </c>
      <c r="W40" s="313">
        <f t="shared" si="15"/>
        <v>9.6666666666666661</v>
      </c>
      <c r="X40" s="313">
        <f t="shared" si="15"/>
        <v>9.6666666666666661</v>
      </c>
      <c r="Y40" s="312"/>
      <c r="Z40" s="312"/>
      <c r="AA40" s="312"/>
      <c r="AB40" s="312"/>
      <c r="AC40" s="387"/>
      <c r="AD40" s="330">
        <f t="shared" si="13"/>
        <v>29.000000000000004</v>
      </c>
      <c r="AE40" s="1137"/>
      <c r="AF40" s="1093"/>
    </row>
    <row r="41" spans="2:32" ht="41.55" customHeight="1" x14ac:dyDescent="0.3">
      <c r="B41" s="326" t="s">
        <v>150</v>
      </c>
      <c r="C41" s="51"/>
      <c r="D41" s="339"/>
      <c r="E41" s="51"/>
      <c r="F41" s="51"/>
      <c r="G41" s="51"/>
      <c r="H41" s="52"/>
      <c r="I41" s="52"/>
      <c r="J41" s="52"/>
      <c r="K41" s="52"/>
      <c r="L41" s="52"/>
      <c r="M41" s="359">
        <f>C70/12*4 - 7</f>
        <v>20.333333333333332</v>
      </c>
      <c r="N41" s="359">
        <f>C70/12*4 + 20</f>
        <v>47.333333333333329</v>
      </c>
      <c r="O41" s="359">
        <v>37.3333333333333</v>
      </c>
      <c r="P41" s="404">
        <v>27.333333333333332</v>
      </c>
      <c r="Q41" s="359">
        <v>22.3333333333333</v>
      </c>
      <c r="R41" s="359">
        <v>22.3333333333333</v>
      </c>
      <c r="S41" s="359">
        <v>22.3333333333333</v>
      </c>
      <c r="T41" s="391">
        <v>22.3333333333333</v>
      </c>
      <c r="U41" s="391">
        <v>22.3333333333333</v>
      </c>
      <c r="V41" s="391">
        <v>22.3333333333333</v>
      </c>
      <c r="W41" s="391">
        <v>22.3333333333333</v>
      </c>
      <c r="X41" s="391">
        <v>22.3333333333333</v>
      </c>
      <c r="Y41" s="391">
        <v>19</v>
      </c>
      <c r="Z41" s="391"/>
      <c r="AA41" s="391"/>
      <c r="AB41" s="391"/>
      <c r="AC41" s="392"/>
      <c r="AD41" s="330">
        <f>SUM(I41:Y41)/4</f>
        <v>82.499999999999943</v>
      </c>
      <c r="AE41" s="398" t="s">
        <v>406</v>
      </c>
    </row>
    <row r="42" spans="2:32" x14ac:dyDescent="0.3">
      <c r="B42" s="326" t="s">
        <v>152</v>
      </c>
      <c r="C42" s="51"/>
      <c r="D42" s="339"/>
      <c r="E42" s="51"/>
      <c r="F42" s="51"/>
      <c r="G42" s="51"/>
      <c r="H42" s="52"/>
      <c r="I42" s="52"/>
      <c r="J42" s="52"/>
      <c r="K42" s="52"/>
      <c r="L42" s="52"/>
      <c r="M42" s="317">
        <f>C71/12*4</f>
        <v>1</v>
      </c>
      <c r="N42" s="317">
        <f>C71/12*4</f>
        <v>1</v>
      </c>
      <c r="O42" s="317">
        <f t="shared" ref="O42:X42" si="16">$C$71/12*4</f>
        <v>1</v>
      </c>
      <c r="P42" s="361">
        <f t="shared" si="16"/>
        <v>1</v>
      </c>
      <c r="Q42" s="317">
        <f t="shared" si="16"/>
        <v>1</v>
      </c>
      <c r="R42" s="317">
        <f t="shared" si="16"/>
        <v>1</v>
      </c>
      <c r="S42" s="317">
        <f t="shared" si="16"/>
        <v>1</v>
      </c>
      <c r="T42" s="313">
        <f t="shared" si="16"/>
        <v>1</v>
      </c>
      <c r="U42" s="313">
        <f t="shared" si="16"/>
        <v>1</v>
      </c>
      <c r="V42" s="313">
        <f t="shared" si="16"/>
        <v>1</v>
      </c>
      <c r="W42" s="313">
        <f t="shared" si="16"/>
        <v>1</v>
      </c>
      <c r="X42" s="313">
        <f t="shared" si="16"/>
        <v>1</v>
      </c>
      <c r="Y42" s="312"/>
      <c r="Z42" s="312"/>
      <c r="AA42" s="312"/>
      <c r="AB42" s="312"/>
      <c r="AC42" s="387"/>
      <c r="AD42" s="330">
        <f t="shared" si="13"/>
        <v>3</v>
      </c>
      <c r="AE42" s="52"/>
    </row>
    <row r="43" spans="2:32" ht="13.2" customHeight="1" x14ac:dyDescent="0.3">
      <c r="B43" s="326" t="s">
        <v>407</v>
      </c>
      <c r="C43" s="51"/>
      <c r="D43" s="339"/>
      <c r="E43" s="51"/>
      <c r="F43" s="51"/>
      <c r="G43" s="51"/>
      <c r="H43" s="52"/>
      <c r="I43" s="52"/>
      <c r="J43" s="52"/>
      <c r="K43" s="52"/>
      <c r="L43" s="52"/>
      <c r="M43" s="317">
        <f t="shared" ref="M43:X43" si="17">$C$72/12*4</f>
        <v>11.333333333333334</v>
      </c>
      <c r="N43" s="317">
        <f t="shared" si="17"/>
        <v>11.333333333333334</v>
      </c>
      <c r="O43" s="317">
        <f t="shared" si="17"/>
        <v>11.333333333333334</v>
      </c>
      <c r="P43" s="361">
        <f t="shared" si="17"/>
        <v>11.333333333333334</v>
      </c>
      <c r="Q43" s="317">
        <f t="shared" si="17"/>
        <v>11.333333333333334</v>
      </c>
      <c r="R43" s="317">
        <f t="shared" si="17"/>
        <v>11.333333333333334</v>
      </c>
      <c r="S43" s="317">
        <f t="shared" si="17"/>
        <v>11.333333333333334</v>
      </c>
      <c r="T43" s="313">
        <f t="shared" si="17"/>
        <v>11.333333333333334</v>
      </c>
      <c r="U43" s="313">
        <f t="shared" si="17"/>
        <v>11.333333333333334</v>
      </c>
      <c r="V43" s="313">
        <f t="shared" si="17"/>
        <v>11.333333333333334</v>
      </c>
      <c r="W43" s="313">
        <f t="shared" si="17"/>
        <v>11.333333333333334</v>
      </c>
      <c r="X43" s="313">
        <f t="shared" si="17"/>
        <v>11.333333333333334</v>
      </c>
      <c r="Y43" s="312"/>
      <c r="Z43" s="312"/>
      <c r="AA43" s="312"/>
      <c r="AB43" s="312"/>
      <c r="AC43" s="387"/>
      <c r="AD43" s="330">
        <f t="shared" si="13"/>
        <v>33.999999999999993</v>
      </c>
      <c r="AE43" s="52"/>
    </row>
    <row r="44" spans="2:32" ht="29.25" customHeight="1" x14ac:dyDescent="0.3">
      <c r="B44" s="326" t="s">
        <v>408</v>
      </c>
      <c r="C44" s="51"/>
      <c r="D44" s="339"/>
      <c r="E44" s="51"/>
      <c r="F44" s="51"/>
      <c r="G44" s="51"/>
      <c r="H44" s="52"/>
      <c r="I44" s="52"/>
      <c r="J44" s="52"/>
      <c r="K44" s="52"/>
      <c r="L44" s="52"/>
      <c r="M44" s="317">
        <f t="shared" ref="M44:X44" si="18">$C$73/12*4</f>
        <v>0.66666666666666663</v>
      </c>
      <c r="N44" s="317">
        <f t="shared" si="18"/>
        <v>0.66666666666666663</v>
      </c>
      <c r="O44" s="317">
        <f t="shared" si="18"/>
        <v>0.66666666666666663</v>
      </c>
      <c r="P44" s="361">
        <f t="shared" si="18"/>
        <v>0.66666666666666663</v>
      </c>
      <c r="Q44" s="317">
        <f t="shared" si="18"/>
        <v>0.66666666666666663</v>
      </c>
      <c r="R44" s="317">
        <f t="shared" si="18"/>
        <v>0.66666666666666663</v>
      </c>
      <c r="S44" s="317">
        <f t="shared" si="18"/>
        <v>0.66666666666666663</v>
      </c>
      <c r="T44" s="313">
        <f t="shared" si="18"/>
        <v>0.66666666666666663</v>
      </c>
      <c r="U44" s="313">
        <f t="shared" si="18"/>
        <v>0.66666666666666663</v>
      </c>
      <c r="V44" s="313">
        <f t="shared" si="18"/>
        <v>0.66666666666666663</v>
      </c>
      <c r="W44" s="313">
        <f t="shared" si="18"/>
        <v>0.66666666666666663</v>
      </c>
      <c r="X44" s="313">
        <f t="shared" si="18"/>
        <v>0.66666666666666663</v>
      </c>
      <c r="Y44" s="312"/>
      <c r="Z44" s="312"/>
      <c r="AA44" s="312"/>
      <c r="AB44" s="312"/>
      <c r="AC44" s="387"/>
      <c r="AD44" s="330">
        <f t="shared" si="13"/>
        <v>2</v>
      </c>
      <c r="AE44" s="52"/>
    </row>
    <row r="45" spans="2:32" ht="44.25" customHeight="1" x14ac:dyDescent="0.3">
      <c r="B45" s="385" t="s">
        <v>409</v>
      </c>
      <c r="C45" s="51"/>
      <c r="D45" s="339"/>
      <c r="E45" s="51"/>
      <c r="F45" s="51"/>
      <c r="G45" s="51"/>
      <c r="H45" s="52"/>
      <c r="I45" s="52"/>
      <c r="J45" s="52"/>
      <c r="K45" s="52"/>
      <c r="L45" s="52"/>
      <c r="M45" s="317"/>
      <c r="N45" s="317">
        <f t="shared" ref="N45:AC45" si="19">SUM(N46:N50)</f>
        <v>954.03959999999972</v>
      </c>
      <c r="O45" s="317">
        <f t="shared" si="19"/>
        <v>85.500399999999999</v>
      </c>
      <c r="P45" s="361">
        <f t="shared" si="19"/>
        <v>83.481000000000009</v>
      </c>
      <c r="Q45" s="317">
        <f t="shared" si="19"/>
        <v>662.76099999999997</v>
      </c>
      <c r="R45" s="317">
        <f t="shared" si="19"/>
        <v>83.481000000000009</v>
      </c>
      <c r="S45" s="317">
        <f t="shared" si="19"/>
        <v>83.481000000000009</v>
      </c>
      <c r="T45" s="313">
        <f t="shared" si="19"/>
        <v>62.811999999999998</v>
      </c>
      <c r="U45" s="313">
        <f t="shared" si="19"/>
        <v>62.811999999999998</v>
      </c>
      <c r="V45" s="313">
        <f t="shared" si="19"/>
        <v>62.811999999999998</v>
      </c>
      <c r="W45" s="313">
        <f t="shared" si="19"/>
        <v>62.811999999999998</v>
      </c>
      <c r="X45" s="313">
        <f t="shared" si="19"/>
        <v>41.554000000000002</v>
      </c>
      <c r="Y45" s="313">
        <f t="shared" si="19"/>
        <v>41.554000000000002</v>
      </c>
      <c r="Z45" s="313">
        <f t="shared" si="19"/>
        <v>41.554000000000002</v>
      </c>
      <c r="AA45" s="313">
        <f t="shared" si="19"/>
        <v>41.554000000000002</v>
      </c>
      <c r="AB45" s="313">
        <f t="shared" si="19"/>
        <v>27.678000000000001</v>
      </c>
      <c r="AC45" s="386">
        <f t="shared" si="19"/>
        <v>27.678000000000001</v>
      </c>
      <c r="AD45" s="330">
        <f t="shared" si="13"/>
        <v>571.77499999999986</v>
      </c>
      <c r="AE45" s="1137" t="s">
        <v>410</v>
      </c>
      <c r="AF45" s="1093"/>
    </row>
    <row r="46" spans="2:32" ht="17.7" customHeight="1" x14ac:dyDescent="0.3">
      <c r="B46" s="326" t="s">
        <v>396</v>
      </c>
      <c r="C46" s="51"/>
      <c r="D46" s="339"/>
      <c r="E46" s="51"/>
      <c r="F46" s="51"/>
      <c r="G46" s="51"/>
      <c r="H46" s="52"/>
      <c r="I46" s="52"/>
      <c r="J46" s="52"/>
      <c r="K46" s="52"/>
      <c r="L46" s="52"/>
      <c r="M46" s="317"/>
      <c r="N46" s="317">
        <f>0.6*C75*4</f>
        <v>868.91999999999985</v>
      </c>
      <c r="O46" s="317"/>
      <c r="P46" s="361"/>
      <c r="Q46" s="317">
        <f>0.4*C75*4</f>
        <v>579.28</v>
      </c>
      <c r="R46" s="317"/>
      <c r="S46" s="317"/>
      <c r="T46" s="313"/>
      <c r="U46" s="313"/>
      <c r="V46" s="313"/>
      <c r="W46" s="313"/>
      <c r="X46" s="313"/>
      <c r="Y46" s="313"/>
      <c r="Z46" s="313"/>
      <c r="AA46" s="313"/>
      <c r="AB46" s="313"/>
      <c r="AC46" s="386"/>
      <c r="AD46" s="330">
        <f t="shared" si="13"/>
        <v>362.04999999999995</v>
      </c>
      <c r="AE46" s="351" t="s">
        <v>411</v>
      </c>
      <c r="AF46" s="351"/>
    </row>
    <row r="47" spans="2:32" x14ac:dyDescent="0.3">
      <c r="B47" s="326" t="s">
        <v>150</v>
      </c>
      <c r="C47" s="51"/>
      <c r="D47" s="339"/>
      <c r="E47" s="51"/>
      <c r="F47" s="51"/>
      <c r="G47" s="51"/>
      <c r="H47" s="52"/>
      <c r="I47" s="52"/>
      <c r="J47" s="52"/>
      <c r="K47" s="52"/>
      <c r="L47" s="52"/>
      <c r="M47" s="317"/>
      <c r="N47" s="317">
        <f>'ARP Quarterly'!D9</f>
        <v>24.693999999999999</v>
      </c>
      <c r="O47" s="317">
        <f>'ARP Quarterly'!E9</f>
        <v>24.693999999999999</v>
      </c>
      <c r="P47" s="361">
        <f>'ARP Quarterly'!F9</f>
        <v>46.79</v>
      </c>
      <c r="Q47" s="317">
        <f>'ARP Quarterly'!G9</f>
        <v>46.79</v>
      </c>
      <c r="R47" s="317">
        <f>'ARP Quarterly'!H9</f>
        <v>46.79</v>
      </c>
      <c r="S47" s="317">
        <f>'ARP Quarterly'!I9</f>
        <v>46.79</v>
      </c>
      <c r="T47" s="313">
        <f>'ARP Quarterly'!J9</f>
        <v>38.595999999999997</v>
      </c>
      <c r="U47" s="313">
        <f>'ARP Quarterly'!K9</f>
        <v>38.595999999999997</v>
      </c>
      <c r="V47" s="313">
        <f>'ARP Quarterly'!L9</f>
        <v>38.595999999999997</v>
      </c>
      <c r="W47" s="313">
        <f>'ARP Quarterly'!M9</f>
        <v>38.595999999999997</v>
      </c>
      <c r="X47" s="313">
        <f>'ARP Quarterly'!N9</f>
        <v>31.911000000000001</v>
      </c>
      <c r="Y47" s="313">
        <f>'ARP Quarterly'!O9</f>
        <v>31.911000000000001</v>
      </c>
      <c r="Z47" s="313">
        <f>'ARP Quarterly'!P9</f>
        <v>31.911000000000001</v>
      </c>
      <c r="AA47" s="313">
        <f>'ARP Quarterly'!Q9</f>
        <v>31.911000000000001</v>
      </c>
      <c r="AB47" s="313">
        <f>'ARP Quarterly'!R9</f>
        <v>23.099</v>
      </c>
      <c r="AC47" s="386">
        <f>'ARP Quarterly'!S9</f>
        <v>23.099</v>
      </c>
      <c r="AD47" s="330">
        <f t="shared" si="13"/>
        <v>113.68849999999999</v>
      </c>
      <c r="AE47" s="317"/>
    </row>
    <row r="48" spans="2:32" x14ac:dyDescent="0.3">
      <c r="B48" s="326" t="s">
        <v>152</v>
      </c>
      <c r="C48" s="51"/>
      <c r="D48" s="339"/>
      <c r="E48" s="51"/>
      <c r="F48" s="51"/>
      <c r="G48" s="51"/>
      <c r="H48" s="52"/>
      <c r="I48" s="52"/>
      <c r="J48" s="52"/>
      <c r="K48" s="52"/>
      <c r="L48" s="52"/>
      <c r="M48" s="317"/>
      <c r="N48" s="317">
        <f>'ARP Quarterly'!D14</f>
        <v>1.1696</v>
      </c>
      <c r="O48" s="317">
        <f>'ARP Quarterly'!E14</f>
        <v>1.5503999999999998</v>
      </c>
      <c r="P48" s="361">
        <f>'ARP Quarterly'!F14</f>
        <v>1.02</v>
      </c>
      <c r="Q48" s="317">
        <f>'ARP Quarterly'!G14</f>
        <v>1.02</v>
      </c>
      <c r="R48" s="317">
        <f>'ARP Quarterly'!H14</f>
        <v>1.02</v>
      </c>
      <c r="S48" s="317">
        <f>'ARP Quarterly'!I14</f>
        <v>1.02</v>
      </c>
      <c r="T48" s="313">
        <f>'ARP Quarterly'!J14</f>
        <v>0</v>
      </c>
      <c r="U48" s="313">
        <f>'ARP Quarterly'!K14</f>
        <v>0</v>
      </c>
      <c r="V48" s="313">
        <f>'ARP Quarterly'!L14</f>
        <v>0</v>
      </c>
      <c r="W48" s="313">
        <f>'ARP Quarterly'!M14</f>
        <v>0</v>
      </c>
      <c r="X48" s="313">
        <f>'ARP Quarterly'!N14</f>
        <v>0</v>
      </c>
      <c r="Y48" s="313">
        <f>'ARP Quarterly'!O14</f>
        <v>0</v>
      </c>
      <c r="Z48" s="313">
        <f>'ARP Quarterly'!P14</f>
        <v>0</v>
      </c>
      <c r="AA48" s="313">
        <f>'ARP Quarterly'!Q14</f>
        <v>0</v>
      </c>
      <c r="AB48" s="313">
        <f>'ARP Quarterly'!R14</f>
        <v>0</v>
      </c>
      <c r="AC48" s="386">
        <f>'ARP Quarterly'!S14</f>
        <v>0</v>
      </c>
      <c r="AD48" s="330">
        <f t="shared" si="13"/>
        <v>1.6999999999999997</v>
      </c>
      <c r="AE48" s="317"/>
    </row>
    <row r="49" spans="1:88" x14ac:dyDescent="0.3">
      <c r="B49" s="326" t="s">
        <v>412</v>
      </c>
      <c r="C49" s="51"/>
      <c r="D49" s="339"/>
      <c r="E49" s="51"/>
      <c r="F49" s="51"/>
      <c r="G49" s="51"/>
      <c r="H49" s="52"/>
      <c r="I49" s="52"/>
      <c r="J49" s="52"/>
      <c r="K49" s="52"/>
      <c r="L49" s="52"/>
      <c r="M49" s="317"/>
      <c r="N49" s="317">
        <f>'ARP Quarterly'!D10</f>
        <v>59.256</v>
      </c>
      <c r="O49" s="317">
        <f>'ARP Quarterly'!E10</f>
        <v>59.256</v>
      </c>
      <c r="P49" s="361">
        <f>'ARP Quarterly'!F10</f>
        <v>35.671000000000006</v>
      </c>
      <c r="Q49" s="317">
        <f>'ARP Quarterly'!G10</f>
        <v>35.671000000000006</v>
      </c>
      <c r="R49" s="317">
        <f>'ARP Quarterly'!H10</f>
        <v>35.671000000000006</v>
      </c>
      <c r="S49" s="317">
        <f>'ARP Quarterly'!I10</f>
        <v>35.671000000000006</v>
      </c>
      <c r="T49" s="313">
        <f>'ARP Quarterly'!J10</f>
        <v>24.216000000000001</v>
      </c>
      <c r="U49" s="313">
        <f>'ARP Quarterly'!K10</f>
        <v>24.216000000000001</v>
      </c>
      <c r="V49" s="313">
        <f>'ARP Quarterly'!L10</f>
        <v>24.216000000000001</v>
      </c>
      <c r="W49" s="313">
        <f>'ARP Quarterly'!M10</f>
        <v>24.216000000000001</v>
      </c>
      <c r="X49" s="313">
        <f>'ARP Quarterly'!N10</f>
        <v>9.6430000000000007</v>
      </c>
      <c r="Y49" s="313">
        <f>'ARP Quarterly'!O10</f>
        <v>9.6430000000000007</v>
      </c>
      <c r="Z49" s="313">
        <f>'ARP Quarterly'!P10</f>
        <v>9.6430000000000007</v>
      </c>
      <c r="AA49" s="313">
        <f>'ARP Quarterly'!Q10</f>
        <v>9.6430000000000007</v>
      </c>
      <c r="AB49" s="313">
        <f>'ARP Quarterly'!R10</f>
        <v>4.5789999999999997</v>
      </c>
      <c r="AC49" s="386">
        <f>'ARP Quarterly'!S10</f>
        <v>4.5789999999999997</v>
      </c>
      <c r="AD49" s="330">
        <f t="shared" si="13"/>
        <v>94.336500000000001</v>
      </c>
      <c r="AE49" s="317"/>
    </row>
    <row r="50" spans="1:88" x14ac:dyDescent="0.3">
      <c r="A50" s="2"/>
      <c r="B50" s="346"/>
      <c r="C50" s="343"/>
      <c r="D50" s="341"/>
      <c r="E50" s="343"/>
      <c r="F50" s="343"/>
      <c r="G50" s="343"/>
      <c r="H50" s="348"/>
      <c r="I50" s="348"/>
      <c r="J50" s="348"/>
      <c r="K50" s="348"/>
      <c r="L50" s="348"/>
      <c r="M50" s="360"/>
      <c r="N50" s="360"/>
      <c r="O50" s="360"/>
      <c r="P50" s="377"/>
      <c r="Q50" s="360"/>
      <c r="R50" s="360"/>
      <c r="S50" s="360"/>
      <c r="T50" s="352"/>
      <c r="U50" s="352"/>
      <c r="V50" s="352"/>
      <c r="W50" s="352"/>
      <c r="X50" s="352"/>
      <c r="Y50" s="352"/>
      <c r="Z50" s="352"/>
      <c r="AA50" s="352"/>
      <c r="AB50" s="352"/>
      <c r="AC50" s="353"/>
      <c r="AD50" s="377"/>
      <c r="AE50" s="317"/>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row>
    <row r="51" spans="1:88" x14ac:dyDescent="0.3">
      <c r="B51" s="324"/>
      <c r="C51" s="51"/>
      <c r="D51" s="5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c r="AD51" s="51"/>
      <c r="AE51" s="51"/>
    </row>
    <row r="52" spans="1:88" x14ac:dyDescent="0.3">
      <c r="B52" s="324"/>
      <c r="C52" s="51"/>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c r="AE52" s="51"/>
    </row>
    <row r="53" spans="1:88" ht="17.7" customHeight="1" x14ac:dyDescent="0.3">
      <c r="B53" s="354" t="s">
        <v>413</v>
      </c>
      <c r="H53" s="52"/>
      <c r="I53" s="52"/>
      <c r="J53" s="52"/>
      <c r="K53" s="52"/>
      <c r="L53" s="52"/>
      <c r="M53" s="52"/>
      <c r="N53" s="52"/>
      <c r="O53" s="52"/>
      <c r="P53" s="52"/>
      <c r="Q53" s="52"/>
      <c r="R53" s="52"/>
      <c r="S53" s="52"/>
      <c r="T53" s="52"/>
      <c r="U53" s="52"/>
      <c r="V53" s="52"/>
      <c r="W53" s="52"/>
      <c r="X53" s="52"/>
      <c r="Y53" s="52"/>
      <c r="Z53" s="52"/>
      <c r="AA53" s="52"/>
      <c r="AB53" s="52"/>
      <c r="AC53" s="52"/>
      <c r="AD53" s="52"/>
      <c r="AE53" s="52"/>
    </row>
    <row r="54" spans="1:88" ht="29.7" customHeight="1" x14ac:dyDescent="0.3">
      <c r="B54" s="394" t="s">
        <v>414</v>
      </c>
      <c r="C54" s="395" t="s">
        <v>415</v>
      </c>
      <c r="D54" s="396" t="s">
        <v>416</v>
      </c>
      <c r="E54" s="370" t="s">
        <v>417</v>
      </c>
      <c r="F54" s="52"/>
      <c r="G54" s="52"/>
      <c r="H54" s="52"/>
      <c r="I54" s="52"/>
      <c r="J54" s="52"/>
      <c r="K54" s="52"/>
      <c r="L54" s="52"/>
      <c r="M54" s="52"/>
      <c r="N54" s="52"/>
      <c r="O54" s="52"/>
      <c r="P54" s="52"/>
      <c r="Q54" s="52"/>
      <c r="R54" s="52"/>
      <c r="S54" s="52"/>
      <c r="T54" s="52"/>
      <c r="U54" s="52"/>
      <c r="V54" s="52"/>
      <c r="W54" s="52"/>
    </row>
    <row r="55" spans="1:88" ht="18.75" customHeight="1" x14ac:dyDescent="0.3">
      <c r="B55" s="401" t="s">
        <v>418</v>
      </c>
      <c r="C55" s="349">
        <f>SUM(C56:C61)</f>
        <v>898.11599999999999</v>
      </c>
      <c r="D55" s="52">
        <f>SUM(D56:D60)</f>
        <v>202.36666666666667</v>
      </c>
      <c r="E55" s="151">
        <f>SUM(E56:E60)</f>
        <v>650.35233333333326</v>
      </c>
      <c r="F55" s="52"/>
      <c r="G55" s="52"/>
      <c r="H55" s="52"/>
      <c r="I55" s="52"/>
      <c r="J55" s="52"/>
      <c r="K55" s="52"/>
      <c r="L55" s="52"/>
      <c r="M55" s="52"/>
      <c r="N55" s="52"/>
      <c r="O55" s="52"/>
      <c r="P55" s="52"/>
      <c r="Q55" s="52"/>
      <c r="R55" s="52"/>
      <c r="S55" s="52"/>
      <c r="T55" s="52"/>
      <c r="U55" s="52"/>
      <c r="V55" s="52"/>
      <c r="W55" s="52"/>
    </row>
    <row r="56" spans="1:88" x14ac:dyDescent="0.3">
      <c r="B56" s="400" t="s">
        <v>149</v>
      </c>
      <c r="C56" s="349">
        <f>C65</f>
        <v>150</v>
      </c>
      <c r="D56" s="52">
        <f>SUM(H12:M12)/4</f>
        <v>149.47499999999999</v>
      </c>
      <c r="E56" s="330">
        <f>C56-D56</f>
        <v>0.52500000000000568</v>
      </c>
      <c r="F56" s="52"/>
      <c r="G56" s="52"/>
      <c r="H56" s="52"/>
      <c r="I56" s="338"/>
      <c r="J56" s="338"/>
      <c r="K56" s="338"/>
      <c r="L56" s="338"/>
      <c r="M56" s="338"/>
      <c r="N56" s="338"/>
      <c r="O56" s="338"/>
      <c r="P56" s="338"/>
      <c r="Q56" s="52"/>
      <c r="R56" s="52"/>
      <c r="S56" s="52"/>
      <c r="T56" s="52"/>
      <c r="U56" s="52"/>
      <c r="V56" s="52"/>
      <c r="W56" s="52"/>
    </row>
    <row r="57" spans="1:88" x14ac:dyDescent="0.3">
      <c r="B57" s="400" t="s">
        <v>150</v>
      </c>
      <c r="C57" s="405">
        <f>C66+C70+C76</f>
        <v>273.16899999999998</v>
      </c>
      <c r="D57" s="52">
        <f>SUM(H13:M13)/4</f>
        <v>22.075000000000003</v>
      </c>
      <c r="E57" s="330">
        <f>C57-D57</f>
        <v>251.09399999999999</v>
      </c>
      <c r="F57" s="52"/>
      <c r="G57" s="52"/>
      <c r="H57" s="52"/>
      <c r="I57" s="338"/>
      <c r="J57" s="338"/>
      <c r="K57" s="338"/>
      <c r="L57" s="338"/>
      <c r="M57" s="338"/>
      <c r="N57" s="338"/>
      <c r="O57" s="338"/>
      <c r="P57" s="338"/>
      <c r="Q57" s="52"/>
      <c r="R57" s="52"/>
      <c r="S57" s="52"/>
      <c r="T57" s="52"/>
      <c r="U57" s="52"/>
      <c r="V57" s="52"/>
      <c r="W57" s="52"/>
    </row>
    <row r="58" spans="1:88" x14ac:dyDescent="0.3">
      <c r="B58" s="400" t="s">
        <v>152</v>
      </c>
      <c r="C58" s="282">
        <f>C67+C77+C71</f>
        <v>38.5</v>
      </c>
      <c r="D58" s="52">
        <f>SUM(H14:M14)/4</f>
        <v>28.400000000000002</v>
      </c>
      <c r="E58" s="330">
        <f>C58-D58</f>
        <v>10.099999999999998</v>
      </c>
      <c r="F58" s="52"/>
      <c r="G58" s="52"/>
      <c r="H58" s="52"/>
      <c r="I58" s="338"/>
      <c r="J58" s="338"/>
      <c r="K58" s="338"/>
      <c r="L58" s="338"/>
      <c r="M58" s="338"/>
      <c r="N58" s="338"/>
      <c r="O58" s="338"/>
      <c r="P58" s="338"/>
      <c r="Q58" s="1142"/>
      <c r="R58" s="1142"/>
      <c r="S58" s="1142"/>
      <c r="T58" s="1142"/>
      <c r="U58" s="1142"/>
      <c r="V58" s="1142"/>
      <c r="W58" s="1142"/>
      <c r="X58" s="1142"/>
      <c r="Y58" s="1142"/>
      <c r="Z58" s="1142"/>
      <c r="AA58" s="1142"/>
      <c r="AB58" s="1142"/>
      <c r="AC58" s="1142"/>
      <c r="AD58" s="1142"/>
      <c r="AE58" s="1142"/>
      <c r="AF58" s="1142"/>
      <c r="AG58" s="1142"/>
      <c r="AH58" s="1142"/>
    </row>
    <row r="59" spans="1:88" ht="17.25" customHeight="1" x14ac:dyDescent="0.3">
      <c r="B59" s="400" t="s">
        <v>419</v>
      </c>
      <c r="C59" s="282">
        <f>C69</f>
        <v>29</v>
      </c>
      <c r="D59" s="52">
        <f>SUM(H15:M15)/4</f>
        <v>2.4166666666666665</v>
      </c>
      <c r="E59" s="330">
        <f>C59-D59</f>
        <v>26.583333333333332</v>
      </c>
      <c r="F59" s="52"/>
      <c r="G59" s="52"/>
      <c r="H59" s="52"/>
      <c r="I59" s="338"/>
      <c r="J59" s="338"/>
      <c r="K59" s="338"/>
      <c r="L59" s="338"/>
      <c r="M59" s="338"/>
      <c r="N59" s="338"/>
      <c r="O59" s="338"/>
      <c r="P59" s="338"/>
      <c r="Q59" s="1092"/>
      <c r="R59" s="1092"/>
      <c r="S59" s="1092"/>
      <c r="T59" s="1092"/>
      <c r="U59" s="1092"/>
      <c r="V59" s="1092"/>
      <c r="W59" s="1092"/>
      <c r="X59" s="1092"/>
      <c r="Y59" s="1092"/>
      <c r="Z59" s="139"/>
      <c r="AA59" s="139"/>
      <c r="AB59" s="139"/>
      <c r="AC59" s="139"/>
      <c r="AD59" s="1092"/>
      <c r="AE59" s="1092"/>
      <c r="AF59" s="1092"/>
      <c r="AG59" s="1092"/>
      <c r="AH59" s="139"/>
    </row>
    <row r="60" spans="1:88" ht="15.75" customHeight="1" x14ac:dyDescent="0.3">
      <c r="B60" s="400" t="s">
        <v>396</v>
      </c>
      <c r="C60" s="282">
        <f>C75</f>
        <v>362.04999999999995</v>
      </c>
      <c r="D60" s="52">
        <v>0</v>
      </c>
      <c r="E60" s="330">
        <f>C60-D60</f>
        <v>362.04999999999995</v>
      </c>
      <c r="F60" s="52"/>
      <c r="G60" s="52"/>
      <c r="H60" s="52"/>
      <c r="I60" s="338"/>
      <c r="J60" s="338"/>
      <c r="K60" s="338"/>
      <c r="L60" s="338"/>
      <c r="M60" s="338"/>
      <c r="N60" s="338"/>
      <c r="O60" s="338"/>
      <c r="P60" s="338"/>
      <c r="Q60" s="139"/>
      <c r="R60" s="139"/>
      <c r="S60" s="139"/>
      <c r="T60" s="139"/>
      <c r="U60" s="139"/>
      <c r="V60" s="139"/>
      <c r="W60" s="139"/>
      <c r="X60" s="139"/>
      <c r="Y60" s="139"/>
      <c r="Z60" s="139"/>
      <c r="AA60" s="139"/>
      <c r="AB60" s="139"/>
      <c r="AC60" s="139"/>
      <c r="AD60" s="139"/>
      <c r="AE60" s="139"/>
      <c r="AF60" s="139"/>
      <c r="AG60" s="139"/>
      <c r="AH60" s="139"/>
    </row>
    <row r="61" spans="1:88" ht="15" customHeight="1" x14ac:dyDescent="0.3">
      <c r="B61" s="399" t="s">
        <v>420</v>
      </c>
      <c r="C61" s="349">
        <f>C78+C79+C72+C73</f>
        <v>45.396999999999998</v>
      </c>
      <c r="D61" s="52"/>
      <c r="E61" s="330"/>
      <c r="F61" s="52"/>
      <c r="G61" s="52"/>
      <c r="H61" s="52"/>
      <c r="I61" s="338"/>
      <c r="J61" s="338"/>
      <c r="K61" s="338"/>
      <c r="L61" s="338"/>
      <c r="M61" s="338"/>
      <c r="N61" s="338"/>
      <c r="O61" s="338"/>
      <c r="P61" s="338"/>
      <c r="Q61" s="52"/>
      <c r="R61" s="52"/>
      <c r="S61" s="52"/>
      <c r="T61" s="52"/>
      <c r="U61" s="52"/>
      <c r="V61" s="52"/>
      <c r="W61" s="52"/>
    </row>
    <row r="62" spans="1:88" ht="5.25" customHeight="1" x14ac:dyDescent="0.3">
      <c r="B62" s="399"/>
      <c r="C62" s="349"/>
      <c r="D62" s="52"/>
      <c r="E62" s="330"/>
      <c r="F62" s="52"/>
      <c r="G62" s="52"/>
      <c r="H62" s="52"/>
      <c r="I62" s="338"/>
      <c r="J62" s="338"/>
      <c r="K62" s="338"/>
      <c r="L62" s="338"/>
      <c r="M62" s="338"/>
      <c r="N62" s="338"/>
      <c r="O62" s="338"/>
      <c r="P62" s="338"/>
      <c r="Q62" s="52"/>
      <c r="R62" s="52"/>
      <c r="S62" s="52"/>
      <c r="T62" s="52"/>
      <c r="U62" s="52"/>
      <c r="V62" s="52"/>
      <c r="W62" s="52"/>
    </row>
    <row r="63" spans="1:88" ht="18.75" customHeight="1" x14ac:dyDescent="0.3">
      <c r="B63" s="401" t="s">
        <v>421</v>
      </c>
      <c r="C63" s="282">
        <f>C64+C68+C74</f>
        <v>898.11599999999999</v>
      </c>
      <c r="D63" s="52"/>
      <c r="E63" s="330"/>
      <c r="F63" s="52"/>
      <c r="G63" s="52"/>
      <c r="H63" s="52"/>
      <c r="I63" s="338"/>
      <c r="J63" s="338"/>
      <c r="K63" s="338"/>
      <c r="L63" s="338"/>
      <c r="M63" s="338"/>
      <c r="N63" s="338"/>
      <c r="O63" s="338"/>
      <c r="P63" s="338"/>
      <c r="Q63" s="52"/>
      <c r="R63" s="52"/>
      <c r="S63" s="52"/>
      <c r="T63" s="52"/>
      <c r="U63" s="52"/>
      <c r="V63" s="52"/>
      <c r="W63" s="52"/>
    </row>
    <row r="64" spans="1:88" ht="16.2" customHeight="1" x14ac:dyDescent="0.3">
      <c r="B64" s="385" t="s">
        <v>402</v>
      </c>
      <c r="C64" s="282">
        <f>SUM(C65:C67)</f>
        <v>199</v>
      </c>
      <c r="D64" s="52"/>
      <c r="E64" s="330"/>
      <c r="F64" s="52"/>
      <c r="G64" s="52"/>
      <c r="H64" s="52"/>
      <c r="I64" s="338"/>
      <c r="J64" s="338"/>
      <c r="K64" s="338"/>
      <c r="L64" s="338"/>
      <c r="M64" s="338"/>
      <c r="N64" s="338"/>
      <c r="O64" s="338"/>
      <c r="P64" s="338"/>
      <c r="Q64" s="52"/>
      <c r="R64" s="52"/>
      <c r="S64" s="52"/>
      <c r="T64" s="52"/>
      <c r="U64" s="52"/>
      <c r="V64" s="52"/>
      <c r="W64" s="52"/>
    </row>
    <row r="65" spans="1:31" ht="20.7" customHeight="1" x14ac:dyDescent="0.3">
      <c r="B65" s="326" t="s">
        <v>149</v>
      </c>
      <c r="C65" s="282">
        <v>150</v>
      </c>
      <c r="D65" s="52"/>
      <c r="E65" s="330"/>
      <c r="F65" s="52"/>
      <c r="G65" s="52"/>
      <c r="H65" s="52"/>
      <c r="I65" s="338"/>
      <c r="J65" s="338"/>
      <c r="K65" s="338"/>
      <c r="L65" s="338"/>
      <c r="M65" s="338"/>
      <c r="N65" s="338"/>
      <c r="O65" s="338"/>
      <c r="P65" s="338"/>
      <c r="Q65" s="52"/>
      <c r="R65" s="52"/>
      <c r="S65" s="52"/>
      <c r="T65" s="52"/>
      <c r="U65" s="52"/>
      <c r="V65" s="52"/>
      <c r="W65" s="52"/>
    </row>
    <row r="66" spans="1:31" ht="16.5" customHeight="1" x14ac:dyDescent="0.3">
      <c r="B66" s="326" t="s">
        <v>150</v>
      </c>
      <c r="C66" s="405">
        <v>22</v>
      </c>
      <c r="D66" s="150"/>
      <c r="E66" s="330"/>
      <c r="F66" s="52"/>
      <c r="G66" s="52"/>
      <c r="H66" s="52"/>
      <c r="I66" s="338"/>
      <c r="J66" s="338"/>
      <c r="K66" s="338"/>
      <c r="L66" s="338"/>
      <c r="M66" s="338"/>
      <c r="N66" s="338"/>
      <c r="O66" s="338"/>
      <c r="P66" s="338"/>
      <c r="Q66" s="52"/>
      <c r="R66" s="52"/>
      <c r="S66" s="52"/>
      <c r="T66" s="52"/>
      <c r="U66" s="52"/>
      <c r="V66" s="52"/>
      <c r="W66" s="52"/>
    </row>
    <row r="67" spans="1:31" x14ac:dyDescent="0.3">
      <c r="B67" s="326" t="s">
        <v>152</v>
      </c>
      <c r="C67" s="282">
        <v>27</v>
      </c>
      <c r="D67" s="52"/>
      <c r="E67" s="330"/>
      <c r="F67" s="51"/>
      <c r="G67" s="52"/>
      <c r="H67" s="52"/>
      <c r="I67" s="338"/>
      <c r="J67" s="338"/>
      <c r="K67" s="338"/>
      <c r="L67" s="338"/>
      <c r="M67" s="338"/>
      <c r="N67" s="338"/>
      <c r="P67" s="338"/>
      <c r="Q67" s="52"/>
      <c r="R67" s="52"/>
      <c r="S67" s="52"/>
      <c r="T67" s="52"/>
      <c r="U67" s="52"/>
      <c r="V67" s="52"/>
      <c r="W67" s="52"/>
    </row>
    <row r="68" spans="1:31" ht="15" customHeight="1" x14ac:dyDescent="0.3">
      <c r="B68" s="385" t="s">
        <v>404</v>
      </c>
      <c r="C68" s="282">
        <f>SUM(C69:C73)</f>
        <v>150</v>
      </c>
      <c r="D68" s="52"/>
      <c r="E68" s="330"/>
      <c r="F68" s="52"/>
      <c r="G68" s="52"/>
      <c r="H68" s="52"/>
      <c r="I68" s="52"/>
      <c r="J68" s="52"/>
      <c r="K68" s="52"/>
      <c r="L68" s="52"/>
      <c r="M68" s="52"/>
      <c r="N68" s="52"/>
      <c r="P68" s="52"/>
      <c r="Q68" s="52"/>
      <c r="R68" s="52"/>
      <c r="S68" s="52"/>
      <c r="T68" s="52"/>
      <c r="U68" s="52"/>
      <c r="V68" s="52"/>
      <c r="W68" s="52"/>
    </row>
    <row r="69" spans="1:31" ht="17.25" customHeight="1" x14ac:dyDescent="0.3">
      <c r="B69" s="326" t="s">
        <v>391</v>
      </c>
      <c r="C69" s="282">
        <f>'Response and Relief Act Score'!F7</f>
        <v>29</v>
      </c>
      <c r="D69" s="52"/>
      <c r="E69" s="330"/>
      <c r="F69" s="52"/>
      <c r="G69" s="52"/>
      <c r="H69" s="52"/>
      <c r="I69" s="52"/>
    </row>
    <row r="70" spans="1:31" x14ac:dyDescent="0.3">
      <c r="B70" s="326" t="s">
        <v>150</v>
      </c>
      <c r="C70" s="282">
        <f>'Response and Relief Act Score'!F5</f>
        <v>82</v>
      </c>
      <c r="D70" s="52"/>
      <c r="E70" s="330"/>
      <c r="F70" s="52"/>
      <c r="G70" s="52"/>
      <c r="H70" s="52"/>
      <c r="I70" s="52"/>
      <c r="J70" s="52"/>
      <c r="K70" s="52"/>
      <c r="L70" s="52"/>
      <c r="M70" s="52"/>
      <c r="N70" s="52"/>
      <c r="P70" s="52"/>
      <c r="Q70" s="52"/>
      <c r="R70" s="52"/>
      <c r="S70" s="52"/>
      <c r="T70" s="52"/>
      <c r="U70" s="52"/>
      <c r="V70" s="52"/>
      <c r="W70" s="52"/>
    </row>
    <row r="71" spans="1:31" x14ac:dyDescent="0.3">
      <c r="B71" s="326" t="s">
        <v>152</v>
      </c>
      <c r="C71" s="282">
        <f>'Response and Relief Act Score'!F6</f>
        <v>3</v>
      </c>
      <c r="D71" s="52"/>
      <c r="E71" s="330"/>
      <c r="F71" s="52"/>
      <c r="G71" s="52"/>
      <c r="H71" s="52"/>
      <c r="I71" s="52"/>
      <c r="J71" s="52"/>
      <c r="K71" s="52"/>
      <c r="L71" s="52"/>
      <c r="M71" s="52"/>
      <c r="N71" s="52"/>
      <c r="P71" s="52"/>
      <c r="Q71" s="52"/>
      <c r="R71" s="52"/>
      <c r="S71" s="52"/>
      <c r="T71" s="52"/>
      <c r="U71" s="52"/>
      <c r="V71" s="52"/>
      <c r="W71" s="52"/>
    </row>
    <row r="72" spans="1:31" ht="29.25" customHeight="1" x14ac:dyDescent="0.3">
      <c r="B72" s="326" t="s">
        <v>407</v>
      </c>
      <c r="C72" s="282">
        <f>'Response and Relief Act Score'!F9</f>
        <v>34</v>
      </c>
      <c r="D72" s="52"/>
      <c r="E72" s="330"/>
      <c r="F72" s="52"/>
      <c r="G72" s="52"/>
      <c r="H72" s="52"/>
      <c r="I72" s="355"/>
      <c r="J72" s="52"/>
      <c r="K72" s="52"/>
      <c r="L72" s="52"/>
      <c r="M72" s="52"/>
      <c r="N72" s="52"/>
      <c r="O72" s="338"/>
      <c r="P72" s="52"/>
      <c r="Q72" s="52"/>
      <c r="R72" s="52"/>
      <c r="S72" s="52"/>
      <c r="T72" s="52"/>
      <c r="U72" s="52"/>
      <c r="V72" s="52"/>
      <c r="W72" s="52"/>
    </row>
    <row r="73" spans="1:31" ht="12.75" customHeight="1" x14ac:dyDescent="0.3">
      <c r="B73" s="326" t="s">
        <v>408</v>
      </c>
      <c r="C73" s="282">
        <f>'Response and Relief Act Score'!F8</f>
        <v>2</v>
      </c>
      <c r="D73" s="52"/>
      <c r="E73" s="330"/>
      <c r="F73" s="52"/>
      <c r="G73" s="52"/>
      <c r="H73" s="52"/>
      <c r="I73" s="52"/>
      <c r="J73" s="52"/>
      <c r="K73" s="52"/>
      <c r="L73" s="52"/>
      <c r="M73" s="52"/>
      <c r="N73" s="52"/>
      <c r="O73" s="52"/>
      <c r="P73" s="52"/>
      <c r="Q73" s="52"/>
      <c r="R73" s="52"/>
      <c r="S73" s="52"/>
      <c r="T73" s="52"/>
      <c r="U73" s="52"/>
      <c r="V73" s="52"/>
      <c r="W73" s="52"/>
    </row>
    <row r="74" spans="1:31" x14ac:dyDescent="0.3">
      <c r="A74" s="345"/>
      <c r="B74" s="342" t="s">
        <v>409</v>
      </c>
      <c r="C74" s="349">
        <f>SUM(C75:C79)</f>
        <v>549.11599999999999</v>
      </c>
      <c r="D74" s="52"/>
      <c r="E74" s="330"/>
      <c r="F74" s="52"/>
      <c r="G74" s="52"/>
      <c r="H74" s="52"/>
      <c r="I74" s="52"/>
      <c r="J74" s="52"/>
      <c r="K74" s="52"/>
      <c r="L74" s="52"/>
      <c r="M74" s="52"/>
      <c r="N74" s="52"/>
      <c r="P74" s="52"/>
      <c r="Q74" s="52"/>
      <c r="R74" s="52"/>
      <c r="S74" s="52"/>
      <c r="T74" s="52"/>
      <c r="U74" s="52"/>
      <c r="V74" s="52"/>
      <c r="W74" s="52"/>
    </row>
    <row r="75" spans="1:31" ht="16.2" customHeight="1" x14ac:dyDescent="0.3">
      <c r="A75" s="345"/>
      <c r="B75" s="344" t="s">
        <v>396</v>
      </c>
      <c r="C75" s="349">
        <f>'ARP Score'!AJ16</f>
        <v>362.04999999999995</v>
      </c>
      <c r="D75" s="52"/>
      <c r="E75" s="330"/>
      <c r="F75" s="52"/>
      <c r="G75" s="52"/>
      <c r="H75" s="52"/>
      <c r="I75" s="52"/>
      <c r="J75" s="52"/>
      <c r="K75" s="52"/>
      <c r="L75" s="52"/>
      <c r="M75" s="52"/>
      <c r="N75" s="52"/>
      <c r="O75" s="52"/>
      <c r="P75" s="52"/>
      <c r="Q75" s="52"/>
      <c r="R75" s="52"/>
      <c r="S75" s="52"/>
      <c r="T75" s="52"/>
      <c r="U75" s="52"/>
      <c r="V75" s="52"/>
      <c r="W75" s="52"/>
    </row>
    <row r="76" spans="1:31" ht="15" customHeight="1" x14ac:dyDescent="0.3">
      <c r="A76" s="1134"/>
      <c r="B76" s="344" t="s">
        <v>150</v>
      </c>
      <c r="C76" s="349">
        <f>'ARP Score'!AL16</f>
        <v>169.16899999999998</v>
      </c>
      <c r="D76" s="52"/>
      <c r="E76" s="330"/>
      <c r="F76" s="52"/>
      <c r="G76" s="52"/>
      <c r="H76" s="52"/>
      <c r="I76" s="52"/>
      <c r="J76" s="52"/>
      <c r="K76" s="52"/>
      <c r="L76" s="52"/>
      <c r="M76" s="52"/>
      <c r="N76" s="52"/>
      <c r="O76" s="52"/>
      <c r="P76" s="52"/>
      <c r="Q76" s="347"/>
      <c r="R76" s="52"/>
      <c r="S76" s="52"/>
      <c r="T76" s="52"/>
      <c r="U76" s="52"/>
      <c r="V76" s="52"/>
      <c r="W76" s="52"/>
    </row>
    <row r="77" spans="1:31" x14ac:dyDescent="0.3">
      <c r="A77" s="1134"/>
      <c r="B77" s="344" t="s">
        <v>152</v>
      </c>
      <c r="C77" s="349">
        <f>'ARP Score'!AK16</f>
        <v>8.5</v>
      </c>
      <c r="D77" s="52"/>
      <c r="E77" s="330"/>
      <c r="F77" s="52"/>
      <c r="G77" s="52"/>
      <c r="H77" s="52"/>
      <c r="I77" s="52"/>
      <c r="J77" s="52"/>
      <c r="K77" s="52"/>
      <c r="L77" s="52"/>
      <c r="M77" s="52"/>
      <c r="N77" s="52"/>
      <c r="O77" s="52"/>
      <c r="P77" s="52"/>
      <c r="Q77" s="52"/>
      <c r="R77" s="52"/>
      <c r="S77" s="52"/>
      <c r="T77" s="52"/>
      <c r="U77" s="52"/>
      <c r="V77" s="52"/>
      <c r="W77" s="52"/>
    </row>
    <row r="78" spans="1:31" ht="17.25" customHeight="1" x14ac:dyDescent="0.3">
      <c r="A78" s="345"/>
      <c r="B78" s="344" t="s">
        <v>412</v>
      </c>
      <c r="C78" s="349">
        <f>'ARP Score'!AM16</f>
        <v>0.79700000000000004</v>
      </c>
      <c r="D78" s="52"/>
      <c r="E78" s="330"/>
      <c r="F78" s="52"/>
      <c r="G78" s="52"/>
      <c r="H78" s="52"/>
      <c r="I78" s="52"/>
      <c r="J78" s="52"/>
      <c r="K78" s="52"/>
      <c r="L78" s="52"/>
      <c r="M78" s="52"/>
      <c r="N78" s="52"/>
      <c r="O78" s="52"/>
      <c r="P78" s="52"/>
      <c r="Q78" s="52"/>
      <c r="R78" s="52"/>
      <c r="S78" s="52"/>
      <c r="T78" s="52"/>
      <c r="U78" s="52"/>
      <c r="V78" s="52"/>
      <c r="W78" s="52"/>
    </row>
    <row r="79" spans="1:31" ht="17.25" customHeight="1" x14ac:dyDescent="0.3">
      <c r="A79" s="345"/>
      <c r="B79" s="346" t="s">
        <v>422</v>
      </c>
      <c r="C79" s="350">
        <f>'ARP Score'!AN16</f>
        <v>8.6</v>
      </c>
      <c r="D79" s="348"/>
      <c r="E79" s="331"/>
      <c r="F79" s="52"/>
      <c r="G79" s="52"/>
      <c r="H79" s="52"/>
      <c r="I79" s="52"/>
      <c r="J79" s="52"/>
      <c r="K79" s="52"/>
      <c r="L79" s="52"/>
      <c r="M79" s="52"/>
      <c r="N79" s="52"/>
      <c r="O79" s="52"/>
      <c r="P79" s="52"/>
      <c r="Q79" s="52"/>
      <c r="R79" s="52"/>
      <c r="S79" s="52"/>
      <c r="T79" s="52"/>
      <c r="U79" s="52"/>
      <c r="V79" s="52"/>
      <c r="W79" s="52"/>
    </row>
    <row r="80" spans="1:31" ht="17.25" customHeight="1" x14ac:dyDescent="0.3">
      <c r="B80" s="344"/>
      <c r="C80" s="71"/>
      <c r="D80" s="71"/>
      <c r="E80" s="71"/>
      <c r="F80" s="71"/>
      <c r="G80" s="71"/>
      <c r="H80" s="52"/>
      <c r="I80" s="52"/>
      <c r="J80" s="52"/>
      <c r="K80" s="52"/>
      <c r="L80" s="52"/>
      <c r="M80" s="52"/>
      <c r="N80" s="52"/>
      <c r="O80" s="52"/>
      <c r="P80" s="52"/>
      <c r="Q80" s="52"/>
      <c r="R80" s="52"/>
      <c r="S80" s="52"/>
      <c r="T80" s="52"/>
      <c r="U80" s="52"/>
      <c r="V80" s="52"/>
      <c r="W80" s="52"/>
      <c r="X80" s="52"/>
      <c r="Y80" s="52"/>
      <c r="Z80" s="52"/>
      <c r="AA80" s="52"/>
      <c r="AB80" s="52"/>
      <c r="AC80" s="52"/>
      <c r="AD80" s="52"/>
      <c r="AE80" s="52"/>
    </row>
    <row r="81" spans="2:31" ht="17.25" customHeight="1" x14ac:dyDescent="0.3">
      <c r="B81" s="327" t="s">
        <v>423</v>
      </c>
      <c r="C81" s="71"/>
      <c r="D81" s="71"/>
      <c r="E81" s="71"/>
      <c r="F81" s="71"/>
      <c r="G81" s="71"/>
      <c r="H81" s="52"/>
      <c r="I81" s="52"/>
      <c r="J81" s="52"/>
      <c r="K81" s="52"/>
      <c r="L81" s="52"/>
      <c r="M81" s="52"/>
      <c r="N81" s="52"/>
      <c r="O81" s="52"/>
      <c r="P81" s="52"/>
      <c r="Q81" s="52"/>
      <c r="R81" s="52"/>
      <c r="S81" s="52"/>
      <c r="T81" s="52"/>
      <c r="U81" s="52"/>
      <c r="V81" s="52"/>
      <c r="W81" s="52"/>
      <c r="X81" s="52"/>
      <c r="Y81" s="52"/>
      <c r="Z81" s="52"/>
      <c r="AA81" s="52"/>
      <c r="AB81" s="52"/>
      <c r="AC81" s="52"/>
      <c r="AD81" s="52"/>
      <c r="AE81" s="52"/>
    </row>
    <row r="82" spans="2:31" ht="14.7" customHeight="1" x14ac:dyDescent="0.3">
      <c r="B82" s="1123" t="s">
        <v>424</v>
      </c>
      <c r="C82" s="1107"/>
      <c r="D82" s="1104" t="s">
        <v>325</v>
      </c>
      <c r="E82" s="1105"/>
      <c r="F82" s="1105"/>
      <c r="G82" s="1105"/>
      <c r="H82" s="1105"/>
      <c r="I82" s="1105"/>
      <c r="J82" s="1105"/>
      <c r="K82" s="1105"/>
      <c r="L82" s="1105"/>
      <c r="M82" s="1105"/>
      <c r="N82" s="1105"/>
      <c r="O82" s="1105"/>
      <c r="P82" s="1105"/>
      <c r="Q82" s="1106"/>
      <c r="R82" s="1106"/>
      <c r="S82" s="1106"/>
      <c r="T82" s="1132" t="s">
        <v>326</v>
      </c>
      <c r="U82" s="1132"/>
      <c r="V82" s="1132"/>
      <c r="W82" s="1132"/>
      <c r="X82" s="1132"/>
      <c r="Y82" s="1132"/>
      <c r="Z82" s="1132"/>
      <c r="AA82" s="1132"/>
      <c r="AB82" s="1132"/>
      <c r="AC82" s="1133"/>
      <c r="AD82" s="137"/>
      <c r="AE82" s="137"/>
    </row>
    <row r="83" spans="2:31" x14ac:dyDescent="0.3">
      <c r="B83" s="1124"/>
      <c r="C83" s="1125"/>
      <c r="D83" s="142">
        <v>2018</v>
      </c>
      <c r="E83" s="1095">
        <v>2019</v>
      </c>
      <c r="F83" s="1096"/>
      <c r="G83" s="1096"/>
      <c r="H83" s="1103"/>
      <c r="I83" s="1095">
        <v>2020</v>
      </c>
      <c r="J83" s="1096"/>
      <c r="K83" s="1096"/>
      <c r="L83" s="1096"/>
      <c r="M83" s="1095">
        <v>2021</v>
      </c>
      <c r="N83" s="1096"/>
      <c r="O83" s="1096"/>
      <c r="P83" s="1096"/>
      <c r="Q83" s="1129">
        <v>2022</v>
      </c>
      <c r="R83" s="1130"/>
      <c r="S83" s="253"/>
      <c r="T83" s="288"/>
      <c r="U83" s="1126">
        <v>2023</v>
      </c>
      <c r="V83" s="1127"/>
      <c r="W83" s="1127"/>
      <c r="X83" s="1127"/>
      <c r="Y83" s="1126">
        <v>2024</v>
      </c>
      <c r="Z83" s="1127"/>
      <c r="AA83" s="1127"/>
      <c r="AB83" s="1128"/>
      <c r="AC83" s="259">
        <v>2025</v>
      </c>
      <c r="AD83" s="139"/>
      <c r="AE83" s="139"/>
    </row>
    <row r="84" spans="2:31" x14ac:dyDescent="0.3">
      <c r="B84" s="1135"/>
      <c r="C84" s="1136"/>
      <c r="D84" s="153" t="s">
        <v>327</v>
      </c>
      <c r="E84" s="153" t="s">
        <v>328</v>
      </c>
      <c r="F84" s="152" t="s">
        <v>329</v>
      </c>
      <c r="G84" s="152" t="s">
        <v>238</v>
      </c>
      <c r="H84" s="204" t="s">
        <v>327</v>
      </c>
      <c r="I84" s="152" t="s">
        <v>328</v>
      </c>
      <c r="J84" s="152" t="s">
        <v>329</v>
      </c>
      <c r="K84" s="152" t="s">
        <v>238</v>
      </c>
      <c r="L84" s="152" t="s">
        <v>327</v>
      </c>
      <c r="M84" s="153" t="s">
        <v>328</v>
      </c>
      <c r="N84" s="152" t="s">
        <v>329</v>
      </c>
      <c r="O84" s="152" t="s">
        <v>238</v>
      </c>
      <c r="P84" s="152" t="s">
        <v>327</v>
      </c>
      <c r="Q84" s="153" t="s">
        <v>328</v>
      </c>
      <c r="R84" s="152" t="s">
        <v>329</v>
      </c>
      <c r="S84" s="204" t="s">
        <v>238</v>
      </c>
      <c r="T84" s="275" t="s">
        <v>327</v>
      </c>
      <c r="U84" s="356" t="s">
        <v>328</v>
      </c>
      <c r="V84" s="357" t="s">
        <v>329</v>
      </c>
      <c r="W84" s="357" t="s">
        <v>238</v>
      </c>
      <c r="X84" s="357" t="s">
        <v>327</v>
      </c>
      <c r="Y84" s="356" t="s">
        <v>328</v>
      </c>
      <c r="Z84" s="250" t="s">
        <v>329</v>
      </c>
      <c r="AA84" s="357" t="s">
        <v>238</v>
      </c>
      <c r="AB84" s="369" t="s">
        <v>327</v>
      </c>
      <c r="AC84" s="384" t="s">
        <v>328</v>
      </c>
      <c r="AD84" s="139"/>
      <c r="AE84" s="139"/>
    </row>
    <row r="85" spans="2:31" ht="29.25" customHeight="1" x14ac:dyDescent="0.3">
      <c r="B85" s="371" t="s">
        <v>425</v>
      </c>
      <c r="C85" s="390"/>
      <c r="D85" s="411"/>
      <c r="E85" s="390"/>
      <c r="F85" s="390"/>
      <c r="G85" s="390"/>
      <c r="H85" s="412">
        <f t="shared" ref="H85:O85" si="20">SUM(H87:H95)</f>
        <v>205.80500000000001</v>
      </c>
      <c r="I85" s="412">
        <f t="shared" si="20"/>
        <v>210.29200000000003</v>
      </c>
      <c r="J85" s="412">
        <f t="shared" si="20"/>
        <v>325.28399999999999</v>
      </c>
      <c r="K85" s="412">
        <f t="shared" si="20"/>
        <v>297.32000000000005</v>
      </c>
      <c r="L85" s="412">
        <f t="shared" si="20"/>
        <v>289.54199999999997</v>
      </c>
      <c r="M85" s="412">
        <f t="shared" si="20"/>
        <v>315.67900000000003</v>
      </c>
      <c r="N85" s="412">
        <f t="shared" si="20"/>
        <v>361.52700000000004</v>
      </c>
      <c r="O85" s="412">
        <f t="shared" si="20"/>
        <v>374.99100000000004</v>
      </c>
      <c r="P85" s="412">
        <f>SUM(P87:P96)</f>
        <v>401.58485200000007</v>
      </c>
      <c r="Q85" s="412">
        <f>SUM(Q87:Q96)</f>
        <v>438.45827479999997</v>
      </c>
      <c r="R85" s="412">
        <f>SUM(R87:R96)</f>
        <v>505.04903199999995</v>
      </c>
      <c r="S85" s="417">
        <f>SUM(S87:S96)</f>
        <v>492.38786800000003</v>
      </c>
      <c r="T85" s="332">
        <f t="shared" ref="T85:AC85" si="21">SUM(T87:T96)</f>
        <v>483.36755273237202</v>
      </c>
      <c r="U85" s="332">
        <f t="shared" si="21"/>
        <v>468.25943079425093</v>
      </c>
      <c r="V85" s="332">
        <f t="shared" si="21"/>
        <v>472.80054303303206</v>
      </c>
      <c r="W85" s="332">
        <f t="shared" si="21"/>
        <v>471.87100266666664</v>
      </c>
      <c r="X85" s="332">
        <f t="shared" si="21"/>
        <v>472.47773764166686</v>
      </c>
      <c r="Y85" s="332">
        <f t="shared" si="21"/>
        <v>461.31629365802087</v>
      </c>
      <c r="Z85" s="332">
        <f t="shared" si="21"/>
        <v>441.70520399435327</v>
      </c>
      <c r="AA85" s="332">
        <f t="shared" si="21"/>
        <v>446.41869053333329</v>
      </c>
      <c r="AB85" s="332">
        <f t="shared" si="21"/>
        <v>451.42557348733351</v>
      </c>
      <c r="AC85" s="333">
        <f t="shared" si="21"/>
        <v>434.85302592434175</v>
      </c>
      <c r="AD85" s="315"/>
      <c r="AE85" s="315"/>
    </row>
    <row r="86" spans="2:31" ht="19.2" customHeight="1" x14ac:dyDescent="0.3">
      <c r="B86" s="401" t="s">
        <v>426</v>
      </c>
      <c r="C86" s="314"/>
      <c r="D86" s="414"/>
      <c r="E86" s="314"/>
      <c r="F86" s="314"/>
      <c r="G86" s="314"/>
      <c r="H86" s="315"/>
      <c r="I86" s="315"/>
      <c r="J86" s="315"/>
      <c r="K86" s="315"/>
      <c r="L86" s="315"/>
      <c r="M86" s="315"/>
      <c r="N86" s="315"/>
      <c r="O86" s="315"/>
      <c r="P86" s="315"/>
      <c r="Q86" s="315"/>
      <c r="R86" s="315"/>
      <c r="S86" s="413"/>
      <c r="T86" s="316"/>
      <c r="U86" s="316"/>
      <c r="V86" s="316"/>
      <c r="W86" s="316"/>
      <c r="X86" s="316"/>
      <c r="Y86" s="316"/>
      <c r="Z86" s="316"/>
      <c r="AA86" s="316"/>
      <c r="AB86" s="316"/>
      <c r="AC86" s="365"/>
      <c r="AD86" s="315"/>
      <c r="AE86" s="315"/>
    </row>
    <row r="87" spans="2:31" x14ac:dyDescent="0.3">
      <c r="B87" s="397" t="s">
        <v>152</v>
      </c>
      <c r="C87" s="51"/>
      <c r="D87" s="339"/>
      <c r="E87" s="51"/>
      <c r="F87" s="51"/>
      <c r="G87" s="51"/>
      <c r="H87" s="317"/>
      <c r="I87" s="317"/>
      <c r="J87" s="317">
        <f t="shared" ref="J87:AC87" si="22">J14</f>
        <v>64.400000000000006</v>
      </c>
      <c r="K87" s="317">
        <f t="shared" si="22"/>
        <v>23.4</v>
      </c>
      <c r="L87" s="317">
        <f t="shared" si="22"/>
        <v>13.8</v>
      </c>
      <c r="M87" s="317">
        <f t="shared" si="22"/>
        <v>12</v>
      </c>
      <c r="N87" s="317">
        <f t="shared" si="22"/>
        <v>7.5</v>
      </c>
      <c r="O87" s="317">
        <f t="shared" si="22"/>
        <v>10.5</v>
      </c>
      <c r="P87" s="317">
        <f t="shared" si="22"/>
        <v>18</v>
      </c>
      <c r="Q87" s="317">
        <f t="shared" si="22"/>
        <v>15</v>
      </c>
      <c r="R87" s="317">
        <f t="shared" si="22"/>
        <v>11.2</v>
      </c>
      <c r="S87" s="361">
        <f t="shared" si="22"/>
        <v>7.5</v>
      </c>
      <c r="T87" s="318">
        <f t="shared" si="22"/>
        <v>0</v>
      </c>
      <c r="U87" s="318">
        <f t="shared" si="22"/>
        <v>0</v>
      </c>
      <c r="V87" s="318">
        <f t="shared" si="22"/>
        <v>0</v>
      </c>
      <c r="W87" s="318">
        <f t="shared" si="22"/>
        <v>0</v>
      </c>
      <c r="X87" s="318">
        <f t="shared" si="22"/>
        <v>0</v>
      </c>
      <c r="Y87" s="318">
        <f t="shared" si="22"/>
        <v>0</v>
      </c>
      <c r="Z87" s="318">
        <f t="shared" si="22"/>
        <v>0</v>
      </c>
      <c r="AA87" s="318">
        <f t="shared" si="22"/>
        <v>0</v>
      </c>
      <c r="AB87" s="318">
        <f t="shared" si="22"/>
        <v>0</v>
      </c>
      <c r="AC87" s="368">
        <f t="shared" si="22"/>
        <v>0</v>
      </c>
      <c r="AD87" s="317"/>
      <c r="AE87" s="317"/>
    </row>
    <row r="88" spans="2:31" x14ac:dyDescent="0.3">
      <c r="B88" s="397" t="s">
        <v>391</v>
      </c>
      <c r="C88" s="51"/>
      <c r="D88" s="339"/>
      <c r="E88" s="51"/>
      <c r="F88" s="51"/>
      <c r="G88" s="51"/>
      <c r="H88" s="317"/>
      <c r="I88" s="317"/>
      <c r="J88" s="317"/>
      <c r="K88" s="317"/>
      <c r="L88" s="317"/>
      <c r="M88" s="317">
        <f>M40</f>
        <v>9.6666666666666661</v>
      </c>
      <c r="N88" s="317">
        <f t="shared" ref="N88:AC88" si="23">N40</f>
        <v>9.6666666666666661</v>
      </c>
      <c r="O88" s="317">
        <f t="shared" si="23"/>
        <v>9.6666666666666661</v>
      </c>
      <c r="P88" s="317">
        <f t="shared" si="23"/>
        <v>9.6666666666666661</v>
      </c>
      <c r="Q88" s="317">
        <f>Q40</f>
        <v>9.6666666666666661</v>
      </c>
      <c r="R88" s="317">
        <f>R40</f>
        <v>9.6666666666666661</v>
      </c>
      <c r="S88" s="361">
        <f>S40</f>
        <v>9.6666666666666661</v>
      </c>
      <c r="T88" s="318">
        <f t="shared" si="23"/>
        <v>9.6666666666666661</v>
      </c>
      <c r="U88" s="318">
        <f t="shared" si="23"/>
        <v>9.6666666666666661</v>
      </c>
      <c r="V88" s="318">
        <f t="shared" si="23"/>
        <v>9.6666666666666661</v>
      </c>
      <c r="W88" s="318">
        <f t="shared" si="23"/>
        <v>9.6666666666666661</v>
      </c>
      <c r="X88" s="318">
        <f t="shared" si="23"/>
        <v>9.6666666666666661</v>
      </c>
      <c r="Y88" s="318">
        <f t="shared" si="23"/>
        <v>0</v>
      </c>
      <c r="Z88" s="318">
        <f t="shared" si="23"/>
        <v>0</v>
      </c>
      <c r="AA88" s="318">
        <f t="shared" si="23"/>
        <v>0</v>
      </c>
      <c r="AB88" s="318">
        <f t="shared" si="23"/>
        <v>0</v>
      </c>
      <c r="AC88" s="368">
        <f t="shared" si="23"/>
        <v>0</v>
      </c>
      <c r="AD88" s="317"/>
      <c r="AE88" s="317"/>
    </row>
    <row r="89" spans="2:31" x14ac:dyDescent="0.3">
      <c r="B89" s="397" t="s">
        <v>427</v>
      </c>
      <c r="C89" s="51"/>
      <c r="D89" s="339"/>
      <c r="E89" s="51"/>
      <c r="F89" s="51"/>
      <c r="G89" s="51"/>
      <c r="H89" s="317"/>
      <c r="I89" s="317"/>
      <c r="J89" s="317"/>
      <c r="K89" s="317"/>
      <c r="L89" s="317"/>
      <c r="M89" s="317">
        <f t="shared" ref="M89:AC89" si="24">M16</f>
        <v>12</v>
      </c>
      <c r="N89" s="317">
        <f t="shared" si="24"/>
        <v>12</v>
      </c>
      <c r="O89" s="317">
        <f t="shared" si="24"/>
        <v>12</v>
      </c>
      <c r="P89" s="317">
        <f t="shared" si="24"/>
        <v>12</v>
      </c>
      <c r="Q89" s="317">
        <f t="shared" si="24"/>
        <v>12</v>
      </c>
      <c r="R89" s="317">
        <f t="shared" si="24"/>
        <v>12</v>
      </c>
      <c r="S89" s="361">
        <f t="shared" si="24"/>
        <v>12</v>
      </c>
      <c r="T89" s="318">
        <f t="shared" si="24"/>
        <v>12</v>
      </c>
      <c r="U89" s="318">
        <f t="shared" si="24"/>
        <v>12</v>
      </c>
      <c r="V89" s="318">
        <f t="shared" si="24"/>
        <v>12</v>
      </c>
      <c r="W89" s="318">
        <f t="shared" si="24"/>
        <v>12</v>
      </c>
      <c r="X89" s="318">
        <f t="shared" si="24"/>
        <v>12</v>
      </c>
      <c r="Y89" s="318">
        <f t="shared" si="24"/>
        <v>0</v>
      </c>
      <c r="Z89" s="318">
        <f t="shared" si="24"/>
        <v>0</v>
      </c>
      <c r="AA89" s="318">
        <f t="shared" si="24"/>
        <v>0</v>
      </c>
      <c r="AB89" s="318">
        <f t="shared" si="24"/>
        <v>0</v>
      </c>
      <c r="AC89" s="368">
        <f t="shared" si="24"/>
        <v>0</v>
      </c>
      <c r="AD89" s="317"/>
      <c r="AE89" s="317"/>
    </row>
    <row r="90" spans="2:31" x14ac:dyDescent="0.3">
      <c r="B90" s="397" t="s">
        <v>428</v>
      </c>
      <c r="C90" s="51"/>
      <c r="D90" s="339"/>
      <c r="E90" s="51"/>
      <c r="F90" s="51"/>
      <c r="G90" s="51"/>
      <c r="H90" s="54">
        <f t="shared" ref="H90:AC90" si="25">H20</f>
        <v>205.80500000000001</v>
      </c>
      <c r="I90" s="54">
        <f t="shared" si="25"/>
        <v>210.29200000000003</v>
      </c>
      <c r="J90" s="54">
        <f t="shared" si="25"/>
        <v>197.48400000000004</v>
      </c>
      <c r="K90" s="54">
        <f t="shared" si="25"/>
        <v>213.12000000000006</v>
      </c>
      <c r="L90" s="54">
        <f t="shared" si="25"/>
        <v>215.54199999999997</v>
      </c>
      <c r="M90" s="54">
        <f t="shared" si="25"/>
        <v>213.11233333333337</v>
      </c>
      <c r="N90" s="54">
        <f t="shared" si="25"/>
        <v>224.76033333333339</v>
      </c>
      <c r="O90" s="54">
        <f t="shared" si="25"/>
        <v>222.12433333333337</v>
      </c>
      <c r="P90" s="54">
        <f t="shared" si="25"/>
        <v>250.09733333333338</v>
      </c>
      <c r="Q90" s="54">
        <f t="shared" si="25"/>
        <v>253.39533333333327</v>
      </c>
      <c r="R90" s="54">
        <f t="shared" si="25"/>
        <v>266.9323333333333</v>
      </c>
      <c r="S90" s="415">
        <f t="shared" si="25"/>
        <v>265.62533333333334</v>
      </c>
      <c r="T90" s="319">
        <f t="shared" si="25"/>
        <v>268.24264773237206</v>
      </c>
      <c r="U90" s="319">
        <f t="shared" si="25"/>
        <v>270.88575159425096</v>
      </c>
      <c r="V90" s="319">
        <f t="shared" si="25"/>
        <v>273.55489903303209</v>
      </c>
      <c r="W90" s="319">
        <f t="shared" si="25"/>
        <v>276.25034666666664</v>
      </c>
      <c r="X90" s="319">
        <f t="shared" si="25"/>
        <v>278.97235364166687</v>
      </c>
      <c r="Y90" s="319">
        <f t="shared" si="25"/>
        <v>281.7211816580209</v>
      </c>
      <c r="Z90" s="319">
        <f t="shared" si="25"/>
        <v>284.49709499435329</v>
      </c>
      <c r="AA90" s="319">
        <f t="shared" si="25"/>
        <v>287.30036053333328</v>
      </c>
      <c r="AB90" s="319">
        <f t="shared" si="25"/>
        <v>290.13124778733351</v>
      </c>
      <c r="AC90" s="366">
        <f t="shared" si="25"/>
        <v>292.99002892434174</v>
      </c>
      <c r="AD90" s="54"/>
      <c r="AE90" s="54"/>
    </row>
    <row r="91" spans="2:31" x14ac:dyDescent="0.3">
      <c r="B91" s="380" t="s">
        <v>1282</v>
      </c>
      <c r="C91" s="51"/>
      <c r="D91" s="339"/>
      <c r="E91" s="51"/>
      <c r="F91" s="51"/>
      <c r="G91" s="51"/>
      <c r="H91" s="54"/>
      <c r="I91" s="54"/>
      <c r="J91" s="54"/>
      <c r="K91" s="54"/>
      <c r="L91" s="54"/>
      <c r="M91" s="54"/>
      <c r="N91" s="54"/>
      <c r="O91" s="54"/>
      <c r="P91" s="54"/>
      <c r="Q91" s="54"/>
      <c r="R91" s="54"/>
      <c r="S91" s="418">
        <f>'IRA and CHIPS'!E184</f>
        <v>0</v>
      </c>
      <c r="T91" s="320">
        <f>'IRA and CHIPS'!F184</f>
        <v>6.8000000000000005E-2</v>
      </c>
      <c r="U91" s="320">
        <f>'IRA and CHIPS'!G184</f>
        <v>6.8000000000000005E-2</v>
      </c>
      <c r="V91" s="320">
        <f>'IRA and CHIPS'!H184</f>
        <v>6.8000000000000005E-2</v>
      </c>
      <c r="W91" s="320">
        <f>'IRA and CHIPS'!I184</f>
        <v>6.8000000000000005E-2</v>
      </c>
      <c r="X91" s="320">
        <f>'IRA and CHIPS'!J184</f>
        <v>1.363</v>
      </c>
      <c r="Y91" s="320">
        <f>'IRA and CHIPS'!K184</f>
        <v>1.363</v>
      </c>
      <c r="Z91" s="320">
        <f>'IRA and CHIPS'!L184</f>
        <v>1.363</v>
      </c>
      <c r="AA91" s="320">
        <f>'IRA and CHIPS'!M184</f>
        <v>1.363</v>
      </c>
      <c r="AB91" s="320">
        <f>'IRA and CHIPS'!N184</f>
        <v>2.4329999999999998</v>
      </c>
      <c r="AC91" s="320">
        <f>'IRA and CHIPS'!O184</f>
        <v>2.4329999999999998</v>
      </c>
      <c r="AD91" s="54"/>
      <c r="AE91" s="54"/>
    </row>
    <row r="92" spans="2:31" ht="14.7" customHeight="1" x14ac:dyDescent="0.3">
      <c r="B92" s="367" t="s">
        <v>429</v>
      </c>
      <c r="C92" s="51"/>
      <c r="D92" s="339"/>
      <c r="E92" s="51"/>
      <c r="F92" s="51"/>
      <c r="G92" s="51"/>
      <c r="H92" s="317"/>
      <c r="I92" s="317"/>
      <c r="J92" s="317"/>
      <c r="K92" s="317"/>
      <c r="L92" s="317"/>
      <c r="M92" s="317"/>
      <c r="N92" s="317"/>
      <c r="O92" s="317"/>
      <c r="P92" s="317"/>
      <c r="Q92" s="317"/>
      <c r="R92" s="317"/>
      <c r="S92" s="361"/>
      <c r="T92" s="318"/>
      <c r="U92" s="318"/>
      <c r="V92" s="318"/>
      <c r="W92" s="318"/>
      <c r="X92" s="318"/>
      <c r="Y92" s="318"/>
      <c r="Z92" s="318"/>
      <c r="AA92" s="318"/>
      <c r="AB92" s="318"/>
      <c r="AC92" s="368"/>
      <c r="AD92" s="317"/>
      <c r="AE92" s="317"/>
    </row>
    <row r="93" spans="2:31" ht="14.7" customHeight="1" x14ac:dyDescent="0.3">
      <c r="B93" s="397" t="s">
        <v>150</v>
      </c>
      <c r="C93" s="51"/>
      <c r="D93" s="339"/>
      <c r="E93" s="51"/>
      <c r="F93" s="51"/>
      <c r="G93" s="51"/>
      <c r="H93" s="317"/>
      <c r="I93" s="317"/>
      <c r="J93" s="317">
        <f t="shared" ref="J93:S93" si="26">J13</f>
        <v>28.4</v>
      </c>
      <c r="K93" s="317">
        <f t="shared" si="26"/>
        <v>15.8</v>
      </c>
      <c r="L93" s="317">
        <f t="shared" si="26"/>
        <v>15.2</v>
      </c>
      <c r="M93" s="317">
        <f t="shared" si="26"/>
        <v>28.9</v>
      </c>
      <c r="N93" s="317">
        <f t="shared" si="26"/>
        <v>67.599999999999994</v>
      </c>
      <c r="O93" s="317">
        <f t="shared" si="26"/>
        <v>80.7</v>
      </c>
      <c r="P93" s="317">
        <f t="shared" si="26"/>
        <v>87.2</v>
      </c>
      <c r="Q93" s="317">
        <f t="shared" si="26"/>
        <v>72.400000000000006</v>
      </c>
      <c r="R93" s="317">
        <f t="shared" si="26"/>
        <v>85.9</v>
      </c>
      <c r="S93" s="301">
        <f t="shared" si="26"/>
        <v>68.3</v>
      </c>
      <c r="T93" s="318">
        <f>T37+T41+'ARP Quarterly'!J28</f>
        <v>62.851310333333302</v>
      </c>
      <c r="U93" s="318">
        <f>U37+U41+'ARP Quarterly'!K28</f>
        <v>55.516469333333305</v>
      </c>
      <c r="V93" s="318">
        <f>V37+V41+'ARP Quarterly'!L28</f>
        <v>58.594257333333303</v>
      </c>
      <c r="W93" s="318">
        <f>W37+W41+'ARP Quarterly'!M28</f>
        <v>61.672045333333294</v>
      </c>
      <c r="X93" s="318">
        <f>X37+X41+'ARP Quarterly'!N28</f>
        <v>63.261773333333295</v>
      </c>
      <c r="Y93" s="318">
        <f>Y37+Y41+'ARP Quarterly'!O28</f>
        <v>61.518167999999996</v>
      </c>
      <c r="Z93" s="318">
        <f>Z37+Z41+'ARP Quarterly'!P28</f>
        <v>44.428388999999996</v>
      </c>
      <c r="AA93" s="318">
        <f>AA37+AA41+'ARP Quarterly'!Q28</f>
        <v>46.338610000000003</v>
      </c>
      <c r="AB93" s="318">
        <f>AB37+AB41+'ARP Quarterly'!R28</f>
        <v>47.279744500000007</v>
      </c>
      <c r="AC93" s="368">
        <f>AC37+AC41+'ARP Quarterly'!S28</f>
        <v>46.283419000000009</v>
      </c>
      <c r="AD93" s="317"/>
      <c r="AE93" s="317"/>
    </row>
    <row r="94" spans="2:31" x14ac:dyDescent="0.3">
      <c r="B94" s="397" t="s">
        <v>149</v>
      </c>
      <c r="C94" s="54"/>
      <c r="D94" s="416"/>
      <c r="E94" s="54"/>
      <c r="F94" s="54"/>
      <c r="G94" s="54"/>
      <c r="H94" s="317"/>
      <c r="I94" s="317"/>
      <c r="J94" s="317">
        <v>35</v>
      </c>
      <c r="K94" s="317">
        <v>45</v>
      </c>
      <c r="L94" s="317">
        <v>45</v>
      </c>
      <c r="M94" s="317">
        <v>40</v>
      </c>
      <c r="N94" s="317">
        <v>40</v>
      </c>
      <c r="O94" s="317">
        <v>40</v>
      </c>
      <c r="P94" s="317">
        <v>40</v>
      </c>
      <c r="Q94" s="317">
        <v>50</v>
      </c>
      <c r="R94" s="317">
        <v>50</v>
      </c>
      <c r="S94" s="361">
        <v>50</v>
      </c>
      <c r="T94" s="318">
        <v>50</v>
      </c>
      <c r="U94" s="318">
        <v>40</v>
      </c>
      <c r="V94" s="318">
        <v>30</v>
      </c>
      <c r="W94" s="318">
        <v>20</v>
      </c>
      <c r="X94" s="318">
        <v>15</v>
      </c>
      <c r="Y94" s="318">
        <v>10</v>
      </c>
      <c r="Z94" s="318"/>
      <c r="AA94" s="318"/>
      <c r="AB94" s="318"/>
      <c r="AC94" s="368"/>
      <c r="AD94" s="203">
        <f>SUM(O94:AC94)</f>
        <v>395</v>
      </c>
    </row>
    <row r="95" spans="2:31" ht="28.5" customHeight="1" x14ac:dyDescent="0.3">
      <c r="B95" s="323" t="s">
        <v>430</v>
      </c>
      <c r="C95" s="343"/>
      <c r="D95" s="341"/>
      <c r="E95" s="343"/>
      <c r="F95" s="343"/>
      <c r="G95" s="343"/>
      <c r="H95" s="360"/>
      <c r="I95" s="360"/>
      <c r="J95" s="360"/>
      <c r="K95" s="360"/>
      <c r="L95" s="360"/>
      <c r="M95" s="360"/>
      <c r="N95" s="360">
        <f>'ARP Quarterly'!D47</f>
        <v>0</v>
      </c>
      <c r="O95" s="360">
        <f>'ARP Quarterly'!E47</f>
        <v>0</v>
      </c>
      <c r="P95" s="360">
        <f>'ARP Quarterly'!F47</f>
        <v>34.620851999999999</v>
      </c>
      <c r="Q95" s="360">
        <f>'ARP Quarterly'!G47</f>
        <v>50.996274799999995</v>
      </c>
      <c r="R95" s="360">
        <f>'ARP Quarterly'!H47</f>
        <v>69.350031999999999</v>
      </c>
      <c r="S95" s="377">
        <f>'ARP Quarterly'!I47</f>
        <v>79.295867999999999</v>
      </c>
      <c r="T95" s="382">
        <f>'ARP Quarterly'!J47</f>
        <v>80.538927999999999</v>
      </c>
      <c r="U95" s="382">
        <f>'ARP Quarterly'!K47</f>
        <v>80.122543199999996</v>
      </c>
      <c r="V95" s="382">
        <f>'ARP Quarterly'!L47</f>
        <v>88.916719999999998</v>
      </c>
      <c r="W95" s="382">
        <f>'ARP Quarterly'!M47</f>
        <v>92.213943999999998</v>
      </c>
      <c r="X95" s="382">
        <f>'ARP Quarterly'!N47</f>
        <v>92.213943999999998</v>
      </c>
      <c r="Y95" s="382">
        <f>'ARP Quarterly'!O47</f>
        <v>94.213943999999998</v>
      </c>
      <c r="Z95" s="382">
        <f>'ARP Quarterly'!P47</f>
        <v>98.916719999999998</v>
      </c>
      <c r="AA95" s="382">
        <f>'ARP Quarterly'!Q47</f>
        <v>98.916719999999998</v>
      </c>
      <c r="AB95" s="382">
        <f>'ARP Quarterly'!R47</f>
        <v>99.081581199999988</v>
      </c>
      <c r="AC95" s="383">
        <f>'ARP Quarterly'!S47</f>
        <v>93.146578000000005</v>
      </c>
      <c r="AD95" s="362"/>
    </row>
    <row r="96" spans="2:31" ht="55.2" customHeight="1" x14ac:dyDescent="0.3">
      <c r="B96" s="334" t="s">
        <v>900</v>
      </c>
      <c r="C96" s="335"/>
      <c r="D96" s="265"/>
      <c r="E96" s="265"/>
      <c r="F96" s="265"/>
      <c r="G96" s="265"/>
      <c r="H96" s="265"/>
      <c r="I96" s="265"/>
      <c r="J96" s="265"/>
      <c r="K96" s="265"/>
      <c r="L96" s="265"/>
      <c r="M96" s="265"/>
      <c r="N96" s="265"/>
      <c r="O96" s="265"/>
      <c r="P96" s="265">
        <v>-50</v>
      </c>
      <c r="Q96" s="265">
        <v>-25</v>
      </c>
      <c r="R96" s="265"/>
      <c r="S96" s="265"/>
      <c r="T96" s="335"/>
      <c r="U96" s="335"/>
      <c r="V96" s="335"/>
      <c r="W96" s="335"/>
      <c r="X96" s="335"/>
      <c r="Y96" s="335">
        <v>12.5</v>
      </c>
      <c r="Z96" s="335">
        <v>12.5</v>
      </c>
      <c r="AA96" s="335">
        <v>12.5</v>
      </c>
      <c r="AB96" s="335">
        <v>12.5</v>
      </c>
      <c r="AC96" s="336"/>
    </row>
    <row r="97" spans="2:31" ht="12.75" customHeight="1" x14ac:dyDescent="0.3"/>
    <row r="98" spans="2:31" ht="12.75" customHeight="1" x14ac:dyDescent="0.3"/>
    <row r="99" spans="2:31" ht="12.75" customHeight="1" x14ac:dyDescent="0.3"/>
    <row r="100" spans="2:31" ht="12.75" customHeight="1" x14ac:dyDescent="0.3"/>
    <row r="101" spans="2:31" ht="12.75" customHeight="1" x14ac:dyDescent="0.3"/>
    <row r="102" spans="2:31" ht="12.75" customHeight="1" x14ac:dyDescent="0.3"/>
    <row r="103" spans="2:31" ht="12.75" customHeight="1" x14ac:dyDescent="0.3"/>
    <row r="104" spans="2:31" ht="12.75" customHeight="1" x14ac:dyDescent="0.3"/>
    <row r="105" spans="2:31" ht="12.75" customHeight="1" x14ac:dyDescent="0.3"/>
    <row r="106" spans="2:31" ht="12.75" customHeight="1" x14ac:dyDescent="0.3"/>
    <row r="107" spans="2:31" ht="12.75" customHeight="1" x14ac:dyDescent="0.3"/>
    <row r="108" spans="2:31" ht="12.75" customHeight="1" x14ac:dyDescent="0.3"/>
    <row r="110" spans="2:31" x14ac:dyDescent="0.3">
      <c r="B110" s="1094" t="s">
        <v>134</v>
      </c>
      <c r="C110" s="1094"/>
      <c r="D110" s="1094"/>
      <c r="E110" s="1094"/>
      <c r="F110" s="1094"/>
      <c r="G110" s="1094"/>
      <c r="H110" s="1094"/>
      <c r="I110" s="1094"/>
      <c r="J110" s="1094"/>
      <c r="K110" s="1094"/>
      <c r="L110" s="1094"/>
      <c r="M110" s="1094"/>
      <c r="N110" s="1094"/>
      <c r="O110" s="1094"/>
      <c r="P110" s="1094"/>
      <c r="Q110" s="1094"/>
      <c r="R110" s="1094"/>
      <c r="S110" s="1094"/>
      <c r="T110" s="1094"/>
      <c r="U110" s="1094"/>
      <c r="V110" s="1094"/>
      <c r="W110" s="1094"/>
      <c r="X110" s="1094"/>
      <c r="Y110" s="1094"/>
      <c r="Z110" s="141"/>
      <c r="AA110" s="141"/>
      <c r="AB110" s="141"/>
      <c r="AC110" s="141"/>
      <c r="AD110" s="137"/>
      <c r="AE110" s="137"/>
    </row>
    <row r="111" spans="2:31" ht="19.2" customHeight="1" x14ac:dyDescent="0.3">
      <c r="B111" s="1122" t="s">
        <v>431</v>
      </c>
      <c r="C111" s="1122"/>
      <c r="D111" s="1122"/>
      <c r="E111" s="1122"/>
      <c r="F111" s="1122"/>
      <c r="G111" s="1122"/>
      <c r="H111" s="1122"/>
      <c r="I111" s="1122"/>
      <c r="J111" s="1122"/>
      <c r="K111" s="1122"/>
      <c r="L111" s="1122"/>
      <c r="M111" s="1122"/>
      <c r="N111" s="1122"/>
      <c r="O111" s="1122"/>
      <c r="P111" s="1122"/>
      <c r="Q111" s="1122"/>
      <c r="R111" s="1122"/>
      <c r="S111" s="1122"/>
      <c r="T111" s="1122"/>
      <c r="U111" s="1122"/>
      <c r="V111" s="1122"/>
      <c r="W111" s="1122"/>
      <c r="X111" s="1122"/>
      <c r="Y111" s="1122"/>
      <c r="Z111" s="1122"/>
      <c r="AA111" s="1122"/>
      <c r="AB111" s="1122"/>
      <c r="AC111" s="1122"/>
      <c r="AD111" s="241"/>
      <c r="AE111" s="241"/>
    </row>
    <row r="112" spans="2:31" ht="11.7" customHeight="1" x14ac:dyDescent="0.3">
      <c r="B112" s="140"/>
      <c r="C112" s="140"/>
      <c r="D112" s="140"/>
      <c r="E112" s="140"/>
      <c r="F112" s="140"/>
      <c r="G112" s="140"/>
      <c r="H112" s="140"/>
      <c r="I112" s="140"/>
      <c r="J112" s="140"/>
      <c r="K112" s="140"/>
      <c r="L112" s="140"/>
      <c r="M112" s="140"/>
      <c r="V112" s="139"/>
      <c r="W112" s="139"/>
      <c r="X112" s="139"/>
      <c r="Y112" s="139"/>
      <c r="Z112" s="139"/>
      <c r="AA112" s="139"/>
      <c r="AB112" s="139"/>
      <c r="AC112" s="139"/>
      <c r="AD112" s="139"/>
      <c r="AE112" s="139"/>
    </row>
    <row r="113" spans="2:31" ht="14.7" customHeight="1" x14ac:dyDescent="0.3">
      <c r="B113" s="1123" t="s">
        <v>324</v>
      </c>
      <c r="C113" s="1107"/>
      <c r="D113" s="1105" t="s">
        <v>325</v>
      </c>
      <c r="E113" s="1105"/>
      <c r="F113" s="1105"/>
      <c r="G113" s="1105"/>
      <c r="H113" s="1105"/>
      <c r="I113" s="1105"/>
      <c r="J113" s="1105"/>
      <c r="K113" s="1105"/>
      <c r="L113" s="1105"/>
      <c r="M113" s="1105"/>
      <c r="N113" s="1105"/>
      <c r="O113" s="1105"/>
      <c r="P113" s="1105"/>
      <c r="Q113" s="1106"/>
      <c r="R113" s="1106"/>
      <c r="S113" s="147"/>
      <c r="T113" s="1131" t="s">
        <v>326</v>
      </c>
      <c r="U113" s="1132"/>
      <c r="V113" s="1132"/>
      <c r="W113" s="1132"/>
      <c r="X113" s="1132"/>
      <c r="Y113" s="1132"/>
      <c r="Z113" s="1132"/>
      <c r="AA113" s="1132"/>
      <c r="AB113" s="1132"/>
      <c r="AC113" s="1133"/>
      <c r="AD113" s="137"/>
      <c r="AE113" s="137"/>
    </row>
    <row r="114" spans="2:31" x14ac:dyDescent="0.3">
      <c r="B114" s="1124"/>
      <c r="C114" s="1125"/>
      <c r="D114" s="143">
        <v>2018</v>
      </c>
      <c r="E114" s="1095">
        <v>2019</v>
      </c>
      <c r="F114" s="1096"/>
      <c r="G114" s="1096"/>
      <c r="H114" s="1103"/>
      <c r="I114" s="1095">
        <v>2020</v>
      </c>
      <c r="J114" s="1096"/>
      <c r="K114" s="1096"/>
      <c r="L114" s="1096"/>
      <c r="M114" s="1095">
        <v>2021</v>
      </c>
      <c r="N114" s="1096"/>
      <c r="O114" s="1096"/>
      <c r="P114" s="1096"/>
      <c r="Q114" s="1129">
        <v>2022</v>
      </c>
      <c r="R114" s="1130"/>
      <c r="S114" s="253"/>
      <c r="T114" s="188"/>
      <c r="U114" s="1126">
        <v>2023</v>
      </c>
      <c r="V114" s="1127"/>
      <c r="W114" s="1127"/>
      <c r="X114" s="1127"/>
      <c r="Y114" s="1126">
        <v>2024</v>
      </c>
      <c r="Z114" s="1127"/>
      <c r="AA114" s="1127"/>
      <c r="AB114" s="1128"/>
      <c r="AC114" s="259">
        <v>2025</v>
      </c>
      <c r="AD114" s="139"/>
      <c r="AE114" s="139"/>
    </row>
    <row r="115" spans="2:31" x14ac:dyDescent="0.3">
      <c r="B115" s="1124"/>
      <c r="C115" s="1125"/>
      <c r="D115" s="176" t="s">
        <v>327</v>
      </c>
      <c r="E115" s="174" t="s">
        <v>328</v>
      </c>
      <c r="F115" s="176" t="s">
        <v>329</v>
      </c>
      <c r="G115" s="176" t="s">
        <v>238</v>
      </c>
      <c r="H115" s="156" t="s">
        <v>327</v>
      </c>
      <c r="I115" s="176" t="s">
        <v>328</v>
      </c>
      <c r="J115" s="176" t="s">
        <v>329</v>
      </c>
      <c r="K115" s="176" t="s">
        <v>238</v>
      </c>
      <c r="L115" s="176" t="s">
        <v>327</v>
      </c>
      <c r="M115" s="174" t="s">
        <v>328</v>
      </c>
      <c r="N115" s="176" t="s">
        <v>329</v>
      </c>
      <c r="O115" s="176" t="s">
        <v>238</v>
      </c>
      <c r="P115" s="176" t="s">
        <v>327</v>
      </c>
      <c r="Q115" s="174" t="s">
        <v>328</v>
      </c>
      <c r="R115" s="176" t="s">
        <v>329</v>
      </c>
      <c r="S115" s="156" t="s">
        <v>238</v>
      </c>
      <c r="T115" s="274" t="s">
        <v>327</v>
      </c>
      <c r="U115" s="274" t="s">
        <v>328</v>
      </c>
      <c r="V115" s="275" t="s">
        <v>329</v>
      </c>
      <c r="W115" s="275" t="s">
        <v>238</v>
      </c>
      <c r="X115" s="275" t="s">
        <v>327</v>
      </c>
      <c r="Y115" s="274" t="s">
        <v>328</v>
      </c>
      <c r="Z115" s="270" t="s">
        <v>329</v>
      </c>
      <c r="AA115" s="275" t="s">
        <v>238</v>
      </c>
      <c r="AB115" s="276" t="s">
        <v>327</v>
      </c>
      <c r="AC115" s="278" t="s">
        <v>328</v>
      </c>
      <c r="AD115" s="139"/>
      <c r="AE115" s="139"/>
    </row>
    <row r="116" spans="2:31" ht="14.55" customHeight="1" x14ac:dyDescent="0.3">
      <c r="B116" s="407" t="s">
        <v>432</v>
      </c>
      <c r="C116" s="309" t="s">
        <v>433</v>
      </c>
      <c r="D116" s="408"/>
      <c r="E116" s="408"/>
      <c r="F116" s="408"/>
      <c r="G116" s="408"/>
      <c r="H116" s="249">
        <f>'Haver Pivoted'!GS41</f>
        <v>72.367000000000004</v>
      </c>
      <c r="I116" s="249">
        <f>'Haver Pivoted'!GT41</f>
        <v>75.578999999999994</v>
      </c>
      <c r="J116" s="249">
        <f>'Haver Pivoted'!GU41</f>
        <v>76.015000000000001</v>
      </c>
      <c r="K116" s="249">
        <f>'Haver Pivoted'!GV41</f>
        <v>78.872</v>
      </c>
      <c r="L116" s="249">
        <f>'Haver Pivoted'!GW41</f>
        <v>75.819000000000003</v>
      </c>
      <c r="M116" s="249">
        <f>'Haver Pivoted'!GX41</f>
        <v>73.662000000000006</v>
      </c>
      <c r="N116" s="249">
        <f>'Haver Pivoted'!GY41</f>
        <v>75.066000000000003</v>
      </c>
      <c r="O116" s="249">
        <f>'Haver Pivoted'!GZ41</f>
        <v>69.344999999999999</v>
      </c>
      <c r="P116" s="249">
        <f>'Haver Pivoted'!HA41</f>
        <v>72.477000000000004</v>
      </c>
      <c r="Q116" s="249">
        <f>'Haver Pivoted'!HB41</f>
        <v>72.528999999999996</v>
      </c>
      <c r="R116" s="249">
        <f t="shared" ref="R116:S116" si="27">AVERAGE($H$116:$N$116)</f>
        <v>75.340000000000018</v>
      </c>
      <c r="S116" s="249">
        <f t="shared" si="27"/>
        <v>75.340000000000018</v>
      </c>
      <c r="T116" s="409">
        <f t="shared" ref="T116:AC116" si="28">AVERAGE($H$116:$N$116)+T117</f>
        <v>76.15900000000002</v>
      </c>
      <c r="U116" s="409">
        <f t="shared" si="28"/>
        <v>76.15900000000002</v>
      </c>
      <c r="V116" s="409">
        <f t="shared" si="28"/>
        <v>76.15900000000002</v>
      </c>
      <c r="W116" s="409">
        <f t="shared" si="28"/>
        <v>76.15900000000002</v>
      </c>
      <c r="X116" s="409">
        <f t="shared" si="28"/>
        <v>77.818000000000012</v>
      </c>
      <c r="Y116" s="409">
        <f t="shared" si="28"/>
        <v>77.818000000000012</v>
      </c>
      <c r="Z116" s="409">
        <f t="shared" si="28"/>
        <v>77.818000000000012</v>
      </c>
      <c r="AA116" s="409">
        <f t="shared" si="28"/>
        <v>77.818000000000012</v>
      </c>
      <c r="AB116" s="409">
        <f t="shared" si="28"/>
        <v>79.41200000000002</v>
      </c>
      <c r="AC116" s="409">
        <f t="shared" si="28"/>
        <v>79.41200000000002</v>
      </c>
      <c r="AD116" s="249"/>
      <c r="AE116" s="249"/>
    </row>
    <row r="117" spans="2:31" x14ac:dyDescent="0.3">
      <c r="B117" s="410" t="s">
        <v>1281</v>
      </c>
      <c r="C117" s="295"/>
      <c r="D117" s="37"/>
      <c r="E117" s="37"/>
      <c r="F117" s="37"/>
      <c r="G117" s="37"/>
      <c r="H117" s="37"/>
      <c r="I117" s="37"/>
      <c r="J117" s="37"/>
      <c r="K117" s="37"/>
      <c r="L117" s="37"/>
      <c r="M117" s="37"/>
      <c r="N117" s="37"/>
      <c r="O117" s="37"/>
      <c r="P117" s="37"/>
      <c r="Q117" s="37"/>
      <c r="R117" s="37"/>
      <c r="S117" s="310">
        <f>'IRA and CHIPS'!E185</f>
        <v>0</v>
      </c>
      <c r="T117" s="321">
        <f>'IRA and CHIPS'!F185</f>
        <v>0.81899999999999995</v>
      </c>
      <c r="U117" s="321">
        <f>'IRA and CHIPS'!G185</f>
        <v>0.81899999999999995</v>
      </c>
      <c r="V117" s="321">
        <f>'IRA and CHIPS'!H185</f>
        <v>0.81899999999999995</v>
      </c>
      <c r="W117" s="321">
        <f>'IRA and CHIPS'!I185</f>
        <v>0.81899999999999995</v>
      </c>
      <c r="X117" s="321">
        <f>'IRA and CHIPS'!J185</f>
        <v>2.4780000000000002</v>
      </c>
      <c r="Y117" s="321">
        <f>'IRA and CHIPS'!K185</f>
        <v>2.4780000000000002</v>
      </c>
      <c r="Z117" s="321">
        <f>'IRA and CHIPS'!L185</f>
        <v>2.4780000000000002</v>
      </c>
      <c r="AA117" s="321">
        <f>'IRA and CHIPS'!M185</f>
        <v>2.4780000000000002</v>
      </c>
      <c r="AB117" s="321">
        <f>'IRA and CHIPS'!N185</f>
        <v>4.0720000000000001</v>
      </c>
      <c r="AC117" s="321">
        <f>'IRA and CHIPS'!O185</f>
        <v>4.0720000000000001</v>
      </c>
    </row>
    <row r="118" spans="2:31" ht="18.75" customHeight="1" x14ac:dyDescent="0.3"/>
    <row r="119" spans="2:31" ht="21.75" customHeight="1" x14ac:dyDescent="0.3"/>
  </sheetData>
  <mergeCells count="42">
    <mergeCell ref="B1:Y1"/>
    <mergeCell ref="B6:C8"/>
    <mergeCell ref="I7:L7"/>
    <mergeCell ref="AD6:AD8"/>
    <mergeCell ref="AE6:AE8"/>
    <mergeCell ref="U7:X7"/>
    <mergeCell ref="E7:H7"/>
    <mergeCell ref="Y7:AB7"/>
    <mergeCell ref="Q7:R7"/>
    <mergeCell ref="B2:AC4"/>
    <mergeCell ref="M7:P7"/>
    <mergeCell ref="AE35:AF35"/>
    <mergeCell ref="AE39:AF40"/>
    <mergeCell ref="AE45:AF45"/>
    <mergeCell ref="B34:AC34"/>
    <mergeCell ref="Q83:R83"/>
    <mergeCell ref="Q58:AH58"/>
    <mergeCell ref="Q59:S59"/>
    <mergeCell ref="T59:Y59"/>
    <mergeCell ref="AD59:AG59"/>
    <mergeCell ref="T113:AC113"/>
    <mergeCell ref="E114:H114"/>
    <mergeCell ref="T82:AC82"/>
    <mergeCell ref="Y114:AB114"/>
    <mergeCell ref="M114:P114"/>
    <mergeCell ref="U114:X114"/>
    <mergeCell ref="A76:A77"/>
    <mergeCell ref="D82:S82"/>
    <mergeCell ref="T6:AC6"/>
    <mergeCell ref="D6:S6"/>
    <mergeCell ref="Q114:R114"/>
    <mergeCell ref="D113:R113"/>
    <mergeCell ref="B111:AC111"/>
    <mergeCell ref="Y83:AB83"/>
    <mergeCell ref="B82:C84"/>
    <mergeCell ref="I83:L83"/>
    <mergeCell ref="U83:X83"/>
    <mergeCell ref="B110:Y110"/>
    <mergeCell ref="E83:H83"/>
    <mergeCell ref="M83:P83"/>
    <mergeCell ref="B113:C115"/>
    <mergeCell ref="I114:L114"/>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B1:BF79"/>
  <sheetViews>
    <sheetView topLeftCell="C25" zoomScale="85" zoomScaleNormal="85" workbookViewId="0">
      <selection activeCell="O37" sqref="O37"/>
    </sheetView>
  </sheetViews>
  <sheetFormatPr defaultColWidth="11.554687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094" t="s">
        <v>434</v>
      </c>
      <c r="C1" s="1094"/>
      <c r="D1" s="1094"/>
      <c r="E1" s="1094"/>
      <c r="F1" s="1094"/>
      <c r="G1" s="1094"/>
      <c r="H1" s="1094"/>
      <c r="I1" s="1094"/>
      <c r="J1" s="1094"/>
      <c r="K1" s="1094"/>
      <c r="L1" s="1094"/>
      <c r="M1" s="1094"/>
      <c r="N1" s="1094"/>
      <c r="O1" s="1094"/>
      <c r="P1" s="1094"/>
      <c r="Q1" s="1094"/>
      <c r="R1" s="1094"/>
      <c r="S1" s="1094"/>
      <c r="T1" s="1094"/>
      <c r="U1" s="1094"/>
      <c r="V1" s="1094"/>
      <c r="W1" s="1094"/>
      <c r="X1" s="1094"/>
      <c r="Y1" s="1094"/>
      <c r="Z1" s="1094"/>
      <c r="AA1" s="1094"/>
      <c r="AB1" s="1094"/>
      <c r="AC1" s="1094"/>
    </row>
    <row r="2" spans="2:39" ht="14.25" customHeight="1" x14ac:dyDescent="0.3">
      <c r="B2" s="1093" t="s">
        <v>435</v>
      </c>
      <c r="C2" s="1093"/>
      <c r="D2" s="1093"/>
      <c r="E2" s="1093"/>
      <c r="F2" s="1093"/>
      <c r="G2" s="1093"/>
      <c r="H2" s="1093"/>
      <c r="I2" s="1093"/>
      <c r="J2" s="1093"/>
      <c r="K2" s="1093"/>
      <c r="L2" s="1093"/>
      <c r="M2" s="1093"/>
      <c r="N2" s="1093"/>
      <c r="O2" s="1093"/>
      <c r="P2" s="1093"/>
      <c r="Q2" s="1093"/>
      <c r="R2" s="1093"/>
      <c r="S2" s="1093"/>
      <c r="T2" s="1093"/>
      <c r="U2" s="1093"/>
      <c r="V2" s="1093"/>
      <c r="W2" s="1093"/>
      <c r="X2" s="1093"/>
      <c r="Y2" s="1093"/>
      <c r="Z2" s="1093"/>
      <c r="AA2" s="1093"/>
      <c r="AB2" s="1093"/>
      <c r="AC2" s="1093"/>
    </row>
    <row r="3" spans="2:39" ht="9" customHeight="1" x14ac:dyDescent="0.3">
      <c r="B3" s="1093"/>
      <c r="C3" s="1093"/>
      <c r="D3" s="1093"/>
      <c r="E3" s="1093"/>
      <c r="F3" s="1093"/>
      <c r="G3" s="1093"/>
      <c r="H3" s="1093"/>
      <c r="I3" s="1093"/>
      <c r="J3" s="1093"/>
      <c r="K3" s="1093"/>
      <c r="L3" s="1093"/>
      <c r="M3" s="1093"/>
      <c r="N3" s="1093"/>
      <c r="O3" s="1093"/>
      <c r="P3" s="1093"/>
      <c r="Q3" s="1093"/>
      <c r="R3" s="1093"/>
      <c r="S3" s="1093"/>
      <c r="T3" s="1093"/>
      <c r="U3" s="1093"/>
      <c r="V3" s="1093"/>
      <c r="W3" s="1093"/>
      <c r="X3" s="1093"/>
      <c r="Y3" s="1093"/>
      <c r="Z3" s="1093"/>
      <c r="AA3" s="1093"/>
      <c r="AB3" s="1093"/>
      <c r="AC3" s="1093"/>
    </row>
    <row r="4" spans="2:39" ht="27" customHeight="1" x14ac:dyDescent="0.3">
      <c r="B4" s="1093"/>
      <c r="C4" s="1093"/>
      <c r="D4" s="1093"/>
      <c r="E4" s="1093"/>
      <c r="F4" s="1093"/>
      <c r="G4" s="1093"/>
      <c r="H4" s="1093"/>
      <c r="I4" s="1093"/>
      <c r="J4" s="1093"/>
      <c r="K4" s="1093"/>
      <c r="L4" s="1093"/>
      <c r="M4" s="1093"/>
      <c r="N4" s="1093"/>
      <c r="O4" s="1093"/>
      <c r="P4" s="1093"/>
      <c r="Q4" s="1093"/>
      <c r="R4" s="1093"/>
      <c r="S4" s="1093"/>
      <c r="T4" s="1093"/>
      <c r="U4" s="1093"/>
      <c r="V4" s="1093"/>
      <c r="W4" s="1093"/>
      <c r="X4" s="1093"/>
      <c r="Y4" s="1093"/>
      <c r="Z4" s="1093"/>
      <c r="AA4" s="1093"/>
      <c r="AB4" s="1093"/>
      <c r="AC4" s="1093"/>
      <c r="AE4" s="452"/>
      <c r="AF4" s="452"/>
      <c r="AG4" s="452"/>
      <c r="AH4" s="452"/>
      <c r="AI4" s="452"/>
      <c r="AJ4" s="452"/>
      <c r="AK4" s="452"/>
      <c r="AL4" s="452"/>
      <c r="AM4" s="452"/>
    </row>
    <row r="5" spans="2:39" x14ac:dyDescent="0.3">
      <c r="B5" s="177"/>
      <c r="AC5" s="273"/>
      <c r="AD5" s="273"/>
      <c r="AE5" s="273"/>
      <c r="AF5" s="273"/>
    </row>
    <row r="6" spans="2:39" ht="14.7" customHeight="1" x14ac:dyDescent="0.3">
      <c r="B6" s="1123" t="s">
        <v>324</v>
      </c>
      <c r="C6" s="1107"/>
      <c r="D6" s="1104" t="s">
        <v>325</v>
      </c>
      <c r="E6" s="1105"/>
      <c r="F6" s="1105"/>
      <c r="G6" s="1105"/>
      <c r="H6" s="1105"/>
      <c r="I6" s="1105"/>
      <c r="J6" s="1105"/>
      <c r="K6" s="1105"/>
      <c r="L6" s="1105"/>
      <c r="M6" s="1105"/>
      <c r="N6" s="1105"/>
      <c r="O6" s="1105"/>
      <c r="P6" s="1105"/>
      <c r="Q6" s="1106"/>
      <c r="R6" s="1106"/>
      <c r="S6" s="1106"/>
      <c r="T6" s="1132" t="s">
        <v>326</v>
      </c>
      <c r="U6" s="1132"/>
      <c r="V6" s="1132"/>
      <c r="W6" s="1132"/>
      <c r="X6" s="1132"/>
      <c r="Y6" s="1132"/>
      <c r="Z6" s="1132"/>
      <c r="AA6" s="1132"/>
      <c r="AB6" s="1132"/>
      <c r="AC6" s="1133"/>
    </row>
    <row r="7" spans="2:39" ht="14.7" customHeight="1" x14ac:dyDescent="0.3">
      <c r="B7" s="1124"/>
      <c r="C7" s="1125"/>
      <c r="D7" s="142">
        <v>2018</v>
      </c>
      <c r="E7" s="1095">
        <v>2019</v>
      </c>
      <c r="F7" s="1096"/>
      <c r="G7" s="1096"/>
      <c r="H7" s="1103"/>
      <c r="I7" s="1095">
        <v>2020</v>
      </c>
      <c r="J7" s="1096"/>
      <c r="K7" s="1096"/>
      <c r="L7" s="1096"/>
      <c r="M7" s="1095">
        <v>2021</v>
      </c>
      <c r="N7" s="1096"/>
      <c r="O7" s="1096"/>
      <c r="P7" s="1096"/>
      <c r="Q7" s="1129">
        <v>2022</v>
      </c>
      <c r="R7" s="1130"/>
      <c r="S7" s="253"/>
      <c r="T7" s="188"/>
      <c r="U7" s="1126">
        <v>2023</v>
      </c>
      <c r="V7" s="1127"/>
      <c r="W7" s="1127"/>
      <c r="X7" s="1127"/>
      <c r="Y7" s="1126">
        <v>2024</v>
      </c>
      <c r="Z7" s="1127"/>
      <c r="AA7" s="1127"/>
      <c r="AB7" s="1128"/>
      <c r="AC7" s="259">
        <v>2025</v>
      </c>
    </row>
    <row r="8" spans="2:39" x14ac:dyDescent="0.3">
      <c r="B8" s="1135"/>
      <c r="C8" s="1136"/>
      <c r="D8" s="153" t="s">
        <v>327</v>
      </c>
      <c r="E8" s="153" t="s">
        <v>328</v>
      </c>
      <c r="F8" s="152" t="s">
        <v>329</v>
      </c>
      <c r="G8" s="152" t="s">
        <v>238</v>
      </c>
      <c r="H8" s="204" t="s">
        <v>327</v>
      </c>
      <c r="I8" s="152" t="s">
        <v>328</v>
      </c>
      <c r="J8" s="152" t="s">
        <v>329</v>
      </c>
      <c r="K8" s="152" t="s">
        <v>238</v>
      </c>
      <c r="L8" s="152" t="s">
        <v>327</v>
      </c>
      <c r="M8" s="153" t="s">
        <v>328</v>
      </c>
      <c r="N8" s="152" t="s">
        <v>329</v>
      </c>
      <c r="O8" s="152" t="s">
        <v>238</v>
      </c>
      <c r="P8" s="152" t="s">
        <v>327</v>
      </c>
      <c r="Q8" s="153" t="s">
        <v>328</v>
      </c>
      <c r="R8" s="152" t="s">
        <v>329</v>
      </c>
      <c r="S8" s="204" t="s">
        <v>238</v>
      </c>
      <c r="T8" s="278" t="s">
        <v>327</v>
      </c>
      <c r="U8" s="274" t="s">
        <v>328</v>
      </c>
      <c r="V8" s="275" t="s">
        <v>329</v>
      </c>
      <c r="W8" s="275" t="s">
        <v>238</v>
      </c>
      <c r="X8" s="275" t="s">
        <v>327</v>
      </c>
      <c r="Y8" s="274" t="s">
        <v>328</v>
      </c>
      <c r="Z8" s="270" t="s">
        <v>329</v>
      </c>
      <c r="AA8" s="275" t="s">
        <v>238</v>
      </c>
      <c r="AB8" s="276" t="s">
        <v>327</v>
      </c>
      <c r="AC8" s="278" t="s">
        <v>328</v>
      </c>
    </row>
    <row r="9" spans="2:39" ht="18" customHeight="1" x14ac:dyDescent="0.3">
      <c r="B9" s="477" t="s">
        <v>969</v>
      </c>
      <c r="C9" s="181"/>
      <c r="D9" s="191"/>
      <c r="E9" s="192"/>
      <c r="F9" s="192"/>
      <c r="G9" s="192"/>
      <c r="H9" s="192"/>
      <c r="I9" s="192"/>
      <c r="J9" s="192"/>
      <c r="K9" s="192"/>
      <c r="L9" s="192"/>
      <c r="M9" s="192"/>
      <c r="N9" s="192"/>
      <c r="O9" s="192"/>
      <c r="P9" s="192"/>
      <c r="Q9" s="306">
        <v>1575</v>
      </c>
      <c r="R9" s="306">
        <v>1591.4</v>
      </c>
      <c r="S9" s="425">
        <f>1607.9</f>
        <v>1607.9</v>
      </c>
      <c r="T9" s="454">
        <v>1622.9</v>
      </c>
      <c r="U9" s="454">
        <v>1639</v>
      </c>
      <c r="V9" s="454">
        <v>1653.9</v>
      </c>
      <c r="W9" s="454">
        <v>1667.4</v>
      </c>
      <c r="X9" s="454">
        <v>1679.6</v>
      </c>
      <c r="Y9" s="454">
        <v>1693.3</v>
      </c>
      <c r="Z9" s="454">
        <v>1706.4</v>
      </c>
      <c r="AA9" s="454">
        <v>1719.6</v>
      </c>
      <c r="AB9" s="454">
        <v>1732.8</v>
      </c>
      <c r="AC9" s="454">
        <v>1743.7</v>
      </c>
    </row>
    <row r="10" spans="2:39" ht="18" customHeight="1" x14ac:dyDescent="0.3">
      <c r="B10" s="478" t="s">
        <v>1282</v>
      </c>
      <c r="C10" s="181"/>
      <c r="D10" s="163"/>
      <c r="E10" s="158"/>
      <c r="F10" s="158"/>
      <c r="G10" s="158"/>
      <c r="H10" s="158"/>
      <c r="I10" s="158"/>
      <c r="J10" s="158"/>
      <c r="K10" s="158"/>
      <c r="L10" s="158"/>
      <c r="M10" s="158"/>
      <c r="N10" s="158"/>
      <c r="O10" s="158"/>
      <c r="P10" s="158"/>
      <c r="Q10" s="426"/>
      <c r="R10" s="426"/>
      <c r="S10" s="427">
        <f>'IRA and CHIPS'!E186</f>
        <v>0</v>
      </c>
      <c r="T10" s="433">
        <f>'IRA and CHIPS'!F186</f>
        <v>4.5430000000000001</v>
      </c>
      <c r="U10" s="433">
        <f>'IRA and CHIPS'!G186</f>
        <v>4.5430000000000001</v>
      </c>
      <c r="V10" s="433">
        <f>'IRA and CHIPS'!H186</f>
        <v>4.5430000000000001</v>
      </c>
      <c r="W10" s="433">
        <f>'IRA and CHIPS'!I186</f>
        <v>4.5430000000000001</v>
      </c>
      <c r="X10" s="433">
        <f>'IRA and CHIPS'!J186</f>
        <v>5.6079999999999997</v>
      </c>
      <c r="Y10" s="433">
        <f>'IRA and CHIPS'!K186</f>
        <v>5.6079999999999997</v>
      </c>
      <c r="Z10" s="433">
        <f>'IRA and CHIPS'!L186</f>
        <v>5.6079999999999997</v>
      </c>
      <c r="AA10" s="433">
        <f>'IRA and CHIPS'!M186</f>
        <v>5.6079999999999997</v>
      </c>
      <c r="AB10" s="433">
        <f>'IRA and CHIPS'!N186</f>
        <v>8.16</v>
      </c>
      <c r="AC10" s="433">
        <f>'IRA and CHIPS'!O186</f>
        <v>8.16</v>
      </c>
    </row>
    <row r="11" spans="2:39" ht="17.25" customHeight="1" x14ac:dyDescent="0.3">
      <c r="B11" s="476" t="s">
        <v>970</v>
      </c>
      <c r="C11" s="264"/>
      <c r="D11" s="271"/>
      <c r="E11" s="264"/>
      <c r="F11" s="264"/>
      <c r="G11" s="264"/>
      <c r="H11" s="148"/>
      <c r="I11" s="148"/>
      <c r="J11" s="148"/>
      <c r="K11" s="148"/>
      <c r="L11" s="148"/>
      <c r="M11" s="148"/>
      <c r="N11" s="148"/>
      <c r="O11" s="148"/>
      <c r="P11" s="148"/>
      <c r="Q11" s="479">
        <v>2.298</v>
      </c>
      <c r="R11" s="479">
        <v>4.2320000000000002</v>
      </c>
      <c r="S11" s="427">
        <v>4.1929999999999996</v>
      </c>
      <c r="T11" s="433">
        <v>3.786</v>
      </c>
      <c r="U11" s="433">
        <v>4.0339999999999998</v>
      </c>
      <c r="V11" s="433">
        <v>3.6819999999999999</v>
      </c>
      <c r="W11" s="433">
        <v>3.3159999999999998</v>
      </c>
      <c r="X11" s="433">
        <v>2.9569999999999999</v>
      </c>
      <c r="Y11" s="433">
        <v>3.2949999999999999</v>
      </c>
      <c r="Z11" s="433">
        <v>3.1269999999999998</v>
      </c>
      <c r="AA11" s="433">
        <v>3.125</v>
      </c>
      <c r="AB11" s="433">
        <v>3.113</v>
      </c>
      <c r="AC11" s="433">
        <v>2.5430000000000001</v>
      </c>
    </row>
    <row r="12" spans="2:39" ht="17.25" customHeight="1" x14ac:dyDescent="0.3">
      <c r="B12" s="476"/>
      <c r="C12" s="264" t="s">
        <v>1000</v>
      </c>
      <c r="D12" s="271"/>
      <c r="E12" s="264"/>
      <c r="F12" s="264"/>
      <c r="G12" s="264"/>
      <c r="H12" s="479">
        <f>'Haver Pivoted'!GS23</f>
        <v>1437.7</v>
      </c>
      <c r="I12" s="479">
        <f>'Haver Pivoted'!GT23</f>
        <v>1455.6</v>
      </c>
      <c r="J12" s="479">
        <f>'Haver Pivoted'!GU23</f>
        <v>1560</v>
      </c>
      <c r="K12" s="479">
        <f>'Haver Pivoted'!GV23</f>
        <v>1525.3</v>
      </c>
      <c r="L12" s="479">
        <f>'Haver Pivoted'!GW23</f>
        <v>1541.3</v>
      </c>
      <c r="M12" s="479">
        <f>'Haver Pivoted'!GX23</f>
        <v>1620.3</v>
      </c>
      <c r="N12" s="479">
        <f>'Haver Pivoted'!GY23</f>
        <v>1608</v>
      </c>
      <c r="O12" s="479">
        <f>'Haver Pivoted'!GZ23</f>
        <v>1595.5</v>
      </c>
      <c r="P12" s="479">
        <f>'Haver Pivoted'!HA23</f>
        <v>1612.8</v>
      </c>
      <c r="Q12" s="479">
        <f>'Haver Pivoted'!HB23</f>
        <v>1613.1</v>
      </c>
      <c r="R12" s="479">
        <f>'Haver Pivoted'!HC23</f>
        <v>1622.7</v>
      </c>
      <c r="S12" s="423">
        <f>'Haver Pivoted'!HD23</f>
        <v>1656.9</v>
      </c>
      <c r="T12" s="434">
        <f t="shared" ref="T12:AC12" si="0">(T9/S9)*S12</f>
        <v>1672.357117979974</v>
      </c>
      <c r="U12" s="434">
        <f t="shared" si="0"/>
        <v>1688.9477579451459</v>
      </c>
      <c r="V12" s="434">
        <f t="shared" si="0"/>
        <v>1704.3018284719199</v>
      </c>
      <c r="W12" s="434">
        <f t="shared" si="0"/>
        <v>1718.2132346538963</v>
      </c>
      <c r="X12" s="434">
        <f t="shared" si="0"/>
        <v>1730.7850239442748</v>
      </c>
      <c r="Y12" s="434">
        <f t="shared" si="0"/>
        <v>1744.9025250326511</v>
      </c>
      <c r="Z12" s="434">
        <f t="shared" si="0"/>
        <v>1758.4017414018283</v>
      </c>
      <c r="AA12" s="434">
        <f t="shared" si="0"/>
        <v>1772.004005224205</v>
      </c>
      <c r="AB12" s="434">
        <f t="shared" si="0"/>
        <v>1785.6062690465822</v>
      </c>
      <c r="AC12" s="434">
        <f t="shared" si="0"/>
        <v>1796.8384414453633</v>
      </c>
    </row>
    <row r="13" spans="2:39" ht="28.95" customHeight="1" x14ac:dyDescent="0.3">
      <c r="B13" s="272" t="s">
        <v>436</v>
      </c>
      <c r="C13" s="264" t="s">
        <v>1000</v>
      </c>
      <c r="D13" s="272"/>
      <c r="E13" s="279"/>
      <c r="F13" s="279"/>
      <c r="G13" s="279"/>
      <c r="H13" s="158">
        <f>'Haver Pivoted'!GS23</f>
        <v>1437.7</v>
      </c>
      <c r="I13" s="158">
        <f>'Haver Pivoted'!GT23</f>
        <v>1455.6</v>
      </c>
      <c r="J13" s="158">
        <f>'Haver Pivoted'!GU23</f>
        <v>1560</v>
      </c>
      <c r="K13" s="158">
        <f>'Haver Pivoted'!GV23</f>
        <v>1525.3</v>
      </c>
      <c r="L13" s="158">
        <f>'Haver Pivoted'!GW23</f>
        <v>1541.3</v>
      </c>
      <c r="M13" s="158">
        <f>'Haver Pivoted'!GX23</f>
        <v>1620.3</v>
      </c>
      <c r="N13" s="158">
        <f>'Haver Pivoted'!GY23</f>
        <v>1608</v>
      </c>
      <c r="O13" s="158">
        <f>'Haver Pivoted'!GZ23</f>
        <v>1595.5</v>
      </c>
      <c r="P13" s="158">
        <f>'Haver Pivoted'!HA23</f>
        <v>1612.8</v>
      </c>
      <c r="Q13" s="158">
        <f>'Haver Pivoted'!HB23</f>
        <v>1613.1</v>
      </c>
      <c r="R13" s="158">
        <f>'Haver Pivoted'!HC23</f>
        <v>1622.7</v>
      </c>
      <c r="S13" s="424">
        <f>'Haver Pivoted'!HD23</f>
        <v>1656.9</v>
      </c>
      <c r="T13" s="251">
        <f t="shared" ref="T13:AC13" si="1">T12+T10</f>
        <v>1676.9001179799739</v>
      </c>
      <c r="U13" s="251">
        <f t="shared" si="1"/>
        <v>1693.4907579451458</v>
      </c>
      <c r="V13" s="251">
        <f t="shared" si="1"/>
        <v>1708.8448284719198</v>
      </c>
      <c r="W13" s="251">
        <f t="shared" si="1"/>
        <v>1722.7562346538962</v>
      </c>
      <c r="X13" s="251">
        <f t="shared" si="1"/>
        <v>1736.3930239442748</v>
      </c>
      <c r="Y13" s="251">
        <f t="shared" si="1"/>
        <v>1750.510525032651</v>
      </c>
      <c r="Z13" s="251">
        <f t="shared" si="1"/>
        <v>1764.0097414018283</v>
      </c>
      <c r="AA13" s="251">
        <f t="shared" si="1"/>
        <v>1777.6120052242049</v>
      </c>
      <c r="AB13" s="251">
        <f t="shared" si="1"/>
        <v>1793.7662690465822</v>
      </c>
      <c r="AC13" s="251">
        <f t="shared" si="1"/>
        <v>1804.9984414453634</v>
      </c>
      <c r="AD13" s="258" t="s">
        <v>437</v>
      </c>
    </row>
    <row r="14" spans="2:39" x14ac:dyDescent="0.3">
      <c r="B14" s="442" t="s">
        <v>438</v>
      </c>
      <c r="C14" s="443"/>
      <c r="D14" s="442"/>
      <c r="E14" s="443"/>
      <c r="F14" s="443"/>
      <c r="G14" s="443"/>
      <c r="H14" s="451">
        <f t="shared" ref="H14:AC14" si="2">H13+H65</f>
        <v>1715.8720000000001</v>
      </c>
      <c r="I14" s="451">
        <f t="shared" si="2"/>
        <v>1741.471</v>
      </c>
      <c r="J14" s="451">
        <f t="shared" si="2"/>
        <v>1961.299</v>
      </c>
      <c r="K14" s="451">
        <f t="shared" si="2"/>
        <v>1901.492</v>
      </c>
      <c r="L14" s="451">
        <f t="shared" si="2"/>
        <v>1906.6610000000001</v>
      </c>
      <c r="M14" s="451">
        <f t="shared" si="2"/>
        <v>2009.6410000000001</v>
      </c>
      <c r="N14" s="451">
        <f t="shared" si="2"/>
        <v>2044.5930000000001</v>
      </c>
      <c r="O14" s="451">
        <f t="shared" si="2"/>
        <v>2039.836</v>
      </c>
      <c r="P14" s="451">
        <f t="shared" si="2"/>
        <v>2086.861852</v>
      </c>
      <c r="Q14" s="451">
        <f t="shared" si="2"/>
        <v>2124.0872747999997</v>
      </c>
      <c r="R14" s="451">
        <f t="shared" si="2"/>
        <v>2203.0890319999999</v>
      </c>
      <c r="S14" s="378">
        <f t="shared" si="2"/>
        <v>2224.627868</v>
      </c>
      <c r="T14" s="270">
        <f t="shared" si="2"/>
        <v>2236.4266707123461</v>
      </c>
      <c r="U14" s="270">
        <f t="shared" si="2"/>
        <v>2237.909188739397</v>
      </c>
      <c r="V14" s="270">
        <f t="shared" si="2"/>
        <v>2257.8043715049516</v>
      </c>
      <c r="W14" s="270">
        <f t="shared" si="2"/>
        <v>2270.7862373205626</v>
      </c>
      <c r="X14" s="270">
        <f t="shared" si="2"/>
        <v>2286.6887615859414</v>
      </c>
      <c r="Y14" s="270">
        <f t="shared" si="2"/>
        <v>2289.6448186906719</v>
      </c>
      <c r="Z14" s="270">
        <f t="shared" si="2"/>
        <v>2283.5329453961813</v>
      </c>
      <c r="AA14" s="270">
        <f t="shared" si="2"/>
        <v>2301.8486957575383</v>
      </c>
      <c r="AB14" s="270">
        <f t="shared" si="2"/>
        <v>2324.6038425339157</v>
      </c>
      <c r="AC14" s="406">
        <f t="shared" si="2"/>
        <v>2319.2634673697053</v>
      </c>
      <c r="AD14" s="155" t="s">
        <v>439</v>
      </c>
    </row>
    <row r="15" spans="2:39" ht="15.75" customHeight="1" x14ac:dyDescent="0.3">
      <c r="B15" s="264"/>
      <c r="C15" s="264"/>
      <c r="D15" s="264"/>
      <c r="E15" s="264"/>
      <c r="F15" s="264"/>
      <c r="G15" s="264"/>
      <c r="H15" s="158"/>
      <c r="I15" s="158"/>
      <c r="J15" s="158"/>
      <c r="K15" s="158"/>
      <c r="L15" s="158"/>
      <c r="M15" s="158"/>
      <c r="N15" s="158"/>
      <c r="O15" s="158"/>
      <c r="AD15" s="155"/>
    </row>
    <row r="16" spans="2:39" x14ac:dyDescent="0.3">
      <c r="B16" s="264"/>
      <c r="C16" s="264"/>
      <c r="D16" s="264"/>
      <c r="E16" s="264"/>
      <c r="F16" s="264"/>
      <c r="G16" s="264"/>
      <c r="H16" s="158"/>
      <c r="I16" s="158"/>
      <c r="J16" s="158"/>
      <c r="K16" s="158"/>
      <c r="L16" s="158"/>
      <c r="M16" s="158"/>
      <c r="N16" s="158"/>
      <c r="O16" s="158"/>
    </row>
    <row r="17" spans="2:31" x14ac:dyDescent="0.3">
      <c r="B17" s="264"/>
      <c r="C17" s="264"/>
      <c r="D17" s="264"/>
      <c r="E17" s="264"/>
      <c r="F17" s="264"/>
      <c r="G17" s="264"/>
      <c r="H17" s="158"/>
      <c r="I17" s="158"/>
      <c r="J17" s="158"/>
      <c r="K17" s="158"/>
      <c r="L17" s="158"/>
      <c r="M17" s="158"/>
      <c r="N17" s="158"/>
      <c r="O17" s="158"/>
    </row>
    <row r="18" spans="2:31" x14ac:dyDescent="0.3">
      <c r="B18" s="264"/>
      <c r="C18" s="264"/>
      <c r="D18" s="264"/>
      <c r="E18" s="264"/>
      <c r="F18" s="264"/>
      <c r="G18" s="264"/>
      <c r="H18" s="158"/>
      <c r="I18" s="158"/>
      <c r="J18" s="158"/>
      <c r="K18" s="158"/>
      <c r="L18" s="158"/>
      <c r="M18" s="158"/>
      <c r="N18" s="158"/>
      <c r="O18" s="158"/>
    </row>
    <row r="19" spans="2:31" x14ac:dyDescent="0.3">
      <c r="B19" s="264"/>
      <c r="C19" s="264"/>
      <c r="D19" s="264"/>
      <c r="E19" s="264"/>
      <c r="F19" s="264"/>
      <c r="G19" s="264"/>
      <c r="H19" s="158"/>
      <c r="I19" s="158"/>
      <c r="J19" s="158"/>
      <c r="K19" s="158"/>
      <c r="L19" s="158"/>
      <c r="M19" s="158"/>
      <c r="N19" s="158"/>
      <c r="O19" s="158"/>
    </row>
    <row r="20" spans="2:31" x14ac:dyDescent="0.3">
      <c r="B20" s="264"/>
      <c r="C20" s="264"/>
      <c r="D20" s="264"/>
      <c r="E20" s="264"/>
      <c r="F20" s="264"/>
      <c r="G20" s="264"/>
      <c r="H20" s="158"/>
      <c r="I20" s="158"/>
      <c r="J20" s="158"/>
      <c r="K20" s="158"/>
      <c r="L20" s="158"/>
      <c r="M20" s="158"/>
      <c r="N20" s="158"/>
      <c r="O20" s="158"/>
    </row>
    <row r="21" spans="2:31" x14ac:dyDescent="0.3">
      <c r="B21" s="264"/>
      <c r="C21" s="264"/>
      <c r="D21" s="264"/>
      <c r="E21" s="264"/>
      <c r="F21" s="264"/>
      <c r="G21" s="264"/>
      <c r="H21" s="158"/>
      <c r="I21" s="158"/>
      <c r="J21" s="158"/>
      <c r="K21" s="158"/>
      <c r="L21" s="158"/>
      <c r="M21" s="158"/>
      <c r="N21" s="158"/>
      <c r="O21" s="158"/>
      <c r="AD21" s="155"/>
    </row>
    <row r="22" spans="2:31" x14ac:dyDescent="0.3">
      <c r="B22" s="264"/>
      <c r="C22" s="264"/>
      <c r="D22" s="264"/>
      <c r="E22" s="264"/>
      <c r="F22" s="264"/>
      <c r="G22" s="264"/>
      <c r="H22" s="158"/>
      <c r="I22" s="158"/>
      <c r="J22" s="158"/>
      <c r="K22" s="158"/>
      <c r="L22" s="158"/>
      <c r="M22" s="158"/>
      <c r="N22" s="158"/>
      <c r="O22" s="158"/>
      <c r="AD22" s="155"/>
    </row>
    <row r="23" spans="2:31" x14ac:dyDescent="0.3">
      <c r="B23" s="264"/>
      <c r="C23" s="264"/>
      <c r="D23" s="264"/>
      <c r="E23" s="264"/>
      <c r="F23" s="264"/>
      <c r="G23" s="264"/>
      <c r="H23" s="158"/>
      <c r="I23" s="158"/>
      <c r="J23" s="158"/>
      <c r="K23" s="158"/>
      <c r="L23" s="158"/>
      <c r="M23" s="158"/>
      <c r="N23" s="158"/>
      <c r="O23" s="158"/>
      <c r="P23" s="440"/>
      <c r="Q23" s="440"/>
      <c r="R23" s="440"/>
      <c r="S23" s="440"/>
      <c r="T23" s="440"/>
      <c r="U23" s="440"/>
      <c r="V23" s="440"/>
      <c r="W23" s="440"/>
      <c r="X23" s="440"/>
      <c r="Y23" s="440"/>
      <c r="Z23" s="440"/>
      <c r="AA23" s="440"/>
      <c r="AB23" s="440"/>
      <c r="AC23" s="440"/>
    </row>
    <row r="24" spans="2:31" ht="21.75" customHeight="1" x14ac:dyDescent="0.3">
      <c r="B24" s="1094" t="s">
        <v>165</v>
      </c>
      <c r="C24" s="1094"/>
      <c r="D24" s="1094"/>
      <c r="E24" s="1094"/>
      <c r="F24" s="1094"/>
      <c r="G24" s="1094"/>
      <c r="H24" s="1094"/>
      <c r="I24" s="1094"/>
      <c r="J24" s="1094"/>
      <c r="K24" s="1094"/>
      <c r="L24" s="1094"/>
      <c r="M24" s="1094"/>
      <c r="N24" s="1094"/>
      <c r="O24" s="1094"/>
      <c r="P24" s="1094"/>
      <c r="Q24" s="1094"/>
      <c r="R24" s="1094"/>
      <c r="S24" s="1094"/>
      <c r="T24" s="1094"/>
      <c r="U24" s="1094"/>
      <c r="V24" s="1094"/>
      <c r="W24" s="1094"/>
      <c r="X24" s="1094"/>
      <c r="Y24" s="1094"/>
      <c r="Z24" s="1094"/>
      <c r="AA24" s="1094"/>
      <c r="AB24" s="1094"/>
      <c r="AC24" s="1094"/>
      <c r="AE24" s="436"/>
    </row>
    <row r="25" spans="2:31" ht="14.25" customHeight="1" x14ac:dyDescent="0.3">
      <c r="B25" s="1122" t="s">
        <v>440</v>
      </c>
      <c r="C25" s="1122"/>
      <c r="D25" s="1122"/>
      <c r="E25" s="1122"/>
      <c r="F25" s="1122"/>
      <c r="G25" s="1122"/>
      <c r="H25" s="1122"/>
      <c r="I25" s="1122"/>
      <c r="J25" s="1122"/>
      <c r="K25" s="1122"/>
      <c r="L25" s="1122"/>
      <c r="M25" s="1122"/>
      <c r="N25" s="1122"/>
      <c r="O25" s="1122"/>
      <c r="P25" s="1122"/>
      <c r="Q25" s="1122"/>
      <c r="R25" s="1122"/>
      <c r="S25" s="1122"/>
      <c r="T25" s="1122"/>
      <c r="U25" s="1122"/>
      <c r="V25" s="1122"/>
      <c r="W25" s="1122"/>
      <c r="X25" s="1122"/>
      <c r="Y25" s="1122"/>
      <c r="Z25" s="1122"/>
      <c r="AA25" s="1122"/>
      <c r="AB25" s="1122"/>
      <c r="AC25" s="1122"/>
      <c r="AE25" s="436"/>
    </row>
    <row r="26" spans="2:31" x14ac:dyDescent="0.3">
      <c r="B26" s="1122"/>
      <c r="C26" s="1122"/>
      <c r="D26" s="1122"/>
      <c r="E26" s="1122"/>
      <c r="F26" s="1122"/>
      <c r="G26" s="1122"/>
      <c r="H26" s="1122"/>
      <c r="I26" s="1122"/>
      <c r="J26" s="1122"/>
      <c r="K26" s="1122"/>
      <c r="L26" s="1122"/>
      <c r="M26" s="1122"/>
      <c r="N26" s="1122"/>
      <c r="O26" s="1122"/>
      <c r="P26" s="1122"/>
      <c r="Q26" s="1122"/>
      <c r="R26" s="1122"/>
      <c r="S26" s="1122"/>
      <c r="T26" s="1122"/>
      <c r="U26" s="1122"/>
      <c r="V26" s="1122"/>
      <c r="W26" s="1122"/>
      <c r="X26" s="1122"/>
      <c r="Y26" s="1122"/>
      <c r="Z26" s="1122"/>
      <c r="AA26" s="1122"/>
      <c r="AB26" s="1122"/>
      <c r="AC26" s="1122"/>
    </row>
    <row r="27" spans="2:31" x14ac:dyDescent="0.3">
      <c r="B27" s="1122"/>
      <c r="C27" s="1122"/>
      <c r="D27" s="1122"/>
      <c r="E27" s="1122"/>
      <c r="F27" s="1122"/>
      <c r="G27" s="1122"/>
      <c r="H27" s="1122"/>
      <c r="I27" s="1122"/>
      <c r="J27" s="1122"/>
      <c r="K27" s="1122"/>
      <c r="L27" s="1122"/>
      <c r="M27" s="1122"/>
      <c r="N27" s="1122"/>
      <c r="O27" s="1122"/>
      <c r="P27" s="1122"/>
      <c r="Q27" s="1122"/>
      <c r="R27" s="1122"/>
      <c r="S27" s="1122"/>
      <c r="T27" s="1122"/>
      <c r="U27" s="1122"/>
      <c r="V27" s="1122"/>
      <c r="W27" s="1122"/>
      <c r="X27" s="1122"/>
      <c r="Y27" s="1122"/>
      <c r="Z27" s="1122"/>
      <c r="AA27" s="1122"/>
      <c r="AB27" s="1122"/>
      <c r="AC27" s="1122"/>
    </row>
    <row r="29" spans="2:31" x14ac:dyDescent="0.3">
      <c r="B29" s="1123" t="s">
        <v>324</v>
      </c>
      <c r="C29" s="1107"/>
      <c r="D29" s="1104" t="s">
        <v>325</v>
      </c>
      <c r="E29" s="1105"/>
      <c r="F29" s="1105"/>
      <c r="G29" s="1105"/>
      <c r="H29" s="1105"/>
      <c r="I29" s="1105"/>
      <c r="J29" s="1105"/>
      <c r="K29" s="1105"/>
      <c r="L29" s="1105"/>
      <c r="M29" s="1105"/>
      <c r="N29" s="1105"/>
      <c r="O29" s="1105"/>
      <c r="P29" s="1105"/>
      <c r="Q29" s="1106"/>
      <c r="R29" s="1106"/>
      <c r="S29" s="1106"/>
      <c r="T29" s="1132" t="s">
        <v>326</v>
      </c>
      <c r="U29" s="1132"/>
      <c r="V29" s="1132"/>
      <c r="W29" s="1132"/>
      <c r="X29" s="1132"/>
      <c r="Y29" s="1132"/>
      <c r="Z29" s="1132"/>
      <c r="AA29" s="1132"/>
      <c r="AB29" s="1132"/>
      <c r="AC29" s="1133"/>
    </row>
    <row r="30" spans="2:31" x14ac:dyDescent="0.3">
      <c r="B30" s="1124"/>
      <c r="C30" s="1125"/>
      <c r="D30" s="142">
        <v>2018</v>
      </c>
      <c r="E30" s="1095">
        <v>2019</v>
      </c>
      <c r="F30" s="1096"/>
      <c r="G30" s="1096"/>
      <c r="H30" s="1103"/>
      <c r="I30" s="1095">
        <v>2020</v>
      </c>
      <c r="J30" s="1096"/>
      <c r="K30" s="1096"/>
      <c r="L30" s="1096"/>
      <c r="M30" s="1095">
        <v>2021</v>
      </c>
      <c r="N30" s="1096"/>
      <c r="O30" s="1096"/>
      <c r="P30" s="1096"/>
      <c r="Q30" s="1129">
        <v>2022</v>
      </c>
      <c r="R30" s="1130"/>
      <c r="S30" s="253"/>
      <c r="T30" s="288"/>
      <c r="U30" s="1126">
        <v>2023</v>
      </c>
      <c r="V30" s="1127"/>
      <c r="W30" s="1127"/>
      <c r="X30" s="1127"/>
      <c r="Y30" s="1126">
        <v>2024</v>
      </c>
      <c r="Z30" s="1127"/>
      <c r="AA30" s="1127"/>
      <c r="AB30" s="1128"/>
      <c r="AC30" s="259">
        <v>2025</v>
      </c>
    </row>
    <row r="31" spans="2:31" x14ac:dyDescent="0.3">
      <c r="B31" s="1135"/>
      <c r="C31" s="1136"/>
      <c r="D31" s="153" t="s">
        <v>327</v>
      </c>
      <c r="E31" s="153" t="s">
        <v>328</v>
      </c>
      <c r="F31" s="152" t="s">
        <v>329</v>
      </c>
      <c r="G31" s="152" t="s">
        <v>238</v>
      </c>
      <c r="H31" s="204" t="s">
        <v>327</v>
      </c>
      <c r="I31" s="152" t="s">
        <v>328</v>
      </c>
      <c r="J31" s="152" t="s">
        <v>329</v>
      </c>
      <c r="K31" s="152" t="s">
        <v>238</v>
      </c>
      <c r="L31" s="152" t="s">
        <v>327</v>
      </c>
      <c r="M31" s="153" t="s">
        <v>328</v>
      </c>
      <c r="N31" s="152" t="s">
        <v>329</v>
      </c>
      <c r="O31" s="152" t="s">
        <v>238</v>
      </c>
      <c r="P31" s="152" t="s">
        <v>327</v>
      </c>
      <c r="Q31" s="153" t="s">
        <v>328</v>
      </c>
      <c r="R31" s="152" t="s">
        <v>329</v>
      </c>
      <c r="S31" s="204" t="s">
        <v>238</v>
      </c>
      <c r="T31" s="369" t="s">
        <v>327</v>
      </c>
      <c r="U31" s="356" t="s">
        <v>328</v>
      </c>
      <c r="V31" s="357" t="s">
        <v>329</v>
      </c>
      <c r="W31" s="357" t="s">
        <v>238</v>
      </c>
      <c r="X31" s="357" t="s">
        <v>327</v>
      </c>
      <c r="Y31" s="356" t="s">
        <v>328</v>
      </c>
      <c r="Z31" s="250" t="s">
        <v>329</v>
      </c>
      <c r="AA31" s="357" t="s">
        <v>238</v>
      </c>
      <c r="AB31" s="369" t="s">
        <v>327</v>
      </c>
      <c r="AC31" s="384" t="s">
        <v>328</v>
      </c>
    </row>
    <row r="32" spans="2:31" x14ac:dyDescent="0.3">
      <c r="B32" s="466" t="s">
        <v>111</v>
      </c>
      <c r="C32" s="280" t="s">
        <v>441</v>
      </c>
      <c r="D32" s="263"/>
      <c r="E32" s="280"/>
      <c r="F32" s="280"/>
      <c r="G32" s="280"/>
      <c r="H32" s="192">
        <f>'Haver Pivoted'!GS24</f>
        <v>2384.1999999999998</v>
      </c>
      <c r="I32" s="192">
        <f>'Haver Pivoted'!GT24</f>
        <v>2427.4</v>
      </c>
      <c r="J32" s="192">
        <f>'Haver Pivoted'!GU24</f>
        <v>2391.8000000000002</v>
      </c>
      <c r="K32" s="192">
        <f>'Haver Pivoted'!GV24</f>
        <v>2397.6</v>
      </c>
      <c r="L32" s="192">
        <f>'Haver Pivoted'!GW24</f>
        <v>2416.5</v>
      </c>
      <c r="M32" s="192">
        <f>'Haver Pivoted'!GX24</f>
        <v>2468.4</v>
      </c>
      <c r="N32" s="192">
        <f>'Haver Pivoted'!GY24</f>
        <v>2516.4</v>
      </c>
      <c r="O32" s="192">
        <f>'Haver Pivoted'!GZ24</f>
        <v>2587.6</v>
      </c>
      <c r="P32" s="192">
        <f>'Haver Pivoted'!HA24</f>
        <v>2633.9</v>
      </c>
      <c r="Q32" s="192">
        <f>'Haver Pivoted'!HB24</f>
        <v>2698.2</v>
      </c>
      <c r="R32" s="192">
        <f>'Haver Pivoted'!HC24</f>
        <v>2790</v>
      </c>
      <c r="S32" s="422">
        <f>'Haver Pivoted'!HD24</f>
        <v>2829.6</v>
      </c>
      <c r="T32" s="457"/>
      <c r="U32" s="457"/>
      <c r="V32" s="457"/>
      <c r="W32" s="457"/>
      <c r="X32" s="457"/>
      <c r="Y32" s="457"/>
      <c r="Z32" s="457"/>
      <c r="AA32" s="457"/>
      <c r="AB32" s="457"/>
      <c r="AC32" s="447"/>
    </row>
    <row r="33" spans="2:30" ht="29.25" customHeight="1" x14ac:dyDescent="0.3">
      <c r="B33" s="476" t="s">
        <v>1013</v>
      </c>
      <c r="C33" s="181"/>
      <c r="D33" s="449"/>
      <c r="E33" s="181"/>
      <c r="F33" s="181"/>
      <c r="G33" s="181"/>
      <c r="H33" s="158"/>
      <c r="I33" s="158"/>
      <c r="J33" s="158"/>
      <c r="K33" s="158"/>
      <c r="L33" s="158"/>
      <c r="M33" s="158"/>
      <c r="N33" s="158"/>
      <c r="O33" s="158"/>
      <c r="P33" s="158"/>
      <c r="Q33" s="428">
        <v>2625.2</v>
      </c>
      <c r="R33" s="428">
        <v>2687.5</v>
      </c>
      <c r="S33" s="429">
        <v>2737.7</v>
      </c>
      <c r="T33" s="435">
        <v>2776</v>
      </c>
      <c r="U33" s="435">
        <v>2809.9</v>
      </c>
      <c r="V33" s="435">
        <v>2839.2</v>
      </c>
      <c r="W33" s="435">
        <v>2865.7</v>
      </c>
      <c r="X33" s="435">
        <v>2891.3</v>
      </c>
      <c r="Y33" s="435">
        <v>2916.4</v>
      </c>
      <c r="Z33" s="435">
        <v>2941.4</v>
      </c>
      <c r="AA33" s="435">
        <v>2967.1</v>
      </c>
      <c r="AB33" s="435">
        <v>2993.7</v>
      </c>
      <c r="AC33" s="435">
        <v>3022.3</v>
      </c>
    </row>
    <row r="34" spans="2:30" ht="21" customHeight="1" x14ac:dyDescent="0.3">
      <c r="B34" s="186" t="s">
        <v>442</v>
      </c>
      <c r="C34" s="264"/>
      <c r="D34" s="271"/>
      <c r="E34" s="264"/>
      <c r="F34" s="264"/>
      <c r="G34" s="264"/>
      <c r="H34" s="148"/>
      <c r="I34" s="148"/>
      <c r="J34" s="148"/>
      <c r="K34" s="148"/>
      <c r="L34" s="148"/>
      <c r="M34" s="166">
        <f>((M35/L35)^4-1)*100</f>
        <v>8.8716871433844435</v>
      </c>
      <c r="N34" s="166">
        <f t="shared" ref="N34:Q34" si="3">((N35/M35)^4-1)*100</f>
        <v>8.0081568848658691</v>
      </c>
      <c r="O34" s="166">
        <f t="shared" si="3"/>
        <v>11.807223761379305</v>
      </c>
      <c r="P34" s="166">
        <f t="shared" si="3"/>
        <v>7.3516092986590564</v>
      </c>
      <c r="Q34" s="166">
        <f t="shared" si="3"/>
        <v>10.128423587170188</v>
      </c>
      <c r="R34" s="166">
        <f>((R35/Q35)^4-1)*100</f>
        <v>14.319485516488072</v>
      </c>
      <c r="S34" s="421">
        <f>((S35/R35)^4-1)*100</f>
        <v>5.7994412576389598</v>
      </c>
      <c r="T34" s="252">
        <f>((T33/S33)^4-1)*100-0.3</f>
        <v>5.4144667062669631</v>
      </c>
      <c r="U34" s="252">
        <f t="shared" ref="U34:AB34" si="4">((U33/T33)^4-1)*100</f>
        <v>4.9749339639030277</v>
      </c>
      <c r="V34" s="252">
        <f t="shared" si="4"/>
        <v>4.2366602536129561</v>
      </c>
      <c r="W34" s="252">
        <f t="shared" si="4"/>
        <v>3.7860418668673734</v>
      </c>
      <c r="X34" s="252">
        <f t="shared" si="4"/>
        <v>3.6214654878406138</v>
      </c>
      <c r="Y34" s="252">
        <f t="shared" si="4"/>
        <v>3.5179667989197583</v>
      </c>
      <c r="Z34" s="252">
        <f t="shared" si="4"/>
        <v>3.4732271251420199</v>
      </c>
      <c r="AA34" s="252">
        <f t="shared" si="4"/>
        <v>3.541006398539448</v>
      </c>
      <c r="AB34" s="252">
        <f t="shared" si="4"/>
        <v>3.6345044609545463</v>
      </c>
      <c r="AC34" s="266"/>
      <c r="AD34" s="452" t="s">
        <v>443</v>
      </c>
    </row>
    <row r="35" spans="2:30" ht="17.55" customHeight="1" x14ac:dyDescent="0.3">
      <c r="B35" s="474" t="s">
        <v>444</v>
      </c>
      <c r="C35" s="279"/>
      <c r="D35" s="272"/>
      <c r="E35" s="279"/>
      <c r="F35" s="279"/>
      <c r="G35" s="279"/>
      <c r="H35" s="248">
        <f t="shared" ref="H35:S35" si="5">H32</f>
        <v>2384.1999999999998</v>
      </c>
      <c r="I35" s="248">
        <f t="shared" si="5"/>
        <v>2427.4</v>
      </c>
      <c r="J35" s="248">
        <f t="shared" si="5"/>
        <v>2391.8000000000002</v>
      </c>
      <c r="K35" s="248">
        <f t="shared" si="5"/>
        <v>2397.6</v>
      </c>
      <c r="L35" s="248">
        <f t="shared" si="5"/>
        <v>2416.5</v>
      </c>
      <c r="M35" s="248">
        <f t="shared" si="5"/>
        <v>2468.4</v>
      </c>
      <c r="N35" s="248">
        <f t="shared" si="5"/>
        <v>2516.4</v>
      </c>
      <c r="O35" s="248">
        <f t="shared" si="5"/>
        <v>2587.6</v>
      </c>
      <c r="P35" s="248">
        <f t="shared" si="5"/>
        <v>2633.9</v>
      </c>
      <c r="Q35" s="248">
        <f t="shared" si="5"/>
        <v>2698.2</v>
      </c>
      <c r="R35" s="248">
        <f t="shared" si="5"/>
        <v>2790</v>
      </c>
      <c r="S35" s="245">
        <f t="shared" si="5"/>
        <v>2829.6</v>
      </c>
      <c r="T35" s="251">
        <f t="shared" ref="T35:AB35" si="6">S35*((1+T34/100)^0.25)</f>
        <v>2867.1479295552822</v>
      </c>
      <c r="U35" s="251">
        <f t="shared" si="6"/>
        <v>2902.161011259866</v>
      </c>
      <c r="V35" s="251">
        <f t="shared" si="6"/>
        <v>2932.4230553290195</v>
      </c>
      <c r="W35" s="251">
        <f t="shared" si="6"/>
        <v>2959.7931634461715</v>
      </c>
      <c r="X35" s="251">
        <f t="shared" si="6"/>
        <v>2986.2337207216096</v>
      </c>
      <c r="Y35" s="251">
        <f t="shared" si="6"/>
        <v>3012.157860862761</v>
      </c>
      <c r="Z35" s="251">
        <f t="shared" si="6"/>
        <v>3037.9787175770557</v>
      </c>
      <c r="AA35" s="251">
        <f t="shared" si="6"/>
        <v>3064.5225582793501</v>
      </c>
      <c r="AB35" s="251">
        <f t="shared" si="6"/>
        <v>3091.9959498233598</v>
      </c>
      <c r="AC35" s="251">
        <f>(AC33/$R33)*$R35</f>
        <v>3137.5691162790699</v>
      </c>
    </row>
    <row r="36" spans="2:30" x14ac:dyDescent="0.3">
      <c r="B36" s="442" t="s">
        <v>445</v>
      </c>
      <c r="C36" s="443"/>
      <c r="D36" s="442"/>
      <c r="E36" s="443"/>
      <c r="F36" s="443"/>
      <c r="G36" s="443"/>
      <c r="H36" s="451">
        <f t="shared" ref="H36:P36" si="7">H32-H65</f>
        <v>2106.0279999999998</v>
      </c>
      <c r="I36" s="451">
        <f t="shared" si="7"/>
        <v>2141.529</v>
      </c>
      <c r="J36" s="451">
        <f t="shared" si="7"/>
        <v>1990.5010000000002</v>
      </c>
      <c r="K36" s="451">
        <f t="shared" si="7"/>
        <v>2021.4079999999999</v>
      </c>
      <c r="L36" s="451">
        <f t="shared" si="7"/>
        <v>2051.1390000000001</v>
      </c>
      <c r="M36" s="451">
        <f t="shared" si="7"/>
        <v>2079.0590000000002</v>
      </c>
      <c r="N36" s="451">
        <f t="shared" si="7"/>
        <v>2079.8069999999998</v>
      </c>
      <c r="O36" s="451">
        <f t="shared" si="7"/>
        <v>2143.2640000000001</v>
      </c>
      <c r="P36" s="451">
        <f t="shared" si="7"/>
        <v>2159.8381479999998</v>
      </c>
      <c r="Q36" s="451">
        <f t="shared" ref="Q36:AC36" si="8">Q35-Q65</f>
        <v>2187.2127252</v>
      </c>
      <c r="R36" s="451">
        <f t="shared" si="8"/>
        <v>2209.610968</v>
      </c>
      <c r="S36" s="378">
        <f t="shared" si="8"/>
        <v>2261.872132</v>
      </c>
      <c r="T36" s="270">
        <f t="shared" si="8"/>
        <v>2307.62137682291</v>
      </c>
      <c r="U36" s="270">
        <f t="shared" si="8"/>
        <v>2357.742580465615</v>
      </c>
      <c r="V36" s="270">
        <f t="shared" si="8"/>
        <v>2383.4635122959871</v>
      </c>
      <c r="W36" s="270">
        <f t="shared" si="8"/>
        <v>2411.7631607795047</v>
      </c>
      <c r="X36" s="270">
        <f t="shared" si="8"/>
        <v>2435.9379830799426</v>
      </c>
      <c r="Y36" s="270">
        <f t="shared" si="8"/>
        <v>2473.0235672047402</v>
      </c>
      <c r="Z36" s="270">
        <f t="shared" si="8"/>
        <v>2518.4555135827022</v>
      </c>
      <c r="AA36" s="270">
        <f t="shared" si="8"/>
        <v>2540.2858677460167</v>
      </c>
      <c r="AB36" s="270">
        <f t="shared" si="8"/>
        <v>2561.1583763360263</v>
      </c>
      <c r="AC36" s="406">
        <f t="shared" si="8"/>
        <v>2623.304090354728</v>
      </c>
      <c r="AD36" s="155" t="s">
        <v>446</v>
      </c>
    </row>
    <row r="37" spans="2:30" x14ac:dyDescent="0.3">
      <c r="B37" s="36"/>
      <c r="C37" s="36"/>
      <c r="D37" s="36"/>
      <c r="E37" s="36"/>
      <c r="F37" s="36"/>
      <c r="G37" s="36"/>
      <c r="H37" s="36"/>
      <c r="I37" s="36"/>
      <c r="J37" s="36"/>
      <c r="K37" s="36"/>
      <c r="L37" s="36"/>
      <c r="M37" s="436"/>
      <c r="N37" s="436"/>
      <c r="O37" s="436"/>
      <c r="P37" s="436"/>
      <c r="Q37" s="436"/>
      <c r="R37" s="436"/>
      <c r="S37" s="437"/>
      <c r="T37" s="437"/>
      <c r="U37" s="437"/>
      <c r="V37" s="437"/>
      <c r="W37" s="437"/>
      <c r="X37" s="437"/>
      <c r="Y37" s="437"/>
      <c r="Z37" s="437"/>
      <c r="AA37" s="437"/>
      <c r="AB37" s="437"/>
      <c r="AC37" s="437"/>
    </row>
    <row r="38" spans="2:30" x14ac:dyDescent="0.3">
      <c r="B38" s="36"/>
      <c r="C38" s="36"/>
      <c r="D38" s="36"/>
      <c r="E38" s="36"/>
      <c r="F38" s="36"/>
      <c r="G38" s="36"/>
      <c r="H38" s="36"/>
      <c r="I38" s="36"/>
      <c r="J38" s="36"/>
      <c r="K38" s="36"/>
      <c r="L38" s="36"/>
      <c r="M38" s="436"/>
      <c r="N38" s="436"/>
      <c r="O38" s="436"/>
      <c r="P38" s="436"/>
      <c r="Q38" s="192">
        <v>2698.2</v>
      </c>
      <c r="R38" s="192">
        <v>2790</v>
      </c>
      <c r="S38" s="340">
        <v>2817.3</v>
      </c>
      <c r="T38" s="457"/>
      <c r="U38" s="457"/>
      <c r="V38" s="457"/>
      <c r="W38" s="457"/>
      <c r="X38" s="457"/>
      <c r="Y38" s="437"/>
      <c r="Z38" s="437"/>
      <c r="AA38" s="437"/>
      <c r="AB38" s="437"/>
      <c r="AC38" s="437"/>
    </row>
    <row r="39" spans="2:30" x14ac:dyDescent="0.3">
      <c r="B39" s="36"/>
      <c r="C39" s="36"/>
      <c r="D39" s="36"/>
      <c r="E39" s="36"/>
      <c r="F39" s="36"/>
      <c r="G39" s="36"/>
      <c r="H39" s="36"/>
      <c r="I39" s="36"/>
      <c r="J39" s="36"/>
      <c r="K39" s="36"/>
      <c r="L39" s="36"/>
      <c r="M39" s="436"/>
      <c r="N39" s="436"/>
      <c r="O39" s="436"/>
      <c r="P39" s="436"/>
      <c r="Q39" s="428">
        <v>2625.2</v>
      </c>
      <c r="R39" s="428">
        <v>2687.5</v>
      </c>
      <c r="S39" s="429">
        <v>2737.7</v>
      </c>
      <c r="T39" s="435">
        <v>2776</v>
      </c>
      <c r="U39" s="435">
        <v>2809.9</v>
      </c>
      <c r="V39" s="435">
        <v>2839.2</v>
      </c>
      <c r="W39" s="435">
        <v>2865.7</v>
      </c>
      <c r="X39" s="435">
        <v>2891.3</v>
      </c>
      <c r="Y39" s="437"/>
      <c r="Z39" s="437"/>
      <c r="AA39" s="437"/>
      <c r="AB39" s="437"/>
      <c r="AC39" s="437"/>
    </row>
    <row r="40" spans="2:30" x14ac:dyDescent="0.3">
      <c r="B40" s="36"/>
      <c r="C40" s="36"/>
      <c r="D40" s="36"/>
      <c r="E40" s="36"/>
      <c r="F40" s="36"/>
      <c r="G40" s="36"/>
      <c r="H40" s="36"/>
      <c r="I40" s="36"/>
      <c r="J40" s="36"/>
      <c r="K40" s="36"/>
      <c r="L40" s="36"/>
      <c r="M40" s="436"/>
      <c r="N40" s="436"/>
      <c r="O40" s="436"/>
      <c r="P40" s="436"/>
      <c r="Q40" s="166">
        <v>10.128423587170188</v>
      </c>
      <c r="R40" s="166">
        <v>14.319485516488072</v>
      </c>
      <c r="S40" s="171">
        <v>3.9718012595963748</v>
      </c>
      <c r="T40" s="252">
        <v>5.4144667062669631</v>
      </c>
      <c r="U40" s="252">
        <v>4.9749339639030277</v>
      </c>
      <c r="V40" s="252">
        <v>4.2366602536129561</v>
      </c>
      <c r="W40" s="252">
        <v>3.7860418668673734</v>
      </c>
      <c r="X40" s="252">
        <v>3.6214654878406138</v>
      </c>
      <c r="Y40" s="437"/>
      <c r="Z40" s="437"/>
      <c r="AA40" s="437"/>
      <c r="AB40" s="437"/>
      <c r="AC40" s="437"/>
    </row>
    <row r="41" spans="2:30" x14ac:dyDescent="0.3">
      <c r="B41" s="36"/>
      <c r="C41" s="36"/>
      <c r="D41" s="36"/>
      <c r="E41" s="36"/>
      <c r="F41" s="36"/>
      <c r="G41" s="36"/>
      <c r="H41" s="36"/>
      <c r="I41" s="36"/>
      <c r="J41" s="36"/>
      <c r="K41" s="36"/>
      <c r="L41" s="36"/>
      <c r="M41" s="436"/>
      <c r="N41" s="436"/>
      <c r="O41" s="436"/>
      <c r="P41" s="436"/>
      <c r="Q41" s="248">
        <v>2698.2</v>
      </c>
      <c r="R41" s="248">
        <v>2790</v>
      </c>
      <c r="S41" s="420">
        <v>2817.3</v>
      </c>
      <c r="T41" s="251">
        <v>2854.6847123042471</v>
      </c>
      <c r="U41" s="251">
        <v>2889.5455954984527</v>
      </c>
      <c r="V41" s="251">
        <v>2919.676093362471</v>
      </c>
      <c r="W41" s="251">
        <v>2946.9272262428967</v>
      </c>
      <c r="X41" s="251">
        <v>2973.252848950026</v>
      </c>
      <c r="Y41" s="437"/>
      <c r="Z41" s="437"/>
      <c r="AA41" s="437"/>
      <c r="AB41" s="437"/>
      <c r="AC41" s="437"/>
    </row>
    <row r="42" spans="2:30" x14ac:dyDescent="0.3">
      <c r="B42" s="36"/>
      <c r="C42" s="36"/>
      <c r="D42" s="36"/>
      <c r="E42" s="36"/>
      <c r="F42" s="36"/>
      <c r="G42" s="36"/>
      <c r="H42" s="36"/>
      <c r="I42" s="36"/>
      <c r="J42" s="36"/>
      <c r="K42" s="36"/>
      <c r="L42" s="36"/>
      <c r="M42" s="436"/>
      <c r="N42" s="436"/>
      <c r="O42" s="436"/>
      <c r="P42" s="436"/>
      <c r="Q42" s="451">
        <v>2187.2127252</v>
      </c>
      <c r="R42" s="451">
        <v>2209.610968</v>
      </c>
      <c r="S42" s="378">
        <v>2249.5721320000002</v>
      </c>
      <c r="T42" s="270">
        <v>2295.1581595718753</v>
      </c>
      <c r="U42" s="270">
        <v>2345.1271647042017</v>
      </c>
      <c r="V42" s="270">
        <v>2370.7165503294391</v>
      </c>
      <c r="W42" s="270">
        <v>2398.8972235762303</v>
      </c>
      <c r="X42" s="270">
        <v>2422.9571113083593</v>
      </c>
      <c r="Y42" s="437"/>
      <c r="Z42" s="437"/>
      <c r="AA42" s="437"/>
      <c r="AB42" s="437"/>
      <c r="AC42" s="437"/>
    </row>
    <row r="43" spans="2:30" x14ac:dyDescent="0.3">
      <c r="B43" s="36"/>
      <c r="C43" s="36"/>
      <c r="D43" s="36"/>
      <c r="E43" s="36"/>
      <c r="F43" s="36"/>
      <c r="G43" s="36"/>
      <c r="H43" s="36"/>
      <c r="I43" s="36"/>
      <c r="J43" s="36"/>
      <c r="K43" s="36"/>
      <c r="L43" s="36"/>
      <c r="M43" s="436"/>
      <c r="N43" s="436"/>
      <c r="O43" s="436"/>
      <c r="P43" s="436"/>
      <c r="Q43" s="436"/>
      <c r="R43" s="436"/>
      <c r="S43" s="437"/>
      <c r="T43" s="437"/>
      <c r="U43" s="437"/>
      <c r="V43" s="437"/>
      <c r="W43" s="437"/>
      <c r="X43" s="437"/>
      <c r="Y43" s="437"/>
      <c r="Z43" s="437"/>
      <c r="AA43" s="437"/>
      <c r="AB43" s="437"/>
      <c r="AC43" s="437"/>
    </row>
    <row r="44" spans="2:30" x14ac:dyDescent="0.3">
      <c r="B44" s="36"/>
      <c r="C44" s="36"/>
      <c r="D44" s="36"/>
      <c r="E44" s="36"/>
      <c r="F44" s="36"/>
      <c r="G44" s="36"/>
      <c r="H44" s="36"/>
      <c r="I44" s="36"/>
      <c r="J44" s="36"/>
      <c r="K44" s="36"/>
      <c r="L44" s="36"/>
      <c r="M44" s="436"/>
      <c r="N44" s="436"/>
      <c r="O44" s="436"/>
      <c r="P44" s="436"/>
      <c r="Q44" s="436"/>
      <c r="R44" s="436"/>
      <c r="S44" s="437"/>
      <c r="T44" s="437"/>
      <c r="U44" s="437"/>
      <c r="V44" s="437"/>
      <c r="W44" s="437"/>
      <c r="X44" s="437"/>
      <c r="Y44" s="437"/>
      <c r="Z44" s="437"/>
      <c r="AA44" s="437"/>
      <c r="AB44" s="437"/>
      <c r="AC44" s="437"/>
    </row>
    <row r="45" spans="2:30" x14ac:dyDescent="0.3">
      <c r="B45" s="36"/>
      <c r="C45" s="36"/>
      <c r="D45" s="36"/>
      <c r="E45" s="36"/>
      <c r="F45" s="36"/>
      <c r="G45" s="36"/>
      <c r="H45" s="36"/>
      <c r="I45" s="36"/>
      <c r="J45" s="36"/>
      <c r="K45" s="36"/>
      <c r="L45" s="36"/>
      <c r="M45" s="436"/>
      <c r="N45" s="436"/>
      <c r="O45" s="436"/>
      <c r="P45" s="436"/>
      <c r="Q45" s="436"/>
      <c r="R45" s="436"/>
      <c r="S45" s="437"/>
      <c r="T45" s="437"/>
      <c r="U45" s="437"/>
      <c r="V45" s="437"/>
      <c r="W45" s="437"/>
      <c r="X45" s="437"/>
      <c r="Y45" s="437"/>
      <c r="Z45" s="437"/>
      <c r="AA45" s="437"/>
      <c r="AB45" s="437"/>
      <c r="AC45" s="437"/>
    </row>
    <row r="46" spans="2:30" x14ac:dyDescent="0.3">
      <c r="B46" s="36"/>
      <c r="C46" s="36"/>
      <c r="D46" s="36"/>
      <c r="E46" s="36"/>
      <c r="F46" s="36"/>
      <c r="G46" s="36"/>
      <c r="H46" s="36"/>
      <c r="I46" s="36"/>
      <c r="J46" s="36"/>
      <c r="K46" s="36"/>
      <c r="L46" s="36"/>
      <c r="M46" s="436"/>
      <c r="N46" s="436"/>
      <c r="O46" s="436"/>
      <c r="P46" s="436"/>
      <c r="Q46" s="436"/>
      <c r="R46" s="436"/>
      <c r="S46" s="437"/>
      <c r="T46" s="437"/>
      <c r="U46" s="437"/>
      <c r="V46" s="437"/>
      <c r="W46" s="437"/>
      <c r="X46" s="437"/>
      <c r="Y46" s="437"/>
      <c r="Z46" s="437"/>
      <c r="AA46" s="437"/>
      <c r="AB46" s="437"/>
      <c r="AC46" s="437"/>
    </row>
    <row r="47" spans="2:30" x14ac:dyDescent="0.3">
      <c r="B47" s="264"/>
      <c r="C47" s="264"/>
      <c r="D47" s="264"/>
      <c r="E47" s="264"/>
      <c r="F47" s="264"/>
      <c r="G47" s="264"/>
      <c r="H47" s="158"/>
      <c r="I47" s="158"/>
      <c r="J47" s="158"/>
      <c r="K47" s="158"/>
      <c r="L47" s="158"/>
      <c r="M47" s="158"/>
      <c r="N47" s="158"/>
      <c r="O47" s="158"/>
      <c r="P47" s="158"/>
      <c r="Q47" s="441"/>
      <c r="R47" s="158"/>
      <c r="S47" s="158"/>
      <c r="T47" s="158"/>
      <c r="U47" s="158"/>
      <c r="V47" s="158"/>
      <c r="W47" s="158"/>
      <c r="X47" s="158"/>
      <c r="Y47" s="158"/>
      <c r="Z47" s="158"/>
    </row>
    <row r="48" spans="2:30" ht="85.2" customHeight="1" x14ac:dyDescent="0.3">
      <c r="B48" s="461" t="s">
        <v>955</v>
      </c>
      <c r="C48" s="471" t="s">
        <v>954</v>
      </c>
      <c r="D48" s="469">
        <v>44197</v>
      </c>
      <c r="E48" s="470">
        <v>44228</v>
      </c>
      <c r="F48" s="470">
        <v>44256</v>
      </c>
      <c r="G48" s="470">
        <v>44287</v>
      </c>
      <c r="H48" s="470">
        <v>44317</v>
      </c>
      <c r="I48" s="470">
        <v>44348</v>
      </c>
      <c r="J48" s="470">
        <v>44378</v>
      </c>
      <c r="K48" s="470">
        <v>44409</v>
      </c>
      <c r="L48" s="470">
        <v>44440</v>
      </c>
      <c r="M48" s="470">
        <v>44470</v>
      </c>
      <c r="N48" s="470">
        <v>44501</v>
      </c>
      <c r="O48" s="470">
        <v>44531</v>
      </c>
      <c r="P48" s="446">
        <v>44562</v>
      </c>
      <c r="Q48" s="445">
        <v>44593</v>
      </c>
      <c r="R48" s="446">
        <v>44621</v>
      </c>
      <c r="S48" s="446">
        <v>44652</v>
      </c>
      <c r="T48" s="446">
        <v>44682</v>
      </c>
      <c r="U48" s="446">
        <v>44713</v>
      </c>
      <c r="V48" s="446">
        <v>44743</v>
      </c>
      <c r="W48" s="446">
        <v>44774</v>
      </c>
      <c r="X48" s="446">
        <v>44805</v>
      </c>
      <c r="Y48" s="446">
        <v>44835</v>
      </c>
      <c r="Z48" s="158"/>
    </row>
    <row r="49" spans="2:33" ht="19.5" customHeight="1" x14ac:dyDescent="0.3">
      <c r="B49" s="363" t="s">
        <v>447</v>
      </c>
      <c r="C49" s="439" t="s">
        <v>448</v>
      </c>
      <c r="D49" s="36">
        <f>[1]Sheet1!B$2</f>
        <v>5154</v>
      </c>
      <c r="E49" s="36">
        <f>[1]Sheet1!C$2</f>
        <v>5157</v>
      </c>
      <c r="F49" s="36">
        <f>[1]Sheet1!D$2</f>
        <v>5170</v>
      </c>
      <c r="G49" s="36">
        <f>[1]Sheet1!E$2</f>
        <v>5173</v>
      </c>
      <c r="H49" s="36">
        <f>[1]Sheet1!F$2</f>
        <v>5231</v>
      </c>
      <c r="I49" s="36">
        <f>[1]Sheet1!G$2</f>
        <v>5251</v>
      </c>
      <c r="J49" s="36">
        <f>[1]Sheet1!H$2</f>
        <v>5241</v>
      </c>
      <c r="K49" s="36">
        <f>[1]Sheet1!I$2</f>
        <v>5226</v>
      </c>
      <c r="L49" s="36">
        <f>[1]Sheet1!J$2</f>
        <v>5224</v>
      </c>
      <c r="M49" s="36">
        <f>[1]Sheet1!K$2</f>
        <v>5224</v>
      </c>
      <c r="N49" s="36">
        <f>[1]Sheet1!L$2</f>
        <v>5220</v>
      </c>
      <c r="O49" s="36">
        <f>[1]Sheet1!M$2</f>
        <v>5237</v>
      </c>
      <c r="P49" s="36">
        <f>[1]Sheet1!N$2</f>
        <v>5219</v>
      </c>
      <c r="Q49" s="36">
        <f>[1]Sheet1!O$2</f>
        <v>5212</v>
      </c>
      <c r="R49" s="36">
        <f>[1]Sheet1!P$2</f>
        <v>5213</v>
      </c>
      <c r="S49" s="36">
        <f>[1]Sheet1!Q$2</f>
        <v>5218</v>
      </c>
      <c r="T49" s="36">
        <f>[1]Sheet1!R$2</f>
        <v>5258</v>
      </c>
      <c r="U49" s="36">
        <f>[1]Sheet1!S$2</f>
        <v>5238</v>
      </c>
      <c r="V49" s="36">
        <f>[1]Sheet1!T$2</f>
        <v>5246</v>
      </c>
      <c r="W49" s="36">
        <v>5261</v>
      </c>
      <c r="X49" s="36">
        <v>5261</v>
      </c>
      <c r="Y49" s="36">
        <v>5254</v>
      </c>
      <c r="Z49" s="158"/>
    </row>
    <row r="50" spans="2:33" ht="18" customHeight="1" x14ac:dyDescent="0.3">
      <c r="B50" s="271" t="s">
        <v>449</v>
      </c>
      <c r="C50" s="155" t="s">
        <v>450</v>
      </c>
      <c r="D50" s="36">
        <f>[1]Sheet1!B$3</f>
        <v>13748</v>
      </c>
      <c r="E50" s="36">
        <f>[1]Sheet1!C$3</f>
        <v>13760</v>
      </c>
      <c r="F50" s="36">
        <f>[1]Sheet1!D$3</f>
        <v>13801</v>
      </c>
      <c r="G50" s="36">
        <f>[1]Sheet1!E$3</f>
        <v>13842</v>
      </c>
      <c r="H50" s="36">
        <f>[1]Sheet1!F$3</f>
        <v>13856</v>
      </c>
      <c r="I50" s="36">
        <f>[1]Sheet1!G$3</f>
        <v>13889</v>
      </c>
      <c r="J50" s="36">
        <f>[1]Sheet1!H$3</f>
        <v>13948</v>
      </c>
      <c r="K50" s="36">
        <f>[1]Sheet1!I$3</f>
        <v>13984</v>
      </c>
      <c r="L50" s="36">
        <f>[1]Sheet1!J$3</f>
        <v>14002</v>
      </c>
      <c r="M50" s="36">
        <f>[1]Sheet1!K$3</f>
        <v>13990</v>
      </c>
      <c r="N50" s="36">
        <f>[1]Sheet1!L$3</f>
        <v>14010</v>
      </c>
      <c r="O50" s="36">
        <f>[1]Sheet1!M$3</f>
        <v>14028</v>
      </c>
      <c r="P50" s="36">
        <f>[1]Sheet1!N$3</f>
        <v>14055</v>
      </c>
      <c r="Q50" s="36">
        <f>[1]Sheet1!O$3</f>
        <v>14073</v>
      </c>
      <c r="R50" s="36">
        <f>[1]Sheet1!P$3</f>
        <v>14087</v>
      </c>
      <c r="S50" s="36">
        <f>[1]Sheet1!Q$3</f>
        <v>14091</v>
      </c>
      <c r="T50" s="36">
        <f>[1]Sheet1!R$3</f>
        <v>14105</v>
      </c>
      <c r="U50" s="36">
        <f>[1]Sheet1!S$3</f>
        <v>14084</v>
      </c>
      <c r="V50" s="36">
        <f>[1]Sheet1!T$3</f>
        <v>14157</v>
      </c>
      <c r="W50" s="36">
        <v>14201</v>
      </c>
      <c r="X50" s="36">
        <v>14194</v>
      </c>
      <c r="Y50" s="36">
        <v>14223</v>
      </c>
      <c r="Z50" s="158"/>
      <c r="AG50" s="155"/>
    </row>
    <row r="51" spans="2:33" ht="19.5" customHeight="1" x14ac:dyDescent="0.3">
      <c r="B51" s="442" t="s">
        <v>451</v>
      </c>
      <c r="C51" s="265" t="s">
        <v>452</v>
      </c>
      <c r="D51" s="37">
        <f>[1]Sheet1!B$4</f>
        <v>328517</v>
      </c>
      <c r="E51" s="37">
        <f>[1]Sheet1!C$4</f>
        <v>320118</v>
      </c>
      <c r="F51" s="37">
        <f>[1]Sheet1!D$4</f>
        <v>319991</v>
      </c>
      <c r="G51" s="37">
        <f>[1]Sheet1!E$4</f>
        <v>321220</v>
      </c>
      <c r="H51" s="37">
        <f>[1]Sheet1!F$4</f>
        <v>319056</v>
      </c>
      <c r="I51" s="37">
        <f>[1]Sheet1!G$4</f>
        <v>315198</v>
      </c>
      <c r="J51" s="37">
        <f>[1]Sheet1!H$4</f>
        <v>318559</v>
      </c>
      <c r="K51" s="37">
        <f>[1]Sheet1!I$4</f>
        <v>323086</v>
      </c>
      <c r="L51" s="37">
        <f>[1]Sheet1!J$4</f>
        <v>324024</v>
      </c>
      <c r="M51" s="37">
        <f>[1]Sheet1!K$4</f>
        <v>325954</v>
      </c>
      <c r="N51" s="37">
        <f>[1]Sheet1!L$4</f>
        <v>325873</v>
      </c>
      <c r="O51" s="37">
        <f>[1]Sheet1!M$4</f>
        <v>323714</v>
      </c>
      <c r="P51" s="37">
        <f>[1]Sheet1!N$4</f>
        <v>323638</v>
      </c>
      <c r="Q51" s="37">
        <f>[1]Sheet1!O$4</f>
        <v>324761</v>
      </c>
      <c r="R51" s="37">
        <f>[1]Sheet1!P$4</f>
        <v>319759</v>
      </c>
      <c r="S51" s="37">
        <v>323392</v>
      </c>
      <c r="T51" s="37">
        <v>320626</v>
      </c>
      <c r="U51" s="37">
        <f>[1]Sheet1!S$4</f>
        <v>324999</v>
      </c>
      <c r="V51" s="37">
        <v>336811</v>
      </c>
      <c r="W51" s="37">
        <v>337289</v>
      </c>
      <c r="X51" s="37">
        <v>339155</v>
      </c>
      <c r="Y51" s="37">
        <f>[1]Sheet1!W$4</f>
        <v>0</v>
      </c>
      <c r="Z51" s="158"/>
      <c r="AG51" s="155"/>
    </row>
    <row r="52" spans="2:33" ht="15.6" customHeight="1" x14ac:dyDescent="0.3">
      <c r="B52" s="279"/>
      <c r="C52" s="264"/>
      <c r="D52" s="264"/>
      <c r="E52" s="264"/>
      <c r="F52" s="264"/>
      <c r="G52" s="264"/>
      <c r="H52" s="158"/>
      <c r="I52" s="158"/>
      <c r="J52" s="158"/>
      <c r="Q52" s="475"/>
      <c r="R52" s="158"/>
      <c r="S52" s="158"/>
      <c r="T52" s="158"/>
      <c r="U52" s="158"/>
      <c r="V52" s="158"/>
      <c r="W52" s="158"/>
      <c r="X52" s="158"/>
      <c r="Y52" s="158"/>
      <c r="Z52" s="158"/>
      <c r="AG52" s="155"/>
    </row>
    <row r="53" spans="2:33" ht="12.75" customHeight="1" x14ac:dyDescent="0.3">
      <c r="AG53" s="155"/>
    </row>
    <row r="54" spans="2:33" x14ac:dyDescent="0.3">
      <c r="B54" s="1094" t="s">
        <v>453</v>
      </c>
      <c r="C54" s="1094"/>
      <c r="D54" s="1094"/>
      <c r="E54" s="1094"/>
      <c r="F54" s="1094"/>
      <c r="G54" s="1094"/>
      <c r="H54" s="1094"/>
      <c r="I54" s="1094"/>
      <c r="J54" s="1094"/>
      <c r="K54" s="1094"/>
      <c r="L54" s="1094"/>
      <c r="M54" s="1094"/>
      <c r="N54" s="1094"/>
      <c r="O54" s="1094"/>
      <c r="P54" s="1094"/>
      <c r="Q54" s="1094"/>
      <c r="R54" s="1094"/>
      <c r="S54" s="1094"/>
      <c r="T54" s="1094"/>
      <c r="U54" s="1094"/>
      <c r="V54" s="1094"/>
      <c r="W54" s="1094"/>
      <c r="X54" s="1094"/>
      <c r="Y54" s="1094"/>
      <c r="Z54" s="1094"/>
      <c r="AA54" s="1094"/>
      <c r="AB54" s="1094"/>
      <c r="AC54" s="1094"/>
      <c r="AG54" s="155"/>
    </row>
    <row r="55" spans="2:33" ht="9" customHeight="1" x14ac:dyDescent="0.3">
      <c r="B55" s="1094"/>
      <c r="C55" s="1094"/>
      <c r="D55" s="1094"/>
      <c r="E55" s="1094"/>
      <c r="F55" s="1094"/>
      <c r="G55" s="1094"/>
      <c r="H55" s="1094"/>
      <c r="I55" s="1094"/>
      <c r="J55" s="1094"/>
      <c r="K55" s="1094"/>
      <c r="L55" s="1094"/>
      <c r="M55" s="1094"/>
      <c r="N55" s="1094"/>
      <c r="O55" s="1094"/>
      <c r="P55" s="1094"/>
      <c r="Q55" s="1094"/>
      <c r="R55" s="1094"/>
      <c r="S55" s="1094"/>
      <c r="T55" s="1094"/>
      <c r="U55" s="1094"/>
      <c r="V55" s="1094"/>
      <c r="W55" s="1094"/>
      <c r="X55" s="1094"/>
      <c r="Y55" s="1094"/>
      <c r="Z55" s="1094"/>
      <c r="AA55" s="1094"/>
      <c r="AB55" s="1094"/>
      <c r="AC55" s="1094"/>
      <c r="AG55" s="155"/>
    </row>
    <row r="56" spans="2:33" ht="14.25" customHeight="1" x14ac:dyDescent="0.3">
      <c r="B56" s="1160" t="s">
        <v>454</v>
      </c>
      <c r="C56" s="1160"/>
      <c r="D56" s="1160"/>
      <c r="E56" s="1160"/>
      <c r="F56" s="1160"/>
      <c r="G56" s="1160"/>
      <c r="H56" s="1160"/>
      <c r="I56" s="1160"/>
      <c r="J56" s="1160"/>
      <c r="K56" s="1160"/>
      <c r="L56" s="1160"/>
      <c r="M56" s="1160"/>
      <c r="N56" s="1160"/>
      <c r="O56" s="1160"/>
      <c r="P56" s="1160"/>
      <c r="Q56" s="1160"/>
      <c r="R56" s="1160"/>
      <c r="S56" s="1160"/>
      <c r="T56" s="1160"/>
      <c r="U56" s="1160"/>
      <c r="V56" s="1160"/>
      <c r="W56" s="1160"/>
      <c r="X56" s="1160"/>
      <c r="Y56" s="1160"/>
      <c r="Z56" s="1160"/>
      <c r="AA56" s="1160"/>
      <c r="AB56" s="1160"/>
      <c r="AC56" s="1160"/>
      <c r="AG56" s="155"/>
    </row>
    <row r="57" spans="2:33" x14ac:dyDescent="0.3">
      <c r="B57" s="1160"/>
      <c r="C57" s="1160"/>
      <c r="D57" s="1160"/>
      <c r="E57" s="1160"/>
      <c r="F57" s="1160"/>
      <c r="G57" s="1160"/>
      <c r="H57" s="1160"/>
      <c r="I57" s="1160"/>
      <c r="J57" s="1160"/>
      <c r="K57" s="1160"/>
      <c r="L57" s="1160"/>
      <c r="M57" s="1160"/>
      <c r="N57" s="1160"/>
      <c r="O57" s="1160"/>
      <c r="P57" s="1160"/>
      <c r="Q57" s="1160"/>
      <c r="R57" s="1160"/>
      <c r="S57" s="1160"/>
      <c r="T57" s="1160"/>
      <c r="U57" s="1160"/>
      <c r="V57" s="1160"/>
      <c r="W57" s="1160"/>
      <c r="X57" s="1160"/>
      <c r="Y57" s="1160"/>
      <c r="Z57" s="1160"/>
      <c r="AA57" s="1160"/>
      <c r="AB57" s="1160"/>
      <c r="AC57" s="1160"/>
      <c r="AG57" s="155"/>
    </row>
    <row r="58" spans="2:33" ht="8.6999999999999993" customHeight="1" x14ac:dyDescent="0.3">
      <c r="B58" s="1160"/>
      <c r="C58" s="1160"/>
      <c r="D58" s="1160"/>
      <c r="E58" s="1160"/>
      <c r="F58" s="1160"/>
      <c r="G58" s="1160"/>
      <c r="H58" s="1160"/>
      <c r="I58" s="1160"/>
      <c r="J58" s="1160"/>
      <c r="K58" s="1160"/>
      <c r="L58" s="1160"/>
      <c r="M58" s="1160"/>
      <c r="N58" s="1160"/>
      <c r="O58" s="1160"/>
      <c r="P58" s="1160"/>
      <c r="Q58" s="1160"/>
      <c r="R58" s="1160"/>
      <c r="S58" s="1160"/>
      <c r="T58" s="1160"/>
      <c r="U58" s="1160"/>
      <c r="V58" s="1160"/>
      <c r="W58" s="1160"/>
      <c r="X58" s="1160"/>
      <c r="Y58" s="1160"/>
      <c r="Z58" s="1160"/>
      <c r="AA58" s="1160"/>
      <c r="AB58" s="1160"/>
      <c r="AC58" s="1160"/>
      <c r="AG58" s="155"/>
    </row>
    <row r="59" spans="2:33" ht="12.75" customHeight="1" x14ac:dyDescent="0.3">
      <c r="AG59" s="155"/>
    </row>
    <row r="60" spans="2:33" ht="30.75" customHeight="1" x14ac:dyDescent="0.3">
      <c r="B60" s="1123" t="s">
        <v>324</v>
      </c>
      <c r="C60" s="1106"/>
      <c r="D60" s="1104" t="s">
        <v>325</v>
      </c>
      <c r="E60" s="1105"/>
      <c r="F60" s="1105"/>
      <c r="G60" s="1105"/>
      <c r="H60" s="1105"/>
      <c r="I60" s="1105"/>
      <c r="J60" s="1105"/>
      <c r="K60" s="1105"/>
      <c r="L60" s="1105"/>
      <c r="M60" s="1105"/>
      <c r="N60" s="1105"/>
      <c r="O60" s="1105"/>
      <c r="P60" s="1105"/>
      <c r="Q60" s="1106"/>
      <c r="R60" s="1106"/>
      <c r="S60" s="1107"/>
      <c r="T60" s="1131" t="s">
        <v>326</v>
      </c>
      <c r="U60" s="1132"/>
      <c r="V60" s="1132"/>
      <c r="W60" s="1132"/>
      <c r="X60" s="1132"/>
      <c r="Y60" s="1132"/>
      <c r="Z60" s="1132"/>
      <c r="AA60" s="1132"/>
      <c r="AB60" s="1132"/>
      <c r="AC60" s="1133"/>
      <c r="AG60" s="155"/>
    </row>
    <row r="61" spans="2:33" x14ac:dyDescent="0.3">
      <c r="B61" s="1124"/>
      <c r="C61" s="1161"/>
      <c r="D61" s="142">
        <v>2018</v>
      </c>
      <c r="E61" s="1095">
        <v>2019</v>
      </c>
      <c r="F61" s="1096"/>
      <c r="G61" s="1096"/>
      <c r="H61" s="1103"/>
      <c r="I61" s="1095">
        <v>2020</v>
      </c>
      <c r="J61" s="1096"/>
      <c r="K61" s="1096"/>
      <c r="L61" s="1096"/>
      <c r="M61" s="1095">
        <v>2021</v>
      </c>
      <c r="N61" s="1096"/>
      <c r="O61" s="1096"/>
      <c r="P61" s="1096"/>
      <c r="Q61" s="1129">
        <v>2022</v>
      </c>
      <c r="R61" s="1130"/>
      <c r="S61" s="253"/>
      <c r="T61" s="288"/>
      <c r="U61" s="1126">
        <v>2023</v>
      </c>
      <c r="V61" s="1127"/>
      <c r="W61" s="1127"/>
      <c r="X61" s="1127"/>
      <c r="Y61" s="1126">
        <v>2024</v>
      </c>
      <c r="Z61" s="1127"/>
      <c r="AA61" s="1127"/>
      <c r="AB61" s="1128"/>
      <c r="AC61" s="259">
        <v>2025</v>
      </c>
      <c r="AG61" s="155"/>
    </row>
    <row r="62" spans="2:33" x14ac:dyDescent="0.3">
      <c r="B62" s="1135"/>
      <c r="C62" s="1162"/>
      <c r="D62" s="153" t="s">
        <v>327</v>
      </c>
      <c r="E62" s="153" t="s">
        <v>328</v>
      </c>
      <c r="F62" s="152" t="s">
        <v>329</v>
      </c>
      <c r="G62" s="152" t="s">
        <v>238</v>
      </c>
      <c r="H62" s="204" t="s">
        <v>327</v>
      </c>
      <c r="I62" s="152" t="s">
        <v>328</v>
      </c>
      <c r="J62" s="152" t="s">
        <v>329</v>
      </c>
      <c r="K62" s="152" t="s">
        <v>238</v>
      </c>
      <c r="L62" s="152" t="s">
        <v>327</v>
      </c>
      <c r="M62" s="153" t="s">
        <v>328</v>
      </c>
      <c r="N62" s="152" t="s">
        <v>329</v>
      </c>
      <c r="O62" s="152" t="s">
        <v>238</v>
      </c>
      <c r="P62" s="152" t="s">
        <v>327</v>
      </c>
      <c r="Q62" s="153" t="s">
        <v>328</v>
      </c>
      <c r="R62" s="152" t="s">
        <v>329</v>
      </c>
      <c r="S62" s="204" t="s">
        <v>238</v>
      </c>
      <c r="T62" s="369" t="s">
        <v>327</v>
      </c>
      <c r="U62" s="356" t="s">
        <v>328</v>
      </c>
      <c r="V62" s="357" t="s">
        <v>329</v>
      </c>
      <c r="W62" s="357" t="s">
        <v>238</v>
      </c>
      <c r="X62" s="357" t="s">
        <v>327</v>
      </c>
      <c r="Y62" s="356" t="s">
        <v>328</v>
      </c>
      <c r="Z62" s="250" t="s">
        <v>329</v>
      </c>
      <c r="AA62" s="357" t="s">
        <v>238</v>
      </c>
      <c r="AB62" s="369" t="s">
        <v>327</v>
      </c>
      <c r="AC62" s="384" t="s">
        <v>328</v>
      </c>
      <c r="AG62" s="155"/>
    </row>
    <row r="63" spans="2:33" x14ac:dyDescent="0.3">
      <c r="B63" s="466" t="s">
        <v>134</v>
      </c>
      <c r="C63" s="280"/>
      <c r="D63" s="263"/>
      <c r="E63" s="280"/>
      <c r="F63" s="280"/>
      <c r="G63" s="280"/>
      <c r="H63" s="444">
        <f>Grants!H116</f>
        <v>72.367000000000004</v>
      </c>
      <c r="I63" s="444">
        <f>Grants!I116</f>
        <v>75.578999999999994</v>
      </c>
      <c r="J63" s="444">
        <f>Grants!J116</f>
        <v>76.015000000000001</v>
      </c>
      <c r="K63" s="444">
        <f>Grants!K116</f>
        <v>78.872</v>
      </c>
      <c r="L63" s="444">
        <f>Grants!L116</f>
        <v>75.819000000000003</v>
      </c>
      <c r="M63" s="444">
        <f>Grants!M116</f>
        <v>73.662000000000006</v>
      </c>
      <c r="N63" s="444">
        <f>Grants!N116</f>
        <v>75.066000000000003</v>
      </c>
      <c r="O63" s="444">
        <f>Grants!O116</f>
        <v>69.344999999999999</v>
      </c>
      <c r="P63" s="444">
        <f>Grants!P116</f>
        <v>72.477000000000004</v>
      </c>
      <c r="Q63" s="444">
        <f>Grants!Q116</f>
        <v>72.528999999999996</v>
      </c>
      <c r="R63" s="430">
        <f>Grants!R116</f>
        <v>75.340000000000018</v>
      </c>
      <c r="S63" s="431">
        <f>Grants!S116</f>
        <v>75.340000000000018</v>
      </c>
      <c r="T63" s="457">
        <f>Grants!T116</f>
        <v>76.15900000000002</v>
      </c>
      <c r="U63" s="457">
        <f>Grants!U116</f>
        <v>76.15900000000002</v>
      </c>
      <c r="V63" s="457">
        <f>Grants!V116</f>
        <v>76.15900000000002</v>
      </c>
      <c r="W63" s="457">
        <f>Grants!W116</f>
        <v>76.15900000000002</v>
      </c>
      <c r="X63" s="457">
        <f>Grants!X116</f>
        <v>77.818000000000012</v>
      </c>
      <c r="Y63" s="457">
        <f>Grants!Y116</f>
        <v>77.818000000000012</v>
      </c>
      <c r="Z63" s="457">
        <f>Grants!Z116</f>
        <v>77.818000000000012</v>
      </c>
      <c r="AA63" s="457">
        <f>Grants!AA116</f>
        <v>77.818000000000012</v>
      </c>
      <c r="AB63" s="457">
        <f>Grants!AB116</f>
        <v>79.41200000000002</v>
      </c>
      <c r="AC63" s="447">
        <f>Grants!AC116</f>
        <v>79.41200000000002</v>
      </c>
    </row>
    <row r="64" spans="2:33" x14ac:dyDescent="0.3">
      <c r="B64" s="186" t="s">
        <v>192</v>
      </c>
      <c r="C64" s="181"/>
      <c r="D64" s="449"/>
      <c r="E64" s="181"/>
      <c r="F64" s="181"/>
      <c r="G64" s="181"/>
      <c r="H64" s="148">
        <f>Grants!H85</f>
        <v>205.80500000000001</v>
      </c>
      <c r="I64" s="148">
        <f>Grants!I85</f>
        <v>210.29200000000003</v>
      </c>
      <c r="J64" s="148">
        <f>Grants!J85</f>
        <v>325.28399999999999</v>
      </c>
      <c r="K64" s="148">
        <f>Grants!K85</f>
        <v>297.32000000000005</v>
      </c>
      <c r="L64" s="148">
        <f>Grants!L85</f>
        <v>289.54199999999997</v>
      </c>
      <c r="M64" s="148">
        <f>Grants!M85</f>
        <v>315.67900000000003</v>
      </c>
      <c r="N64" s="148">
        <f>Grants!N85</f>
        <v>361.52700000000004</v>
      </c>
      <c r="O64" s="148">
        <f>Grants!O85</f>
        <v>374.99100000000004</v>
      </c>
      <c r="P64" s="148">
        <f>Grants!P85</f>
        <v>401.58485200000007</v>
      </c>
      <c r="Q64" s="148">
        <f>Grants!Q85</f>
        <v>438.45827479999997</v>
      </c>
      <c r="R64" s="148">
        <f>Grants!R85</f>
        <v>505.04903199999995</v>
      </c>
      <c r="S64" s="297">
        <f>Grants!S85</f>
        <v>492.38786800000003</v>
      </c>
      <c r="T64" s="252">
        <f>Grants!T85</f>
        <v>483.36755273237202</v>
      </c>
      <c r="U64" s="252">
        <f>Grants!U85</f>
        <v>468.25943079425093</v>
      </c>
      <c r="V64" s="252">
        <f>Grants!V85</f>
        <v>472.80054303303206</v>
      </c>
      <c r="W64" s="252">
        <f>Grants!W85</f>
        <v>471.87100266666664</v>
      </c>
      <c r="X64" s="252">
        <f>Grants!X85</f>
        <v>472.47773764166686</v>
      </c>
      <c r="Y64" s="252">
        <f>Grants!Y85</f>
        <v>461.31629365802087</v>
      </c>
      <c r="Z64" s="252">
        <f>Grants!Z85</f>
        <v>441.70520399435327</v>
      </c>
      <c r="AA64" s="252">
        <f>Grants!AA85</f>
        <v>446.41869053333329</v>
      </c>
      <c r="AB64" s="252">
        <f>Grants!AB85</f>
        <v>451.42557348733351</v>
      </c>
      <c r="AC64" s="266">
        <f>Grants!AC85</f>
        <v>434.85302592434175</v>
      </c>
    </row>
    <row r="65" spans="2:58" x14ac:dyDescent="0.3">
      <c r="B65" s="468" t="s">
        <v>455</v>
      </c>
      <c r="C65" s="443"/>
      <c r="D65" s="442"/>
      <c r="E65" s="443"/>
      <c r="F65" s="443"/>
      <c r="G65" s="443"/>
      <c r="H65" s="286">
        <f>H63+H64</f>
        <v>278.17200000000003</v>
      </c>
      <c r="I65" s="286">
        <f t="shared" ref="I65:AC65" si="9">I63+I64</f>
        <v>285.87100000000004</v>
      </c>
      <c r="J65" s="286">
        <f t="shared" si="9"/>
        <v>401.29899999999998</v>
      </c>
      <c r="K65" s="286">
        <f t="shared" si="9"/>
        <v>376.19200000000006</v>
      </c>
      <c r="L65" s="286">
        <f t="shared" si="9"/>
        <v>365.36099999999999</v>
      </c>
      <c r="M65" s="286">
        <f t="shared" si="9"/>
        <v>389.34100000000001</v>
      </c>
      <c r="N65" s="286">
        <f t="shared" si="9"/>
        <v>436.59300000000007</v>
      </c>
      <c r="O65" s="286">
        <f t="shared" si="9"/>
        <v>444.33600000000001</v>
      </c>
      <c r="P65" s="286">
        <f t="shared" si="9"/>
        <v>474.06185200000004</v>
      </c>
      <c r="Q65" s="286">
        <f t="shared" si="9"/>
        <v>510.98727479999997</v>
      </c>
      <c r="R65" s="286">
        <f t="shared" si="9"/>
        <v>580.38903199999993</v>
      </c>
      <c r="S65" s="438">
        <f t="shared" si="9"/>
        <v>567.72786800000006</v>
      </c>
      <c r="T65" s="267">
        <f t="shared" si="9"/>
        <v>559.52655273237201</v>
      </c>
      <c r="U65" s="267">
        <f t="shared" si="9"/>
        <v>544.41843079425098</v>
      </c>
      <c r="V65" s="267">
        <f t="shared" si="9"/>
        <v>548.95954303303211</v>
      </c>
      <c r="W65" s="267">
        <f t="shared" si="9"/>
        <v>548.03000266666663</v>
      </c>
      <c r="X65" s="267">
        <f t="shared" si="9"/>
        <v>550.29573764166685</v>
      </c>
      <c r="Y65" s="267">
        <f t="shared" si="9"/>
        <v>539.13429365802085</v>
      </c>
      <c r="Z65" s="267">
        <f t="shared" si="9"/>
        <v>519.52320399435325</v>
      </c>
      <c r="AA65" s="267">
        <f t="shared" si="9"/>
        <v>524.23669053333333</v>
      </c>
      <c r="AB65" s="267">
        <f t="shared" si="9"/>
        <v>530.83757348733354</v>
      </c>
      <c r="AC65" s="277">
        <f t="shared" si="9"/>
        <v>514.26502592434178</v>
      </c>
    </row>
    <row r="66" spans="2:58" x14ac:dyDescent="0.3">
      <c r="AM66" s="1154" t="s">
        <v>456</v>
      </c>
      <c r="AN66" s="1155"/>
      <c r="AO66" s="1104" t="s">
        <v>325</v>
      </c>
      <c r="AP66" s="1105"/>
      <c r="AQ66" s="1105"/>
      <c r="AR66" s="1105"/>
      <c r="AS66" s="1105"/>
      <c r="AT66" s="1164"/>
      <c r="AU66" s="1163" t="s">
        <v>326</v>
      </c>
      <c r="AV66" s="1163"/>
      <c r="AW66" s="1163"/>
      <c r="AX66" s="1163"/>
      <c r="AY66" s="1163"/>
      <c r="AZ66" s="1163"/>
      <c r="BA66" s="1163"/>
      <c r="BB66" s="1163"/>
    </row>
    <row r="67" spans="2:58" x14ac:dyDescent="0.3">
      <c r="AM67" s="1156"/>
      <c r="AN67" s="1157"/>
      <c r="AO67" s="472">
        <v>2019</v>
      </c>
      <c r="AP67" s="1095">
        <v>2020</v>
      </c>
      <c r="AQ67" s="1096"/>
      <c r="AR67" s="1096"/>
      <c r="AS67" s="1103"/>
      <c r="AT67" s="472">
        <v>2021</v>
      </c>
      <c r="AU67" s="1126">
        <v>2021</v>
      </c>
      <c r="AV67" s="1127"/>
      <c r="AW67" s="1128"/>
      <c r="AX67" s="1126">
        <v>2022</v>
      </c>
      <c r="AY67" s="1127"/>
      <c r="AZ67" s="1127"/>
      <c r="BA67" s="1128"/>
      <c r="BB67" s="259">
        <v>2023</v>
      </c>
    </row>
    <row r="68" spans="2:58" x14ac:dyDescent="0.3">
      <c r="AM68" s="1156"/>
      <c r="AN68" s="1157"/>
      <c r="AO68" s="450" t="s">
        <v>327</v>
      </c>
      <c r="AP68" s="153" t="s">
        <v>328</v>
      </c>
      <c r="AQ68" s="152" t="s">
        <v>329</v>
      </c>
      <c r="AR68" s="152" t="s">
        <v>238</v>
      </c>
      <c r="AS68" s="204" t="s">
        <v>327</v>
      </c>
      <c r="AT68" s="450" t="s">
        <v>328</v>
      </c>
      <c r="AU68" s="356" t="s">
        <v>329</v>
      </c>
      <c r="AV68" s="357" t="s">
        <v>238</v>
      </c>
      <c r="AW68" s="369" t="s">
        <v>327</v>
      </c>
      <c r="AX68" s="356" t="s">
        <v>328</v>
      </c>
      <c r="AY68" s="357" t="s">
        <v>329</v>
      </c>
      <c r="AZ68" s="357" t="s">
        <v>238</v>
      </c>
      <c r="BA68" s="369" t="s">
        <v>327</v>
      </c>
      <c r="BB68" s="384" t="s">
        <v>328</v>
      </c>
    </row>
    <row r="69" spans="2:58" ht="27.6" customHeight="1" x14ac:dyDescent="0.3">
      <c r="AM69" s="466" t="s">
        <v>457</v>
      </c>
      <c r="AN69" s="460"/>
      <c r="AO69" s="467">
        <v>4.8</v>
      </c>
      <c r="AP69" s="444">
        <v>3.9</v>
      </c>
      <c r="AQ69" s="444">
        <v>3.2</v>
      </c>
      <c r="AR69" s="444">
        <v>3.8</v>
      </c>
      <c r="AS69" s="444">
        <v>3.7</v>
      </c>
      <c r="AT69" s="444">
        <v>3.7</v>
      </c>
      <c r="AU69" s="473">
        <v>3.7</v>
      </c>
      <c r="AV69" s="457">
        <v>3.7</v>
      </c>
      <c r="AW69" s="457">
        <v>3.8</v>
      </c>
      <c r="AX69" s="457">
        <v>3.8</v>
      </c>
      <c r="AY69" s="457">
        <v>3.9</v>
      </c>
      <c r="AZ69" s="457">
        <v>3.9</v>
      </c>
      <c r="BA69" s="457">
        <v>4</v>
      </c>
      <c r="BB69" s="447">
        <v>4</v>
      </c>
    </row>
    <row r="70" spans="2:58" ht="27.6" customHeight="1" x14ac:dyDescent="0.3">
      <c r="AM70" s="398" t="s">
        <v>458</v>
      </c>
      <c r="AN70" s="264"/>
      <c r="AO70" s="465">
        <v>3.3969999999999998</v>
      </c>
      <c r="AP70" s="148">
        <v>4.1660000000000004</v>
      </c>
      <c r="AQ70" s="148">
        <v>-7.6660000000000004</v>
      </c>
      <c r="AR70" s="148">
        <v>-0.84299999999999997</v>
      </c>
      <c r="AS70" s="148">
        <v>2.097</v>
      </c>
      <c r="AT70" s="148">
        <v>9.5879999999999992</v>
      </c>
      <c r="AU70" s="432">
        <v>14.488</v>
      </c>
      <c r="AV70" s="252">
        <v>9.7850000000000001</v>
      </c>
      <c r="AW70" s="252">
        <v>5.202</v>
      </c>
      <c r="AX70" s="252">
        <v>5.4939999999999998</v>
      </c>
      <c r="AY70" s="252">
        <v>5.7560000000000002</v>
      </c>
      <c r="AZ70" s="252">
        <v>4.133</v>
      </c>
      <c r="BA70" s="252">
        <v>3.5270000000000001</v>
      </c>
      <c r="BB70" s="266">
        <v>3.488</v>
      </c>
    </row>
    <row r="71" spans="2:58" x14ac:dyDescent="0.3">
      <c r="AM71" s="155" t="s">
        <v>459</v>
      </c>
      <c r="AO71" s="148">
        <f t="shared" ref="AO71:AT71" si="10">AO70</f>
        <v>3.3969999999999998</v>
      </c>
      <c r="AP71" s="148">
        <f t="shared" si="10"/>
        <v>4.1660000000000004</v>
      </c>
      <c r="AQ71" s="148">
        <f t="shared" si="10"/>
        <v>-7.6660000000000004</v>
      </c>
      <c r="AR71" s="148">
        <f t="shared" si="10"/>
        <v>-0.84299999999999997</v>
      </c>
      <c r="AS71" s="148">
        <f t="shared" si="10"/>
        <v>2.097</v>
      </c>
      <c r="AT71" s="148">
        <f t="shared" si="10"/>
        <v>9.5879999999999992</v>
      </c>
      <c r="AU71" s="464">
        <f t="shared" ref="AU71:BB71" si="11">N34</f>
        <v>8.0081568848658691</v>
      </c>
      <c r="AV71" s="464">
        <f t="shared" si="11"/>
        <v>11.807223761379305</v>
      </c>
      <c r="AW71" s="464">
        <f t="shared" si="11"/>
        <v>7.3516092986590564</v>
      </c>
      <c r="AX71" s="464">
        <f t="shared" si="11"/>
        <v>10.128423587170188</v>
      </c>
      <c r="AY71" s="464">
        <f t="shared" si="11"/>
        <v>14.319485516488072</v>
      </c>
      <c r="AZ71" s="464">
        <f t="shared" si="11"/>
        <v>5.7994412576389598</v>
      </c>
      <c r="BA71" s="464">
        <f t="shared" si="11"/>
        <v>5.4144667062669631</v>
      </c>
      <c r="BB71" s="464">
        <f t="shared" si="11"/>
        <v>4.9749339639030277</v>
      </c>
    </row>
    <row r="72" spans="2:58" x14ac:dyDescent="0.3">
      <c r="AM72" s="1158" t="s">
        <v>460</v>
      </c>
      <c r="AN72" s="1159"/>
      <c r="AO72" s="465"/>
      <c r="AP72" s="148"/>
      <c r="AQ72" s="148"/>
      <c r="AR72" s="148"/>
      <c r="AS72" s="148"/>
      <c r="AT72" s="148"/>
      <c r="AU72" s="432"/>
      <c r="AV72" s="252"/>
      <c r="AW72" s="252"/>
      <c r="AX72" s="252"/>
      <c r="AY72" s="252"/>
      <c r="AZ72" s="252"/>
      <c r="BA72" s="252"/>
      <c r="BB72" s="266"/>
    </row>
    <row r="73" spans="2:58" ht="27.6" customHeight="1" x14ac:dyDescent="0.3">
      <c r="AM73" s="186" t="s">
        <v>461</v>
      </c>
      <c r="AN73" s="177"/>
      <c r="AO73" s="163">
        <v>2368</v>
      </c>
      <c r="AP73" s="158">
        <v>2391</v>
      </c>
      <c r="AQ73" s="158">
        <v>2410</v>
      </c>
      <c r="AR73" s="158">
        <v>2432</v>
      </c>
      <c r="AS73" s="158">
        <v>2455</v>
      </c>
      <c r="AT73" s="158">
        <v>2477</v>
      </c>
      <c r="AU73" s="456">
        <v>2500</v>
      </c>
      <c r="AV73" s="250">
        <v>2523</v>
      </c>
      <c r="AW73" s="250">
        <v>2546</v>
      </c>
      <c r="AX73" s="250">
        <v>2571</v>
      </c>
      <c r="AY73" s="250">
        <v>2595</v>
      </c>
      <c r="AZ73" s="250">
        <v>2621</v>
      </c>
      <c r="BA73" s="250">
        <v>2646</v>
      </c>
      <c r="BB73" s="254">
        <v>2672</v>
      </c>
    </row>
    <row r="74" spans="2:58" ht="27.6" customHeight="1" x14ac:dyDescent="0.3">
      <c r="AM74" s="186" t="s">
        <v>462</v>
      </c>
      <c r="AN74" s="177"/>
      <c r="AO74" s="284">
        <v>2357</v>
      </c>
      <c r="AP74" s="139">
        <v>2382</v>
      </c>
      <c r="AQ74" s="139">
        <v>2335</v>
      </c>
      <c r="AR74" s="139">
        <v>2330</v>
      </c>
      <c r="AS74" s="139">
        <v>2318</v>
      </c>
      <c r="AT74" s="139">
        <v>2339</v>
      </c>
      <c r="AU74" s="356">
        <v>2361</v>
      </c>
      <c r="AV74" s="357">
        <v>2379</v>
      </c>
      <c r="AW74" s="357">
        <v>2397</v>
      </c>
      <c r="AX74" s="357">
        <v>2417</v>
      </c>
      <c r="AY74" s="357">
        <v>2439</v>
      </c>
      <c r="AZ74" s="357">
        <v>2462</v>
      </c>
      <c r="BA74" s="357">
        <v>2486</v>
      </c>
      <c r="BB74" s="369">
        <v>2513</v>
      </c>
    </row>
    <row r="75" spans="2:58" ht="27.6" customHeight="1" x14ac:dyDescent="0.3">
      <c r="AM75" s="186" t="s">
        <v>463</v>
      </c>
      <c r="AN75" s="177"/>
      <c r="AO75" s="462">
        <v>2357.4</v>
      </c>
      <c r="AP75" s="426">
        <v>2381.6</v>
      </c>
      <c r="AQ75" s="426">
        <v>2334.5</v>
      </c>
      <c r="AR75" s="426">
        <v>2329.6</v>
      </c>
      <c r="AS75" s="426">
        <v>2341.6999999999998</v>
      </c>
      <c r="AT75" s="426">
        <v>2395.9</v>
      </c>
      <c r="AU75" s="453">
        <v>2478.4</v>
      </c>
      <c r="AV75" s="454">
        <v>2536.9</v>
      </c>
      <c r="AW75" s="454">
        <v>2569.3000000000002</v>
      </c>
      <c r="AX75" s="454">
        <v>2603.9</v>
      </c>
      <c r="AY75" s="454">
        <v>2640.6</v>
      </c>
      <c r="AZ75" s="454">
        <v>2667.4</v>
      </c>
      <c r="BA75" s="454">
        <v>2690.6</v>
      </c>
      <c r="BB75" s="455">
        <v>2713.8</v>
      </c>
      <c r="BC75" s="428"/>
      <c r="BD75" s="428"/>
      <c r="BE75" s="428"/>
      <c r="BF75" s="428"/>
    </row>
    <row r="76" spans="2:58" x14ac:dyDescent="0.3">
      <c r="AM76" s="1152" t="s">
        <v>464</v>
      </c>
      <c r="AN76" s="1153"/>
      <c r="AO76" s="284"/>
      <c r="AP76" s="139"/>
      <c r="AQ76" s="139"/>
      <c r="AR76" s="139"/>
      <c r="AS76" s="139"/>
      <c r="AT76" s="139"/>
      <c r="AU76" s="356"/>
      <c r="AV76" s="357"/>
      <c r="AW76" s="357"/>
      <c r="AX76" s="357"/>
      <c r="AY76" s="357"/>
      <c r="AZ76" s="357"/>
      <c r="BA76" s="357"/>
      <c r="BB76" s="369"/>
    </row>
    <row r="77" spans="2:58" ht="27.6" customHeight="1" x14ac:dyDescent="0.3">
      <c r="AM77" s="186" t="s">
        <v>461</v>
      </c>
      <c r="AN77" s="177"/>
      <c r="AO77" s="163">
        <f t="shared" ref="AO77:BB77" si="12">AO73-H65</f>
        <v>2089.828</v>
      </c>
      <c r="AP77" s="158">
        <f t="shared" si="12"/>
        <v>2105.1289999999999</v>
      </c>
      <c r="AQ77" s="158">
        <f t="shared" si="12"/>
        <v>2008.701</v>
      </c>
      <c r="AR77" s="158">
        <f t="shared" si="12"/>
        <v>2055.808</v>
      </c>
      <c r="AS77" s="158">
        <f t="shared" si="12"/>
        <v>2089.6390000000001</v>
      </c>
      <c r="AT77" s="158">
        <f t="shared" si="12"/>
        <v>2087.6590000000001</v>
      </c>
      <c r="AU77" s="456">
        <f t="shared" si="12"/>
        <v>2063.4070000000002</v>
      </c>
      <c r="AV77" s="250">
        <f t="shared" si="12"/>
        <v>2078.6639999999998</v>
      </c>
      <c r="AW77" s="250">
        <f t="shared" si="12"/>
        <v>2071.9381480000002</v>
      </c>
      <c r="AX77" s="250">
        <f t="shared" si="12"/>
        <v>2060.0127252000002</v>
      </c>
      <c r="AY77" s="250">
        <f t="shared" si="12"/>
        <v>2014.610968</v>
      </c>
      <c r="AZ77" s="250">
        <f t="shared" si="12"/>
        <v>2053.2721320000001</v>
      </c>
      <c r="BA77" s="250">
        <f t="shared" si="12"/>
        <v>2086.4734472676282</v>
      </c>
      <c r="BB77" s="254">
        <f t="shared" si="12"/>
        <v>2127.581569205749</v>
      </c>
    </row>
    <row r="78" spans="2:58" ht="27.6" customHeight="1" x14ac:dyDescent="0.3">
      <c r="AM78" s="186" t="s">
        <v>462</v>
      </c>
      <c r="AN78" s="177"/>
      <c r="AO78" s="163">
        <f t="shared" ref="AO78:BB78" si="13">AO74-H65</f>
        <v>2078.828</v>
      </c>
      <c r="AP78" s="158">
        <f t="shared" si="13"/>
        <v>2096.1289999999999</v>
      </c>
      <c r="AQ78" s="158">
        <f t="shared" si="13"/>
        <v>1933.701</v>
      </c>
      <c r="AR78" s="158">
        <f t="shared" si="13"/>
        <v>1953.808</v>
      </c>
      <c r="AS78" s="158">
        <f t="shared" si="13"/>
        <v>1952.6390000000001</v>
      </c>
      <c r="AT78" s="158">
        <f t="shared" si="13"/>
        <v>1949.6590000000001</v>
      </c>
      <c r="AU78" s="456">
        <f t="shared" si="13"/>
        <v>1924.4069999999999</v>
      </c>
      <c r="AV78" s="250">
        <f t="shared" si="13"/>
        <v>1934.664</v>
      </c>
      <c r="AW78" s="250">
        <f t="shared" si="13"/>
        <v>1922.938148</v>
      </c>
      <c r="AX78" s="250">
        <f t="shared" si="13"/>
        <v>1906.0127252</v>
      </c>
      <c r="AY78" s="250">
        <f t="shared" si="13"/>
        <v>1858.610968</v>
      </c>
      <c r="AZ78" s="250">
        <f t="shared" si="13"/>
        <v>1894.2721320000001</v>
      </c>
      <c r="BA78" s="250">
        <f t="shared" si="13"/>
        <v>1926.473447267628</v>
      </c>
      <c r="BB78" s="254">
        <f t="shared" si="13"/>
        <v>1968.581569205749</v>
      </c>
    </row>
    <row r="79" spans="2:58" ht="27.6" customHeight="1" x14ac:dyDescent="0.3">
      <c r="AM79" s="448" t="s">
        <v>463</v>
      </c>
      <c r="AN79" s="463"/>
      <c r="AO79" s="458">
        <f t="shared" ref="AO79:BB79" si="14">AO75-H65</f>
        <v>2079.2280000000001</v>
      </c>
      <c r="AP79" s="451">
        <f t="shared" si="14"/>
        <v>2095.7289999999998</v>
      </c>
      <c r="AQ79" s="451">
        <f t="shared" si="14"/>
        <v>1933.201</v>
      </c>
      <c r="AR79" s="451">
        <f t="shared" si="14"/>
        <v>1953.4079999999999</v>
      </c>
      <c r="AS79" s="451">
        <f t="shared" si="14"/>
        <v>1976.3389999999999</v>
      </c>
      <c r="AT79" s="451">
        <f t="shared" si="14"/>
        <v>2006.5590000000002</v>
      </c>
      <c r="AU79" s="459">
        <f t="shared" si="14"/>
        <v>2041.807</v>
      </c>
      <c r="AV79" s="270">
        <f t="shared" si="14"/>
        <v>2092.5640000000003</v>
      </c>
      <c r="AW79" s="270">
        <f t="shared" si="14"/>
        <v>2095.2381480000004</v>
      </c>
      <c r="AX79" s="270">
        <f t="shared" si="14"/>
        <v>2092.9127252000003</v>
      </c>
      <c r="AY79" s="270">
        <f t="shared" si="14"/>
        <v>2060.2109679999999</v>
      </c>
      <c r="AZ79" s="270">
        <f t="shared" si="14"/>
        <v>2099.6721320000001</v>
      </c>
      <c r="BA79" s="270">
        <f t="shared" si="14"/>
        <v>2131.0734472676277</v>
      </c>
      <c r="BB79" s="406">
        <f t="shared" si="14"/>
        <v>2169.3815692057492</v>
      </c>
    </row>
  </sheetData>
  <mergeCells count="41">
    <mergeCell ref="B1:AC1"/>
    <mergeCell ref="B6:C8"/>
    <mergeCell ref="E7:H7"/>
    <mergeCell ref="I7:L7"/>
    <mergeCell ref="U7:X7"/>
    <mergeCell ref="Y7:AB7"/>
    <mergeCell ref="B2:AC4"/>
    <mergeCell ref="T6:AC6"/>
    <mergeCell ref="D6:S6"/>
    <mergeCell ref="B24:AC24"/>
    <mergeCell ref="B25:AC27"/>
    <mergeCell ref="AO66:AT66"/>
    <mergeCell ref="M7:P7"/>
    <mergeCell ref="Q7:R7"/>
    <mergeCell ref="D29:S29"/>
    <mergeCell ref="AX67:BA67"/>
    <mergeCell ref="U30:X30"/>
    <mergeCell ref="U61:X61"/>
    <mergeCell ref="Y30:AB30"/>
    <mergeCell ref="Y61:AB61"/>
    <mergeCell ref="B56:AC58"/>
    <mergeCell ref="B54:AC55"/>
    <mergeCell ref="B60:C62"/>
    <mergeCell ref="I61:L61"/>
    <mergeCell ref="E30:H30"/>
    <mergeCell ref="E61:H61"/>
    <mergeCell ref="AP67:AS67"/>
    <mergeCell ref="B29:C31"/>
    <mergeCell ref="AU66:BB66"/>
    <mergeCell ref="AU67:AW67"/>
    <mergeCell ref="T29:AC29"/>
    <mergeCell ref="AM76:AN76"/>
    <mergeCell ref="AM66:AN68"/>
    <mergeCell ref="I30:L30"/>
    <mergeCell ref="M30:P30"/>
    <mergeCell ref="M61:P61"/>
    <mergeCell ref="AM72:AN72"/>
    <mergeCell ref="Q30:R30"/>
    <mergeCell ref="Q61:R61"/>
    <mergeCell ref="T60:AC60"/>
    <mergeCell ref="D60:S60"/>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51"/>
  <sheetViews>
    <sheetView topLeftCell="C1" zoomScaleNormal="100" workbookViewId="0">
      <selection activeCell="S58" sqref="S58"/>
    </sheetView>
  </sheetViews>
  <sheetFormatPr defaultColWidth="11.5546875" defaultRowHeight="14.4" x14ac:dyDescent="0.3"/>
  <cols>
    <col min="2" max="2" width="49.44140625" customWidth="1"/>
    <col min="6" max="25" width="6.44140625" customWidth="1"/>
    <col min="27" max="27" width="10.21875" customWidth="1"/>
  </cols>
  <sheetData>
    <row r="1" spans="2:29" x14ac:dyDescent="0.3">
      <c r="B1" s="1094" t="s">
        <v>52</v>
      </c>
      <c r="C1" s="1094"/>
      <c r="D1" s="1094"/>
      <c r="E1" s="1094"/>
      <c r="F1" s="1094"/>
      <c r="G1" s="1094"/>
      <c r="H1" s="1094"/>
      <c r="I1" s="1094"/>
      <c r="J1" s="1094"/>
      <c r="K1" s="1094"/>
      <c r="L1" s="1094"/>
      <c r="M1" s="1094"/>
      <c r="N1" s="1094"/>
      <c r="O1" s="1094"/>
      <c r="P1" s="1094"/>
      <c r="Q1" s="1094"/>
      <c r="R1" s="1094"/>
      <c r="S1" s="1094"/>
      <c r="T1" s="1094"/>
      <c r="U1" s="1094"/>
      <c r="V1" s="1094"/>
      <c r="W1" s="1094"/>
      <c r="X1" s="1094"/>
      <c r="Y1" s="1094"/>
      <c r="Z1" s="1094"/>
      <c r="AA1" s="1094"/>
      <c r="AB1" s="1094"/>
      <c r="AC1" s="1094"/>
    </row>
    <row r="2" spans="2:29" ht="14.7" customHeight="1" x14ac:dyDescent="0.3">
      <c r="B2" s="1122" t="s">
        <v>931</v>
      </c>
      <c r="C2" s="1122"/>
      <c r="D2" s="1122"/>
      <c r="E2" s="1122"/>
      <c r="F2" s="1122"/>
      <c r="G2" s="1122"/>
      <c r="H2" s="1122"/>
      <c r="I2" s="1122"/>
      <c r="J2" s="1122"/>
      <c r="K2" s="1122"/>
      <c r="L2" s="1122"/>
      <c r="M2" s="1122"/>
      <c r="N2" s="1122"/>
      <c r="O2" s="1122"/>
      <c r="P2" s="1122"/>
      <c r="Q2" s="1122"/>
      <c r="R2" s="1122"/>
      <c r="S2" s="1122"/>
      <c r="T2" s="1122"/>
      <c r="U2" s="1122"/>
      <c r="V2" s="1122"/>
      <c r="W2" s="1122"/>
      <c r="X2" s="1122"/>
      <c r="Y2" s="1122"/>
      <c r="Z2" s="1122"/>
      <c r="AA2" s="1122"/>
      <c r="AB2" s="1122"/>
      <c r="AC2" s="1122"/>
    </row>
    <row r="3" spans="2:29" ht="14.7" customHeight="1" x14ac:dyDescent="0.3">
      <c r="B3" s="1122"/>
      <c r="C3" s="1122"/>
      <c r="D3" s="1122"/>
      <c r="E3" s="1122"/>
      <c r="F3" s="1122"/>
      <c r="G3" s="1122"/>
      <c r="H3" s="1122"/>
      <c r="I3" s="1122"/>
      <c r="J3" s="1122"/>
      <c r="K3" s="1122"/>
      <c r="L3" s="1122"/>
      <c r="M3" s="1122"/>
      <c r="N3" s="1122"/>
      <c r="O3" s="1122"/>
      <c r="P3" s="1122"/>
      <c r="Q3" s="1122"/>
      <c r="R3" s="1122"/>
      <c r="S3" s="1122"/>
      <c r="T3" s="1122"/>
      <c r="U3" s="1122"/>
      <c r="V3" s="1122"/>
      <c r="W3" s="1122"/>
      <c r="X3" s="1122"/>
      <c r="Y3" s="1122"/>
      <c r="Z3" s="1122"/>
      <c r="AA3" s="1122"/>
      <c r="AB3" s="1122"/>
      <c r="AC3" s="1122"/>
    </row>
    <row r="4" spans="2:29" ht="5.7" customHeight="1" x14ac:dyDescent="0.3">
      <c r="B4" s="1122"/>
      <c r="C4" s="1122"/>
      <c r="D4" s="1122"/>
      <c r="E4" s="1122"/>
      <c r="F4" s="1122"/>
      <c r="G4" s="1122"/>
      <c r="H4" s="1122"/>
      <c r="I4" s="1122"/>
      <c r="J4" s="1122"/>
      <c r="K4" s="1122"/>
      <c r="L4" s="1122"/>
      <c r="M4" s="1122"/>
      <c r="N4" s="1122"/>
      <c r="O4" s="1122"/>
      <c r="P4" s="1122"/>
      <c r="Q4" s="1122"/>
      <c r="R4" s="1122"/>
      <c r="S4" s="1122"/>
      <c r="T4" s="1122"/>
      <c r="U4" s="1122"/>
      <c r="V4" s="1122"/>
      <c r="W4" s="1122"/>
      <c r="X4" s="1122"/>
      <c r="Y4" s="1122"/>
      <c r="Z4" s="1122"/>
      <c r="AA4" s="1122"/>
      <c r="AB4" s="1122"/>
      <c r="AC4" s="1122"/>
    </row>
    <row r="5" spans="2:29" ht="1.5" customHeight="1" x14ac:dyDescent="0.3">
      <c r="B5" s="1122"/>
      <c r="C5" s="1122"/>
      <c r="D5" s="1122"/>
      <c r="E5" s="1122"/>
      <c r="F5" s="1122"/>
      <c r="G5" s="1122"/>
      <c r="H5" s="1122"/>
      <c r="I5" s="1122"/>
      <c r="J5" s="1122"/>
      <c r="K5" s="1122"/>
      <c r="L5" s="1122"/>
      <c r="M5" s="1122"/>
      <c r="N5" s="1122"/>
      <c r="O5" s="1122"/>
      <c r="P5" s="1122"/>
      <c r="Q5" s="1122"/>
      <c r="R5" s="1122"/>
      <c r="S5" s="1122"/>
      <c r="T5" s="1122"/>
      <c r="U5" s="1122"/>
      <c r="V5" s="1122"/>
      <c r="W5" s="1122"/>
      <c r="X5" s="1122"/>
      <c r="Y5" s="1122"/>
      <c r="Z5" s="1122"/>
      <c r="AA5" s="1122"/>
      <c r="AB5" s="1122"/>
      <c r="AC5" s="1122"/>
    </row>
    <row r="6" spans="2:29" ht="14.7" customHeight="1" x14ac:dyDescent="0.3">
      <c r="B6" s="1122"/>
      <c r="C6" s="1122"/>
      <c r="D6" s="1122"/>
      <c r="E6" s="1122"/>
      <c r="F6" s="1122"/>
      <c r="G6" s="1122"/>
      <c r="H6" s="1122"/>
      <c r="I6" s="1122"/>
      <c r="J6" s="1122"/>
      <c r="K6" s="1122"/>
      <c r="L6" s="1122"/>
      <c r="M6" s="1122"/>
      <c r="N6" s="1122"/>
      <c r="O6" s="1122"/>
      <c r="P6" s="1122"/>
      <c r="Q6" s="1122"/>
      <c r="R6" s="1122"/>
      <c r="S6" s="1122"/>
      <c r="T6" s="1122"/>
      <c r="U6" s="1122"/>
      <c r="V6" s="1122"/>
      <c r="W6" s="1122"/>
      <c r="X6" s="1122"/>
      <c r="Y6" s="1122"/>
      <c r="Z6" s="1122"/>
      <c r="AA6" s="1122"/>
      <c r="AB6" s="1122"/>
      <c r="AC6" s="1122"/>
    </row>
    <row r="7" spans="2:29" ht="33.75" customHeight="1" x14ac:dyDescent="0.3">
      <c r="B7" s="71"/>
      <c r="C7" s="71"/>
      <c r="D7" s="71"/>
      <c r="E7" s="71"/>
      <c r="F7" s="71"/>
      <c r="G7" s="71"/>
      <c r="H7" s="71"/>
      <c r="I7" s="71"/>
      <c r="J7" s="71"/>
      <c r="K7" s="71"/>
      <c r="L7" s="71"/>
      <c r="M7" s="71"/>
      <c r="N7" s="71"/>
      <c r="O7" s="71"/>
      <c r="P7" s="71"/>
      <c r="Q7" s="71"/>
      <c r="R7" s="71"/>
      <c r="S7" s="71"/>
      <c r="T7" s="71"/>
      <c r="U7" s="71"/>
      <c r="V7" s="71"/>
      <c r="W7" s="71"/>
      <c r="X7" s="71"/>
      <c r="Y7" s="71"/>
    </row>
    <row r="8" spans="2:29" ht="14.7" customHeight="1" x14ac:dyDescent="0.3">
      <c r="B8" s="1123" t="s">
        <v>465</v>
      </c>
      <c r="C8" s="1107"/>
      <c r="D8" s="1104" t="s">
        <v>325</v>
      </c>
      <c r="E8" s="1105"/>
      <c r="F8" s="1105"/>
      <c r="G8" s="1105"/>
      <c r="H8" s="1105"/>
      <c r="I8" s="1105"/>
      <c r="J8" s="1105"/>
      <c r="K8" s="1105"/>
      <c r="L8" s="1105"/>
      <c r="M8" s="1105"/>
      <c r="N8" s="1105"/>
      <c r="O8" s="1105"/>
      <c r="P8" s="1105"/>
      <c r="Q8" s="1106"/>
      <c r="R8" s="1106"/>
      <c r="S8" s="146"/>
      <c r="T8" s="1131" t="s">
        <v>326</v>
      </c>
      <c r="U8" s="1132"/>
      <c r="V8" s="1132"/>
      <c r="W8" s="1132"/>
      <c r="X8" s="1132"/>
      <c r="Y8" s="1132"/>
      <c r="Z8" s="1132"/>
      <c r="AA8" s="1132"/>
      <c r="AB8" s="1132"/>
      <c r="AC8" s="1133"/>
    </row>
    <row r="9" spans="2:29" x14ac:dyDescent="0.3">
      <c r="B9" s="1124"/>
      <c r="C9" s="1125"/>
      <c r="D9" s="153">
        <v>2018</v>
      </c>
      <c r="E9" s="1143">
        <v>2019</v>
      </c>
      <c r="F9" s="1144"/>
      <c r="G9" s="1144"/>
      <c r="H9" s="1151"/>
      <c r="I9" s="1143">
        <v>2020</v>
      </c>
      <c r="J9" s="1144"/>
      <c r="K9" s="1144"/>
      <c r="L9" s="1144"/>
      <c r="M9" s="1143">
        <v>2021</v>
      </c>
      <c r="N9" s="1144"/>
      <c r="O9" s="1144"/>
      <c r="P9" s="1144"/>
      <c r="Q9" s="1129">
        <v>2022</v>
      </c>
      <c r="R9" s="1130"/>
      <c r="S9" s="253"/>
      <c r="T9" s="288"/>
      <c r="U9" s="1126">
        <v>2023</v>
      </c>
      <c r="V9" s="1127"/>
      <c r="W9" s="1127"/>
      <c r="X9" s="1127"/>
      <c r="Y9" s="1126">
        <v>2024</v>
      </c>
      <c r="Z9" s="1127"/>
      <c r="AA9" s="1127"/>
      <c r="AB9" s="1128"/>
      <c r="AC9" s="259">
        <v>2025</v>
      </c>
    </row>
    <row r="10" spans="2:29" x14ac:dyDescent="0.3">
      <c r="B10" s="1135"/>
      <c r="C10" s="1136"/>
      <c r="D10" s="153" t="s">
        <v>327</v>
      </c>
      <c r="E10" s="153" t="s">
        <v>328</v>
      </c>
      <c r="F10" s="152" t="s">
        <v>329</v>
      </c>
      <c r="G10" s="152" t="s">
        <v>238</v>
      </c>
      <c r="H10" s="204" t="s">
        <v>327</v>
      </c>
      <c r="I10" s="152" t="s">
        <v>328</v>
      </c>
      <c r="J10" s="152" t="s">
        <v>329</v>
      </c>
      <c r="K10" s="152" t="s">
        <v>238</v>
      </c>
      <c r="L10" s="152" t="s">
        <v>327</v>
      </c>
      <c r="M10" s="153" t="s">
        <v>328</v>
      </c>
      <c r="N10" s="152" t="s">
        <v>329</v>
      </c>
      <c r="O10" s="152" t="s">
        <v>238</v>
      </c>
      <c r="P10" s="152" t="s">
        <v>327</v>
      </c>
      <c r="Q10" s="153" t="s">
        <v>328</v>
      </c>
      <c r="R10" s="152" t="s">
        <v>329</v>
      </c>
      <c r="S10" s="204" t="s">
        <v>238</v>
      </c>
      <c r="T10" s="369" t="s">
        <v>327</v>
      </c>
      <c r="U10" s="356" t="s">
        <v>328</v>
      </c>
      <c r="V10" s="357" t="s">
        <v>329</v>
      </c>
      <c r="W10" s="357" t="s">
        <v>238</v>
      </c>
      <c r="X10" s="357" t="s">
        <v>327</v>
      </c>
      <c r="Y10" s="356" t="s">
        <v>328</v>
      </c>
      <c r="Z10" s="250" t="s">
        <v>329</v>
      </c>
      <c r="AA10" s="357" t="s">
        <v>238</v>
      </c>
      <c r="AB10" s="369" t="s">
        <v>327</v>
      </c>
      <c r="AC10" s="384" t="s">
        <v>328</v>
      </c>
    </row>
    <row r="11" spans="2:29" x14ac:dyDescent="0.3">
      <c r="B11" s="419" t="s">
        <v>937</v>
      </c>
      <c r="C11" s="71" t="s">
        <v>586</v>
      </c>
      <c r="D11" s="480"/>
      <c r="E11" s="481"/>
      <c r="F11" s="485">
        <v>60.5</v>
      </c>
      <c r="G11" s="485">
        <v>81.400000000000006</v>
      </c>
      <c r="H11" s="485">
        <f>'Haver Pivoted'!GS42</f>
        <v>82.1</v>
      </c>
      <c r="I11" s="485">
        <f>'Haver Pivoted'!GT42</f>
        <v>80</v>
      </c>
      <c r="J11" s="485">
        <f>'Haver Pivoted'!GU42</f>
        <v>975.7</v>
      </c>
      <c r="K11" s="485">
        <f>'Haver Pivoted'!GV42</f>
        <v>1108.8</v>
      </c>
      <c r="L11" s="485">
        <f>'Haver Pivoted'!GW42</f>
        <v>462.2</v>
      </c>
      <c r="M11" s="485">
        <f>'Haver Pivoted'!GX42</f>
        <v>387.4</v>
      </c>
      <c r="N11" s="485">
        <f>'Haver Pivoted'!GY42</f>
        <v>693.9</v>
      </c>
      <c r="O11" s="485">
        <f>'Haver Pivoted'!GZ42</f>
        <v>545.6</v>
      </c>
      <c r="P11" s="485">
        <f>'Haver Pivoted'!HA42</f>
        <v>288.3</v>
      </c>
      <c r="Q11" s="485">
        <f>'Haver Pivoted'!HB42</f>
        <v>144.5</v>
      </c>
      <c r="R11" s="485">
        <f>'Haver Pivoted'!HC42</f>
        <v>122.9</v>
      </c>
      <c r="S11" s="483">
        <f>'Haver Pivoted'!HD42</f>
        <v>113.4</v>
      </c>
      <c r="T11" s="498">
        <f t="shared" ref="T11:AC11" si="0">T12+T13</f>
        <v>88.50800000000001</v>
      </c>
      <c r="U11" s="524">
        <f t="shared" si="0"/>
        <v>88.50800000000001</v>
      </c>
      <c r="V11" s="524">
        <f t="shared" si="0"/>
        <v>88.50800000000001</v>
      </c>
      <c r="W11" s="524">
        <f t="shared" si="0"/>
        <v>88.50800000000001</v>
      </c>
      <c r="X11" s="524">
        <f t="shared" si="0"/>
        <v>85.631</v>
      </c>
      <c r="Y11" s="524">
        <f t="shared" si="0"/>
        <v>85.631</v>
      </c>
      <c r="Z11" s="524">
        <f t="shared" si="0"/>
        <v>85.631</v>
      </c>
      <c r="AA11" s="524">
        <f t="shared" si="0"/>
        <v>85.631</v>
      </c>
      <c r="AB11" s="524">
        <f t="shared" si="0"/>
        <v>90.463999999999999</v>
      </c>
      <c r="AC11" s="519">
        <f t="shared" si="0"/>
        <v>90.463999999999999</v>
      </c>
    </row>
    <row r="12" spans="2:29" ht="16.5" customHeight="1" x14ac:dyDescent="0.3">
      <c r="B12" s="400" t="s">
        <v>466</v>
      </c>
      <c r="C12" s="71"/>
      <c r="D12" s="419"/>
      <c r="E12" s="71"/>
      <c r="F12" s="70">
        <f>F11</f>
        <v>60.5</v>
      </c>
      <c r="G12" s="70">
        <f>G11</f>
        <v>81.400000000000006</v>
      </c>
      <c r="H12" s="70">
        <f t="shared" ref="H12:M12" si="1">H11-H13</f>
        <v>82.1</v>
      </c>
      <c r="I12" s="70">
        <f t="shared" si="1"/>
        <v>80</v>
      </c>
      <c r="J12" s="70">
        <f>J11-J13</f>
        <v>-13.799999999999955</v>
      </c>
      <c r="K12" s="70">
        <f t="shared" si="1"/>
        <v>-17.799999999999955</v>
      </c>
      <c r="L12" s="70">
        <f>L11-L13</f>
        <v>-76.200000000000102</v>
      </c>
      <c r="M12" s="70">
        <f t="shared" si="1"/>
        <v>79.599999999999966</v>
      </c>
      <c r="N12" s="70">
        <f t="shared" ref="N12:S12" si="2">N11-N13</f>
        <v>90.299999999999955</v>
      </c>
      <c r="O12" s="70">
        <f t="shared" si="2"/>
        <v>89.583520000000021</v>
      </c>
      <c r="P12" s="70">
        <f t="shared" si="2"/>
        <v>83.4</v>
      </c>
      <c r="Q12" s="70">
        <f t="shared" si="2"/>
        <v>83.8</v>
      </c>
      <c r="R12" s="70">
        <f t="shared" si="2"/>
        <v>69.400000000000006</v>
      </c>
      <c r="S12" s="302">
        <f t="shared" si="2"/>
        <v>70.7</v>
      </c>
      <c r="T12" s="499">
        <f t="shared" ref="T12:AC12" si="3">AVERAGE($F$11:$I$11)</f>
        <v>76</v>
      </c>
      <c r="U12" s="312">
        <f t="shared" si="3"/>
        <v>76</v>
      </c>
      <c r="V12" s="312">
        <f t="shared" si="3"/>
        <v>76</v>
      </c>
      <c r="W12" s="312">
        <f t="shared" si="3"/>
        <v>76</v>
      </c>
      <c r="X12" s="312">
        <f t="shared" si="3"/>
        <v>76</v>
      </c>
      <c r="Y12" s="312">
        <f t="shared" si="3"/>
        <v>76</v>
      </c>
      <c r="Z12" s="312">
        <f t="shared" si="3"/>
        <v>76</v>
      </c>
      <c r="AA12" s="312">
        <f t="shared" si="3"/>
        <v>76</v>
      </c>
      <c r="AB12" s="312">
        <f t="shared" si="3"/>
        <v>76</v>
      </c>
      <c r="AC12" s="387">
        <f t="shared" si="3"/>
        <v>76</v>
      </c>
    </row>
    <row r="13" spans="2:29" x14ac:dyDescent="0.3">
      <c r="B13" s="399" t="s">
        <v>467</v>
      </c>
      <c r="C13" s="71"/>
      <c r="D13" s="419"/>
      <c r="E13" s="71"/>
      <c r="F13" s="492"/>
      <c r="G13" s="492"/>
      <c r="H13" s="70">
        <f>SUM(H16:H25)</f>
        <v>0</v>
      </c>
      <c r="I13" s="70">
        <f>SUM(I16:I25)</f>
        <v>0</v>
      </c>
      <c r="J13" s="70">
        <f t="shared" ref="J13:S13" si="4">SUM(J16:J25)+J14</f>
        <v>989.5</v>
      </c>
      <c r="K13" s="70">
        <f t="shared" si="4"/>
        <v>1126.5999999999999</v>
      </c>
      <c r="L13" s="70">
        <f t="shared" si="4"/>
        <v>538.40000000000009</v>
      </c>
      <c r="M13" s="70">
        <f t="shared" si="4"/>
        <v>307.8</v>
      </c>
      <c r="N13" s="52">
        <f t="shared" si="4"/>
        <v>603.6</v>
      </c>
      <c r="O13" s="52">
        <f>SUM(O16:O25)+O14</f>
        <v>456.01648</v>
      </c>
      <c r="P13" s="52">
        <f>SUM(P16:P25)+P14</f>
        <v>204.9</v>
      </c>
      <c r="Q13" s="52">
        <f t="shared" si="4"/>
        <v>60.7</v>
      </c>
      <c r="R13" s="52">
        <f t="shared" si="4"/>
        <v>53.5</v>
      </c>
      <c r="S13" s="330">
        <f t="shared" si="4"/>
        <v>42.7</v>
      </c>
      <c r="T13" s="499">
        <f t="shared" ref="T13:AC13" si="5">SUM(T16:T27)+T14</f>
        <v>12.508000000000003</v>
      </c>
      <c r="U13" s="312">
        <f t="shared" si="5"/>
        <v>12.508000000000003</v>
      </c>
      <c r="V13" s="312">
        <f t="shared" si="5"/>
        <v>12.508000000000003</v>
      </c>
      <c r="W13" s="312">
        <f t="shared" si="5"/>
        <v>12.508000000000003</v>
      </c>
      <c r="X13" s="312">
        <f t="shared" si="5"/>
        <v>9.6310000000000002</v>
      </c>
      <c r="Y13" s="312">
        <f t="shared" si="5"/>
        <v>9.6310000000000002</v>
      </c>
      <c r="Z13" s="312">
        <f t="shared" si="5"/>
        <v>9.6310000000000002</v>
      </c>
      <c r="AA13" s="312">
        <f t="shared" si="5"/>
        <v>9.6310000000000002</v>
      </c>
      <c r="AB13" s="312">
        <f t="shared" si="5"/>
        <v>14.464</v>
      </c>
      <c r="AC13" s="387">
        <f t="shared" si="5"/>
        <v>14.464</v>
      </c>
    </row>
    <row r="14" spans="2:29" x14ac:dyDescent="0.3">
      <c r="B14" s="397" t="s">
        <v>50</v>
      </c>
      <c r="C14" s="51" t="s">
        <v>377</v>
      </c>
      <c r="D14" s="339"/>
      <c r="E14" s="51"/>
      <c r="F14" s="70"/>
      <c r="G14" s="70"/>
      <c r="H14" s="70">
        <f>'Haver Pivoted'!GS49</f>
        <v>0</v>
      </c>
      <c r="I14" s="70">
        <f>'Haver Pivoted'!GT49</f>
        <v>0</v>
      </c>
      <c r="J14" s="70">
        <f>'Haver Pivoted'!GU49</f>
        <v>576.9</v>
      </c>
      <c r="K14" s="70">
        <f>'Haver Pivoted'!GV49</f>
        <v>819.5</v>
      </c>
      <c r="L14" s="70">
        <f>'Haver Pivoted'!GW49</f>
        <v>246.3</v>
      </c>
      <c r="M14" s="70">
        <f>'Haver Pivoted'!GX49</f>
        <v>197</v>
      </c>
      <c r="N14" s="70">
        <f>'Haver Pivoted'!GY49</f>
        <v>441.2</v>
      </c>
      <c r="O14" s="70">
        <f>'Haver Pivoted'!GZ49</f>
        <v>276.7</v>
      </c>
      <c r="P14" s="70">
        <f>'Haver Pivoted'!HA49</f>
        <v>28.2</v>
      </c>
      <c r="Q14" s="70">
        <f>'Haver Pivoted'!HB49</f>
        <v>0</v>
      </c>
      <c r="R14" s="70">
        <f>'Haver Pivoted'!HC49</f>
        <v>0</v>
      </c>
      <c r="S14" s="302">
        <f>'Haver Pivoted'!HD49</f>
        <v>0</v>
      </c>
      <c r="T14" s="499"/>
      <c r="U14" s="312"/>
      <c r="V14" s="312"/>
      <c r="W14" s="312"/>
      <c r="X14" s="312"/>
      <c r="Y14" s="312"/>
      <c r="Z14" s="500"/>
      <c r="AA14" s="500"/>
      <c r="AB14" s="500"/>
      <c r="AC14" s="520"/>
    </row>
    <row r="15" spans="2:29" x14ac:dyDescent="0.3">
      <c r="B15" s="399" t="s">
        <v>468</v>
      </c>
      <c r="C15" s="71"/>
      <c r="D15" s="419"/>
      <c r="E15" s="71"/>
      <c r="F15" s="492"/>
      <c r="G15" s="492"/>
      <c r="H15" s="70">
        <f t="shared" ref="H15:AC15" si="6">SUM(H16:H25)</f>
        <v>0</v>
      </c>
      <c r="I15" s="70">
        <f t="shared" si="6"/>
        <v>0</v>
      </c>
      <c r="J15" s="70">
        <f t="shared" si="6"/>
        <v>412.6</v>
      </c>
      <c r="K15" s="70">
        <f t="shared" si="6"/>
        <v>307.10000000000002</v>
      </c>
      <c r="L15" s="70">
        <f t="shared" si="6"/>
        <v>292.10000000000002</v>
      </c>
      <c r="M15" s="70">
        <f t="shared" si="6"/>
        <v>110.8</v>
      </c>
      <c r="N15" s="70">
        <f t="shared" si="6"/>
        <v>162.4</v>
      </c>
      <c r="O15" s="70">
        <f t="shared" si="6"/>
        <v>179.31648000000001</v>
      </c>
      <c r="P15" s="70">
        <f>SUM(P16:P25)</f>
        <v>176.70000000000002</v>
      </c>
      <c r="Q15" s="70">
        <f t="shared" si="6"/>
        <v>60.7</v>
      </c>
      <c r="R15" s="70">
        <f t="shared" si="6"/>
        <v>53.5</v>
      </c>
      <c r="S15" s="484">
        <f t="shared" si="6"/>
        <v>42.7</v>
      </c>
      <c r="T15" s="501">
        <f t="shared" si="6"/>
        <v>8.886000000000001</v>
      </c>
      <c r="U15" s="502">
        <f t="shared" si="6"/>
        <v>8.886000000000001</v>
      </c>
      <c r="V15" s="502">
        <f t="shared" si="6"/>
        <v>8.886000000000001</v>
      </c>
      <c r="W15" s="502">
        <f t="shared" si="6"/>
        <v>8.886000000000001</v>
      </c>
      <c r="X15" s="502">
        <f t="shared" si="6"/>
        <v>0.2</v>
      </c>
      <c r="Y15" s="502">
        <f t="shared" si="6"/>
        <v>0.2</v>
      </c>
      <c r="Z15" s="502">
        <f t="shared" si="6"/>
        <v>0.2</v>
      </c>
      <c r="AA15" s="502">
        <f t="shared" si="6"/>
        <v>0.2</v>
      </c>
      <c r="AB15" s="502">
        <f t="shared" si="6"/>
        <v>0</v>
      </c>
      <c r="AC15" s="526">
        <f t="shared" si="6"/>
        <v>0</v>
      </c>
    </row>
    <row r="16" spans="2:29" x14ac:dyDescent="0.3">
      <c r="B16" s="515" t="s">
        <v>145</v>
      </c>
      <c r="C16" s="54" t="s">
        <v>469</v>
      </c>
      <c r="D16" s="416"/>
      <c r="E16" s="54"/>
      <c r="F16" s="70"/>
      <c r="G16" s="70"/>
      <c r="H16" s="70">
        <f>'Haver Pivoted'!GS53</f>
        <v>0</v>
      </c>
      <c r="I16" s="70">
        <f>'Haver Pivoted'!GT53</f>
        <v>0</v>
      </c>
      <c r="J16" s="70">
        <f>'Haver Pivoted'!GU53</f>
        <v>16.899999999999999</v>
      </c>
      <c r="K16" s="70">
        <f>'Haver Pivoted'!GV53</f>
        <v>18.399999999999999</v>
      </c>
      <c r="L16" s="70">
        <f>'Haver Pivoted'!GW53</f>
        <v>46.2</v>
      </c>
      <c r="M16" s="70">
        <f>'Haver Pivoted'!GX53</f>
        <v>0.9</v>
      </c>
      <c r="N16" s="70">
        <f>'Haver Pivoted'!GY53</f>
        <v>14.1</v>
      </c>
      <c r="O16" s="70">
        <f>'Haver Pivoted'!GZ53</f>
        <v>8.6</v>
      </c>
      <c r="P16" s="70">
        <f>'Haver Pivoted'!HA53</f>
        <v>1.2</v>
      </c>
      <c r="Q16" s="70">
        <f>'Haver Pivoted'!HB53</f>
        <v>0.6</v>
      </c>
      <c r="R16" s="70">
        <f>'Haver Pivoted'!HC53</f>
        <v>0</v>
      </c>
      <c r="S16" s="302">
        <f>'Haver Pivoted'!HD53</f>
        <v>0</v>
      </c>
      <c r="T16" s="499"/>
      <c r="U16" s="312"/>
      <c r="V16" s="503"/>
      <c r="W16" s="503"/>
      <c r="X16" s="503"/>
      <c r="Y16" s="503"/>
      <c r="Z16" s="500"/>
      <c r="AA16" s="500"/>
      <c r="AB16" s="500"/>
      <c r="AC16" s="520"/>
    </row>
    <row r="17" spans="2:29" x14ac:dyDescent="0.3">
      <c r="B17" s="515" t="s">
        <v>143</v>
      </c>
      <c r="C17" s="54" t="s">
        <v>470</v>
      </c>
      <c r="D17" s="416"/>
      <c r="E17" s="54"/>
      <c r="F17" s="70"/>
      <c r="G17" s="70"/>
      <c r="H17" s="70">
        <f>'Haver Pivoted'!GS51</f>
        <v>0</v>
      </c>
      <c r="I17" s="70">
        <f>'Haver Pivoted'!GT51</f>
        <v>0</v>
      </c>
      <c r="J17" s="70">
        <f>'Haver Pivoted'!GU51</f>
        <v>73.3</v>
      </c>
      <c r="K17" s="70">
        <f>'Haver Pivoted'!GV51</f>
        <v>73.3</v>
      </c>
      <c r="L17" s="70">
        <f>'Haver Pivoted'!GW51</f>
        <v>73.3</v>
      </c>
      <c r="M17" s="70">
        <f>'Haver Pivoted'!GX51</f>
        <v>39.799999999999997</v>
      </c>
      <c r="N17" s="70">
        <f>'Haver Pivoted'!GY51</f>
        <v>43</v>
      </c>
      <c r="O17" s="70">
        <f>'Haver Pivoted'!GZ51</f>
        <v>45.7</v>
      </c>
      <c r="P17" s="70">
        <f>'Haver Pivoted'!HA51</f>
        <v>51.5</v>
      </c>
      <c r="Q17" s="70">
        <f>'Haver Pivoted'!HB51</f>
        <v>0</v>
      </c>
      <c r="R17" s="70">
        <f>'Haver Pivoted'!HC51</f>
        <v>0</v>
      </c>
      <c r="S17" s="302">
        <f>'Haver Pivoted'!HD51</f>
        <v>0</v>
      </c>
      <c r="T17" s="499">
        <f t="shared" ref="T17:AC17" si="7">S17</f>
        <v>0</v>
      </c>
      <c r="U17" s="312">
        <f t="shared" si="7"/>
        <v>0</v>
      </c>
      <c r="V17" s="312">
        <f t="shared" si="7"/>
        <v>0</v>
      </c>
      <c r="W17" s="312">
        <f t="shared" si="7"/>
        <v>0</v>
      </c>
      <c r="X17" s="312">
        <f t="shared" si="7"/>
        <v>0</v>
      </c>
      <c r="Y17" s="312">
        <f t="shared" si="7"/>
        <v>0</v>
      </c>
      <c r="Z17" s="312">
        <f t="shared" si="7"/>
        <v>0</v>
      </c>
      <c r="AA17" s="312">
        <f t="shared" si="7"/>
        <v>0</v>
      </c>
      <c r="AB17" s="312">
        <f t="shared" si="7"/>
        <v>0</v>
      </c>
      <c r="AC17" s="387">
        <f t="shared" si="7"/>
        <v>0</v>
      </c>
    </row>
    <row r="18" spans="2:29" x14ac:dyDescent="0.3">
      <c r="B18" s="515" t="s">
        <v>142</v>
      </c>
      <c r="C18" s="51" t="s">
        <v>471</v>
      </c>
      <c r="D18" s="339"/>
      <c r="E18" s="51"/>
      <c r="F18" s="70"/>
      <c r="G18" s="70"/>
      <c r="H18" s="70">
        <f>'Haver Pivoted'!GS50</f>
        <v>0</v>
      </c>
      <c r="I18" s="70">
        <f>'Haver Pivoted'!GT50</f>
        <v>0</v>
      </c>
      <c r="J18" s="70">
        <f>'Haver Pivoted'!GU50</f>
        <v>63.8</v>
      </c>
      <c r="K18" s="70">
        <f>'Haver Pivoted'!GV50</f>
        <v>15</v>
      </c>
      <c r="L18" s="70">
        <f>'Haver Pivoted'!GW50</f>
        <v>0.1</v>
      </c>
      <c r="M18" s="70">
        <f>'Haver Pivoted'!GX50</f>
        <v>38</v>
      </c>
      <c r="N18" s="70">
        <f>'Haver Pivoted'!GY50</f>
        <v>47.3</v>
      </c>
      <c r="O18" s="70">
        <f>'Haver Pivoted'!GZ50</f>
        <v>0.7</v>
      </c>
      <c r="P18" s="70">
        <f>'Haver Pivoted'!HA50</f>
        <v>0</v>
      </c>
      <c r="Q18" s="70">
        <f>'Haver Pivoted'!HB50</f>
        <v>0.3</v>
      </c>
      <c r="R18" s="70">
        <f>'Haver Pivoted'!HC50</f>
        <v>0.2</v>
      </c>
      <c r="S18" s="302">
        <f>'Haver Pivoted'!HD50</f>
        <v>0.3</v>
      </c>
      <c r="T18" s="499">
        <f t="shared" ref="T18:AC18" si="8">T30</f>
        <v>0</v>
      </c>
      <c r="U18" s="312">
        <f t="shared" si="8"/>
        <v>0</v>
      </c>
      <c r="V18" s="312">
        <f t="shared" si="8"/>
        <v>0</v>
      </c>
      <c r="W18" s="312">
        <f t="shared" si="8"/>
        <v>0</v>
      </c>
      <c r="X18" s="312">
        <f t="shared" si="8"/>
        <v>0</v>
      </c>
      <c r="Y18" s="312">
        <f t="shared" si="8"/>
        <v>0</v>
      </c>
      <c r="Z18" s="312">
        <f t="shared" si="8"/>
        <v>0</v>
      </c>
      <c r="AA18" s="312">
        <f t="shared" si="8"/>
        <v>0</v>
      </c>
      <c r="AB18" s="312">
        <f t="shared" si="8"/>
        <v>0</v>
      </c>
      <c r="AC18" s="387">
        <f t="shared" si="8"/>
        <v>0</v>
      </c>
    </row>
    <row r="19" spans="2:29" x14ac:dyDescent="0.3">
      <c r="B19" s="515" t="s">
        <v>472</v>
      </c>
      <c r="C19" s="51" t="s">
        <v>357</v>
      </c>
      <c r="D19" s="339"/>
      <c r="E19" s="51"/>
      <c r="F19" s="70"/>
      <c r="G19" s="70"/>
      <c r="H19" s="70">
        <f>'Haver Pivoted'!GS54</f>
        <v>0</v>
      </c>
      <c r="I19" s="70">
        <f>'Haver Pivoted'!GT54</f>
        <v>0</v>
      </c>
      <c r="J19" s="70">
        <f>'Haver Pivoted'!GU54</f>
        <v>96.6</v>
      </c>
      <c r="K19" s="70">
        <f>'Haver Pivoted'!GV54</f>
        <v>35.1</v>
      </c>
      <c r="L19" s="70">
        <f>'Haver Pivoted'!GW54</f>
        <v>20.7</v>
      </c>
      <c r="M19" s="70">
        <f>'Haver Pivoted'!GX54</f>
        <v>15.4</v>
      </c>
      <c r="N19" s="70">
        <f>'Haver Pivoted'!GY54</f>
        <v>9.6</v>
      </c>
      <c r="O19" s="70">
        <f>'Haver Pivoted'!GZ54</f>
        <v>13.5</v>
      </c>
      <c r="P19" s="70">
        <f>'Haver Pivoted'!HA54</f>
        <v>23.2</v>
      </c>
      <c r="Q19" s="70">
        <f>'Haver Pivoted'!HB54</f>
        <v>19.3</v>
      </c>
      <c r="R19" s="70">
        <f>'Haver Pivoted'!HC54</f>
        <v>14.4</v>
      </c>
      <c r="S19" s="302">
        <f>'Haver Pivoted'!HD54</f>
        <v>5.9</v>
      </c>
      <c r="T19" s="499">
        <f>'Provider Relief'!T13</f>
        <v>0</v>
      </c>
      <c r="U19" s="312"/>
      <c r="V19" s="312"/>
      <c r="W19" s="312"/>
      <c r="X19" s="312"/>
      <c r="Y19" s="312"/>
      <c r="Z19" s="500"/>
      <c r="AA19" s="500"/>
      <c r="AB19" s="500"/>
      <c r="AC19" s="520"/>
    </row>
    <row r="20" spans="2:29" x14ac:dyDescent="0.3">
      <c r="B20" s="515" t="s">
        <v>144</v>
      </c>
      <c r="C20" s="51" t="s">
        <v>473</v>
      </c>
      <c r="D20" s="339"/>
      <c r="E20" s="51"/>
      <c r="F20" s="70"/>
      <c r="G20" s="70"/>
      <c r="H20" s="70">
        <f>'Haver Pivoted'!GS52</f>
        <v>0</v>
      </c>
      <c r="I20" s="70">
        <f>'Haver Pivoted'!GT52</f>
        <v>0</v>
      </c>
      <c r="J20" s="70">
        <f>'Haver Pivoted'!GU52</f>
        <v>22</v>
      </c>
      <c r="K20" s="70">
        <f>'Haver Pivoted'!GV52</f>
        <v>25.3</v>
      </c>
      <c r="L20" s="70">
        <f>'Haver Pivoted'!GW52</f>
        <v>11.8</v>
      </c>
      <c r="M20" s="70">
        <f>'Haver Pivoted'!GX52</f>
        <v>11.9</v>
      </c>
      <c r="N20" s="70">
        <f>'Haver Pivoted'!GY52</f>
        <v>11.3</v>
      </c>
      <c r="O20" s="70">
        <f>'Haver Pivoted'!GZ52</f>
        <v>13.6</v>
      </c>
      <c r="P20" s="70">
        <f>'Haver Pivoted'!HA52</f>
        <v>19</v>
      </c>
      <c r="Q20" s="70">
        <f>'Haver Pivoted'!HB52</f>
        <v>21.8</v>
      </c>
      <c r="R20" s="70">
        <f>'Haver Pivoted'!HC52</f>
        <v>22.3</v>
      </c>
      <c r="S20" s="302">
        <f>'Haver Pivoted'!HD52</f>
        <v>20.2</v>
      </c>
      <c r="T20" s="499">
        <f t="shared" ref="T20:AC20" si="9">T37</f>
        <v>0.48599999999999993</v>
      </c>
      <c r="U20" s="312">
        <f t="shared" si="9"/>
        <v>0.48599999999999993</v>
      </c>
      <c r="V20" s="312">
        <f t="shared" si="9"/>
        <v>0.48599999999999993</v>
      </c>
      <c r="W20" s="312">
        <f t="shared" si="9"/>
        <v>0.48599999999999993</v>
      </c>
      <c r="X20" s="312">
        <f t="shared" si="9"/>
        <v>0</v>
      </c>
      <c r="Y20" s="312">
        <f t="shared" si="9"/>
        <v>0</v>
      </c>
      <c r="Z20" s="312">
        <f t="shared" si="9"/>
        <v>0</v>
      </c>
      <c r="AA20" s="312">
        <f t="shared" si="9"/>
        <v>0</v>
      </c>
      <c r="AB20" s="312">
        <f t="shared" si="9"/>
        <v>0</v>
      </c>
      <c r="AC20" s="387">
        <f t="shared" si="9"/>
        <v>0</v>
      </c>
    </row>
    <row r="21" spans="2:29" x14ac:dyDescent="0.3">
      <c r="B21" s="515" t="s">
        <v>148</v>
      </c>
      <c r="C21" s="51" t="s">
        <v>474</v>
      </c>
      <c r="D21" s="339"/>
      <c r="E21" s="51"/>
      <c r="F21" s="70"/>
      <c r="G21" s="70"/>
      <c r="H21" s="70">
        <f>'Haver Pivoted'!GS55</f>
        <v>0</v>
      </c>
      <c r="I21" s="70">
        <f>'Haver Pivoted'!GT55</f>
        <v>0</v>
      </c>
      <c r="J21" s="70">
        <f>'Haver Pivoted'!GU55</f>
        <v>140</v>
      </c>
      <c r="K21" s="70">
        <f>'Haver Pivoted'!GV55</f>
        <v>140</v>
      </c>
      <c r="L21" s="70">
        <f>'Haver Pivoted'!GW55</f>
        <v>140</v>
      </c>
      <c r="M21" s="70">
        <f>'Haver Pivoted'!GX55</f>
        <v>4.8</v>
      </c>
      <c r="N21" s="70">
        <f>'Haver Pivoted'!GY55</f>
        <v>4.4000000000000004</v>
      </c>
      <c r="O21" s="70">
        <f>'Haver Pivoted'!GZ55</f>
        <v>5.3</v>
      </c>
      <c r="P21" s="70">
        <f>'Haver Pivoted'!HA55</f>
        <v>4.7</v>
      </c>
      <c r="Q21" s="70">
        <f>'Haver Pivoted'!HB55</f>
        <v>0</v>
      </c>
      <c r="R21" s="70">
        <f>'Haver Pivoted'!HC55</f>
        <v>0</v>
      </c>
      <c r="S21" s="302">
        <f>'Haver Pivoted'!HD55</f>
        <v>0</v>
      </c>
      <c r="T21" s="499">
        <f t="shared" ref="T21:AC21" si="10">S21</f>
        <v>0</v>
      </c>
      <c r="U21" s="312">
        <f t="shared" si="10"/>
        <v>0</v>
      </c>
      <c r="V21" s="312">
        <f t="shared" si="10"/>
        <v>0</v>
      </c>
      <c r="W21" s="312">
        <f t="shared" si="10"/>
        <v>0</v>
      </c>
      <c r="X21" s="312">
        <f t="shared" si="10"/>
        <v>0</v>
      </c>
      <c r="Y21" s="312">
        <f t="shared" si="10"/>
        <v>0</v>
      </c>
      <c r="Z21" s="312">
        <f t="shared" si="10"/>
        <v>0</v>
      </c>
      <c r="AA21" s="312">
        <f t="shared" si="10"/>
        <v>0</v>
      </c>
      <c r="AB21" s="312">
        <f t="shared" si="10"/>
        <v>0</v>
      </c>
      <c r="AC21" s="387">
        <f t="shared" si="10"/>
        <v>0</v>
      </c>
    </row>
    <row r="22" spans="2:29" x14ac:dyDescent="0.3">
      <c r="B22" s="515" t="s">
        <v>475</v>
      </c>
      <c r="C22" s="51" t="s">
        <v>854</v>
      </c>
      <c r="D22" s="307"/>
      <c r="E22" s="70"/>
      <c r="F22" s="70"/>
      <c r="G22" s="70"/>
      <c r="H22" s="70"/>
      <c r="I22" s="70"/>
      <c r="J22" s="70"/>
      <c r="K22" s="70"/>
      <c r="L22" s="70"/>
      <c r="M22" s="70"/>
      <c r="N22" s="70">
        <f>'Haver Pivoted'!GY87</f>
        <v>11.3</v>
      </c>
      <c r="O22" s="70">
        <f>'Haver Pivoted'!GZ87</f>
        <v>10.4</v>
      </c>
      <c r="P22" s="70">
        <f>'Haver Pivoted'!HA87</f>
        <v>5.3</v>
      </c>
      <c r="Q22" s="70">
        <f>'Haver Pivoted'!HB87</f>
        <v>2.4</v>
      </c>
      <c r="R22" s="70">
        <f>'Haver Pivoted'!HC87</f>
        <v>0.3</v>
      </c>
      <c r="S22" s="302">
        <f>'Haver Pivoted'!HD87</f>
        <v>0</v>
      </c>
      <c r="T22" s="499">
        <v>0</v>
      </c>
      <c r="U22" s="312">
        <v>0</v>
      </c>
      <c r="V22" s="312">
        <v>0</v>
      </c>
      <c r="W22" s="312">
        <v>0</v>
      </c>
      <c r="X22" s="312">
        <v>0</v>
      </c>
      <c r="Y22" s="312">
        <v>0</v>
      </c>
      <c r="Z22" s="312">
        <v>0</v>
      </c>
      <c r="AA22" s="312">
        <v>0</v>
      </c>
      <c r="AB22" s="312">
        <v>0</v>
      </c>
      <c r="AC22" s="387">
        <v>0</v>
      </c>
    </row>
    <row r="23" spans="2:29" x14ac:dyDescent="0.3">
      <c r="B23" s="515" t="s">
        <v>476</v>
      </c>
      <c r="C23" s="51" t="s">
        <v>853</v>
      </c>
      <c r="D23" s="339"/>
      <c r="E23" s="51"/>
      <c r="F23" s="70"/>
      <c r="G23" s="493"/>
      <c r="H23" s="70"/>
      <c r="I23" s="70"/>
      <c r="J23" s="70"/>
      <c r="K23" s="70"/>
      <c r="L23" s="70"/>
      <c r="M23" s="70"/>
      <c r="N23" s="70">
        <f>'Haver Pivoted'!GY86</f>
        <v>21.4</v>
      </c>
      <c r="O23" s="70">
        <f>'Haver Pivoted'!GZ86</f>
        <v>57</v>
      </c>
      <c r="P23" s="70">
        <f>'Haver Pivoted'!HA86</f>
        <v>35.5</v>
      </c>
      <c r="Q23" s="70">
        <f>'Haver Pivoted'!HB86</f>
        <v>0</v>
      </c>
      <c r="R23" s="70">
        <f>'Haver Pivoted'!HC86</f>
        <v>0</v>
      </c>
      <c r="S23" s="302">
        <f>'Haver Pivoted'!HD86</f>
        <v>0</v>
      </c>
      <c r="T23" s="499">
        <f t="shared" ref="T23:AC23" si="11">S23</f>
        <v>0</v>
      </c>
      <c r="U23" s="312">
        <f t="shared" si="11"/>
        <v>0</v>
      </c>
      <c r="V23" s="312">
        <f t="shared" si="11"/>
        <v>0</v>
      </c>
      <c r="W23" s="312">
        <f t="shared" si="11"/>
        <v>0</v>
      </c>
      <c r="X23" s="312">
        <f t="shared" si="11"/>
        <v>0</v>
      </c>
      <c r="Y23" s="312">
        <f t="shared" si="11"/>
        <v>0</v>
      </c>
      <c r="Z23" s="312">
        <f t="shared" si="11"/>
        <v>0</v>
      </c>
      <c r="AA23" s="312">
        <f t="shared" si="11"/>
        <v>0</v>
      </c>
      <c r="AB23" s="312">
        <f t="shared" si="11"/>
        <v>0</v>
      </c>
      <c r="AC23" s="387">
        <f t="shared" si="11"/>
        <v>0</v>
      </c>
    </row>
    <row r="24" spans="2:29" x14ac:dyDescent="0.3">
      <c r="B24" s="515" t="s">
        <v>477</v>
      </c>
      <c r="C24" s="51"/>
      <c r="D24" s="339"/>
      <c r="E24" s="51"/>
      <c r="F24" s="70"/>
      <c r="G24" s="70"/>
      <c r="H24" s="70"/>
      <c r="I24" s="70"/>
      <c r="J24" s="70"/>
      <c r="K24" s="70"/>
      <c r="L24" s="70"/>
      <c r="M24" s="70"/>
      <c r="N24" s="70"/>
      <c r="O24" s="52">
        <f>O41+O42</f>
        <v>12.51648</v>
      </c>
      <c r="P24" s="52">
        <f>P41+P42</f>
        <v>11.3</v>
      </c>
      <c r="Q24" s="52">
        <f t="shared" ref="Q24:AC24" si="12">Q41+Q42</f>
        <v>11.3</v>
      </c>
      <c r="R24" s="52">
        <f t="shared" si="12"/>
        <v>11.3</v>
      </c>
      <c r="S24" s="330">
        <f t="shared" si="12"/>
        <v>11.3</v>
      </c>
      <c r="T24" s="499">
        <f t="shared" si="12"/>
        <v>8.4</v>
      </c>
      <c r="U24" s="312">
        <f t="shared" si="12"/>
        <v>8.4</v>
      </c>
      <c r="V24" s="312">
        <f t="shared" si="12"/>
        <v>8.4</v>
      </c>
      <c r="W24" s="312">
        <f t="shared" si="12"/>
        <v>8.4</v>
      </c>
      <c r="X24" s="312">
        <f t="shared" si="12"/>
        <v>0.2</v>
      </c>
      <c r="Y24" s="312">
        <f t="shared" si="12"/>
        <v>0.2</v>
      </c>
      <c r="Z24" s="312">
        <f t="shared" si="12"/>
        <v>0.2</v>
      </c>
      <c r="AA24" s="312">
        <f t="shared" si="12"/>
        <v>0.2</v>
      </c>
      <c r="AB24" s="312">
        <f t="shared" si="12"/>
        <v>0</v>
      </c>
      <c r="AC24" s="387">
        <f t="shared" si="12"/>
        <v>0</v>
      </c>
    </row>
    <row r="25" spans="2:29" x14ac:dyDescent="0.3">
      <c r="B25" s="515" t="s">
        <v>478</v>
      </c>
      <c r="C25" s="51"/>
      <c r="D25" s="339"/>
      <c r="E25" s="51"/>
      <c r="F25" s="52"/>
      <c r="G25" s="52"/>
      <c r="H25" s="150"/>
      <c r="I25" s="150"/>
      <c r="J25" s="150"/>
      <c r="K25" s="150"/>
      <c r="L25" s="150"/>
      <c r="M25" s="150"/>
      <c r="N25" s="52"/>
      <c r="O25" s="52">
        <f>O34</f>
        <v>12</v>
      </c>
      <c r="P25" s="52">
        <v>25</v>
      </c>
      <c r="Q25" s="52">
        <v>5</v>
      </c>
      <c r="R25" s="52">
        <v>5</v>
      </c>
      <c r="S25" s="330">
        <v>5</v>
      </c>
      <c r="T25" s="499">
        <f t="shared" ref="T25:AC25" si="13">T34</f>
        <v>0</v>
      </c>
      <c r="U25" s="312">
        <f t="shared" si="13"/>
        <v>0</v>
      </c>
      <c r="V25" s="312">
        <f t="shared" si="13"/>
        <v>0</v>
      </c>
      <c r="W25" s="312">
        <f t="shared" si="13"/>
        <v>0</v>
      </c>
      <c r="X25" s="312">
        <f t="shared" si="13"/>
        <v>0</v>
      </c>
      <c r="Y25" s="312">
        <f t="shared" si="13"/>
        <v>0</v>
      </c>
      <c r="Z25" s="312">
        <f t="shared" si="13"/>
        <v>0</v>
      </c>
      <c r="AA25" s="312">
        <f t="shared" si="13"/>
        <v>0</v>
      </c>
      <c r="AB25" s="312">
        <f t="shared" si="13"/>
        <v>0</v>
      </c>
      <c r="AC25" s="387">
        <f t="shared" si="13"/>
        <v>0</v>
      </c>
    </row>
    <row r="26" spans="2:29" x14ac:dyDescent="0.3">
      <c r="B26" s="513" t="s">
        <v>1475</v>
      </c>
      <c r="C26" s="51"/>
      <c r="D26" s="339"/>
      <c r="E26" s="51"/>
      <c r="F26" s="52"/>
      <c r="G26" s="52"/>
      <c r="H26" s="150"/>
      <c r="I26" s="150"/>
      <c r="J26" s="150"/>
      <c r="K26" s="150"/>
      <c r="L26" s="150"/>
      <c r="M26" s="150"/>
      <c r="N26" s="52"/>
      <c r="O26" s="52"/>
      <c r="P26" s="52"/>
      <c r="Q26" s="52"/>
      <c r="R26" s="52"/>
      <c r="S26" s="494">
        <f>'IRA and CHIPS'!E198</f>
        <v>0</v>
      </c>
      <c r="T26" s="504">
        <f>'IRA and CHIPS'!F198</f>
        <v>2.3250000000000002</v>
      </c>
      <c r="U26" s="505">
        <f>'IRA and CHIPS'!G198</f>
        <v>2.3250000000000002</v>
      </c>
      <c r="V26" s="505">
        <f>'IRA and CHIPS'!H198</f>
        <v>2.3250000000000002</v>
      </c>
      <c r="W26" s="505">
        <f>'IRA and CHIPS'!I198</f>
        <v>2.3250000000000002</v>
      </c>
      <c r="X26" s="505">
        <f>'IRA and CHIPS'!J198</f>
        <v>5.5830000000000002</v>
      </c>
      <c r="Y26" s="505">
        <f>'IRA and CHIPS'!K198</f>
        <v>5.5830000000000002</v>
      </c>
      <c r="Z26" s="505">
        <f>'IRA and CHIPS'!L198</f>
        <v>5.5830000000000002</v>
      </c>
      <c r="AA26" s="505">
        <f>'IRA and CHIPS'!M198</f>
        <v>5.5830000000000002</v>
      </c>
      <c r="AB26" s="505">
        <f>'IRA and CHIPS'!N198</f>
        <v>8.0220000000000002</v>
      </c>
      <c r="AC26" s="506">
        <f>'IRA and CHIPS'!O198</f>
        <v>8.0220000000000002</v>
      </c>
    </row>
    <row r="27" spans="2:29" x14ac:dyDescent="0.3">
      <c r="B27" s="513" t="s">
        <v>1282</v>
      </c>
      <c r="C27" s="343"/>
      <c r="D27" s="339"/>
      <c r="E27" s="51"/>
      <c r="F27" s="52"/>
      <c r="G27" s="52"/>
      <c r="H27" s="150"/>
      <c r="I27" s="150"/>
      <c r="J27" s="150"/>
      <c r="K27" s="150"/>
      <c r="L27" s="150"/>
      <c r="M27" s="150"/>
      <c r="N27" s="52"/>
      <c r="O27" s="52"/>
      <c r="P27" s="52"/>
      <c r="Q27" s="52"/>
      <c r="R27" s="52"/>
      <c r="S27" s="494">
        <f>'IRA and CHIPS'!E187</f>
        <v>0</v>
      </c>
      <c r="T27" s="507">
        <f>'IRA and CHIPS'!F187</f>
        <v>1.2969999999999999</v>
      </c>
      <c r="U27" s="514">
        <f>'IRA and CHIPS'!G187</f>
        <v>1.2969999999999999</v>
      </c>
      <c r="V27" s="514">
        <f>'IRA and CHIPS'!H187</f>
        <v>1.2969999999999999</v>
      </c>
      <c r="W27" s="514">
        <f>'IRA and CHIPS'!I187</f>
        <v>1.2969999999999999</v>
      </c>
      <c r="X27" s="514">
        <f>'IRA and CHIPS'!J187</f>
        <v>3.8479999999999999</v>
      </c>
      <c r="Y27" s="514">
        <f>'IRA and CHIPS'!K187</f>
        <v>3.8479999999999999</v>
      </c>
      <c r="Z27" s="514">
        <f>'IRA and CHIPS'!L187</f>
        <v>3.8479999999999999</v>
      </c>
      <c r="AA27" s="514">
        <f>'IRA and CHIPS'!M187</f>
        <v>3.8479999999999999</v>
      </c>
      <c r="AB27" s="514">
        <f>'IRA and CHIPS'!N187</f>
        <v>6.4420000000000002</v>
      </c>
      <c r="AC27" s="508">
        <f>'IRA and CHIPS'!O187</f>
        <v>6.4420000000000002</v>
      </c>
    </row>
    <row r="28" spans="2:29" ht="15" customHeight="1" x14ac:dyDescent="0.3">
      <c r="B28" s="1167" t="s">
        <v>479</v>
      </c>
      <c r="C28" s="1168"/>
      <c r="D28" s="482"/>
      <c r="E28" s="496"/>
      <c r="F28" s="496"/>
      <c r="G28" s="496"/>
      <c r="H28" s="381"/>
      <c r="I28" s="381"/>
      <c r="J28" s="381"/>
      <c r="K28" s="381"/>
      <c r="L28" s="381"/>
      <c r="M28" s="381"/>
      <c r="N28" s="381"/>
      <c r="O28" s="381"/>
      <c r="P28" s="497"/>
      <c r="Q28" s="381"/>
      <c r="R28" s="381"/>
      <c r="S28" s="487"/>
      <c r="T28" s="312"/>
      <c r="U28" s="312"/>
      <c r="V28" s="500"/>
      <c r="W28" s="500"/>
      <c r="X28" s="500"/>
      <c r="Y28" s="500"/>
      <c r="Z28" s="500"/>
      <c r="AA28" s="500"/>
      <c r="AB28" s="500"/>
      <c r="AC28" s="520"/>
    </row>
    <row r="29" spans="2:29" x14ac:dyDescent="0.3">
      <c r="B29" s="399" t="s">
        <v>480</v>
      </c>
      <c r="C29" s="177"/>
      <c r="D29" s="186"/>
      <c r="E29" s="177"/>
      <c r="F29" s="150"/>
      <c r="G29" s="150"/>
      <c r="H29" s="52"/>
      <c r="I29" s="52"/>
      <c r="J29" s="52"/>
      <c r="K29" s="52"/>
      <c r="L29" s="52"/>
      <c r="M29" s="52"/>
      <c r="N29" s="52">
        <f>SUM(N30:N34)</f>
        <v>23</v>
      </c>
      <c r="O29" s="52">
        <f>SUM(O30:O34)</f>
        <v>162</v>
      </c>
      <c r="P29" s="52"/>
      <c r="Q29" s="52"/>
      <c r="R29" s="52"/>
      <c r="S29" s="330"/>
      <c r="T29" s="312"/>
      <c r="U29" s="312"/>
      <c r="V29" s="500"/>
      <c r="W29" s="500"/>
      <c r="X29" s="500"/>
      <c r="Y29" s="500"/>
      <c r="Z29" s="500"/>
      <c r="AA29" s="500"/>
      <c r="AB29" s="500"/>
      <c r="AC29" s="520"/>
    </row>
    <row r="30" spans="2:29" x14ac:dyDescent="0.3">
      <c r="B30" s="397" t="s">
        <v>481</v>
      </c>
      <c r="C30" s="177"/>
      <c r="D30" s="186"/>
      <c r="E30" s="177"/>
      <c r="F30" s="150"/>
      <c r="G30" s="150"/>
      <c r="H30" s="52"/>
      <c r="I30" s="52"/>
      <c r="J30" s="52"/>
      <c r="K30" s="52"/>
      <c r="L30" s="495"/>
      <c r="M30" s="52"/>
      <c r="N30" s="52">
        <f>(4*'Response and Relief Act Score'!$F$15-$M$18)/2</f>
        <v>11</v>
      </c>
      <c r="O30" s="52">
        <f>(4*'Response and Relief Act Score'!$F$15-$M$18)/2</f>
        <v>11</v>
      </c>
      <c r="P30" s="52"/>
      <c r="Q30" s="52"/>
      <c r="R30" s="52"/>
      <c r="S30" s="330"/>
      <c r="T30" s="312"/>
      <c r="U30" s="312"/>
      <c r="V30" s="500"/>
      <c r="W30" s="500"/>
      <c r="X30" s="500"/>
      <c r="Y30" s="500"/>
      <c r="Z30" s="500"/>
      <c r="AA30" s="500"/>
      <c r="AB30" s="500"/>
      <c r="AC30" s="520"/>
    </row>
    <row r="31" spans="2:29" x14ac:dyDescent="0.3">
      <c r="B31" s="397" t="s">
        <v>478</v>
      </c>
      <c r="C31" s="177"/>
      <c r="D31" s="186"/>
      <c r="E31" s="177"/>
      <c r="F31" s="150"/>
      <c r="G31" s="150"/>
      <c r="H31" s="52"/>
      <c r="I31" s="52"/>
      <c r="J31" s="52"/>
      <c r="K31" s="52"/>
      <c r="L31" s="495"/>
      <c r="M31" s="52"/>
      <c r="N31" s="52"/>
      <c r="O31" s="52"/>
      <c r="P31" s="52"/>
      <c r="Q31" s="52"/>
      <c r="R31" s="52"/>
      <c r="S31" s="330"/>
      <c r="T31" s="312"/>
      <c r="U31" s="312"/>
      <c r="V31" s="500"/>
      <c r="W31" s="500"/>
      <c r="X31" s="500"/>
      <c r="Y31" s="500"/>
      <c r="Z31" s="500"/>
      <c r="AA31" s="500"/>
      <c r="AB31" s="500"/>
      <c r="AC31" s="520"/>
    </row>
    <row r="32" spans="2:29" x14ac:dyDescent="0.3">
      <c r="B32" s="521" t="s">
        <v>475</v>
      </c>
      <c r="C32" s="177"/>
      <c r="D32" s="186"/>
      <c r="E32" s="177"/>
      <c r="F32" s="150"/>
      <c r="G32" s="150"/>
      <c r="H32" s="52"/>
      <c r="I32" s="52"/>
      <c r="J32" s="52"/>
      <c r="K32" s="52"/>
      <c r="L32" s="52"/>
      <c r="M32" s="52"/>
      <c r="N32" s="52"/>
      <c r="O32" s="52">
        <v>79</v>
      </c>
      <c r="P32" s="52"/>
      <c r="Q32" s="359"/>
      <c r="R32" s="359"/>
      <c r="S32" s="404"/>
      <c r="T32" s="391"/>
      <c r="U32" s="391"/>
      <c r="V32" s="500"/>
      <c r="W32" s="500"/>
      <c r="X32" s="500"/>
      <c r="Y32" s="500"/>
      <c r="Z32" s="500"/>
      <c r="AA32" s="500"/>
      <c r="AB32" s="500"/>
      <c r="AC32" s="520"/>
    </row>
    <row r="33" spans="1:78" x14ac:dyDescent="0.3">
      <c r="B33" s="522" t="s">
        <v>482</v>
      </c>
      <c r="C33" s="177"/>
      <c r="D33" s="186"/>
      <c r="E33" s="177"/>
      <c r="F33" s="150"/>
      <c r="G33" s="150"/>
      <c r="H33" s="52"/>
      <c r="I33" s="52"/>
      <c r="J33" s="52"/>
      <c r="K33" s="52"/>
      <c r="L33" s="52"/>
      <c r="M33" s="52"/>
      <c r="N33" s="52"/>
      <c r="O33" s="52">
        <f>'Response and Relief Act Score'!F13*4</f>
        <v>60</v>
      </c>
      <c r="P33" s="52"/>
      <c r="Q33" s="359"/>
      <c r="R33" s="359"/>
      <c r="S33" s="404"/>
      <c r="T33" s="391"/>
      <c r="U33" s="391"/>
      <c r="V33" s="500"/>
      <c r="W33" s="500"/>
      <c r="X33" s="500"/>
      <c r="Y33" s="500"/>
      <c r="Z33" s="500"/>
      <c r="AA33" s="500"/>
      <c r="AB33" s="500"/>
      <c r="AC33" s="520"/>
    </row>
    <row r="34" spans="1:78" ht="27.6" customHeight="1" x14ac:dyDescent="0.3">
      <c r="B34" s="522" t="s">
        <v>483</v>
      </c>
      <c r="C34" s="177"/>
      <c r="D34" s="186"/>
      <c r="E34" s="177"/>
      <c r="F34" s="150"/>
      <c r="G34" s="150"/>
      <c r="H34" s="52"/>
      <c r="I34" s="52"/>
      <c r="J34" s="52"/>
      <c r="K34" s="52"/>
      <c r="L34" s="495"/>
      <c r="M34" s="52"/>
      <c r="N34" s="52">
        <f>'Response and Relief Act Score'!F14*4/2</f>
        <v>12</v>
      </c>
      <c r="O34" s="52">
        <f>'Response and Relief Act Score'!F14*4/2</f>
        <v>12</v>
      </c>
      <c r="P34" s="52"/>
      <c r="Q34" s="52"/>
      <c r="R34" s="52"/>
      <c r="S34" s="330"/>
      <c r="T34" s="312"/>
      <c r="U34" s="312"/>
      <c r="V34" s="500"/>
      <c r="W34" s="500"/>
      <c r="X34" s="500"/>
      <c r="Y34" s="500"/>
      <c r="Z34" s="500"/>
      <c r="AA34" s="500"/>
      <c r="AB34" s="500"/>
      <c r="AC34" s="520"/>
    </row>
    <row r="35" spans="1:78" ht="15" customHeight="1" x14ac:dyDescent="0.3">
      <c r="B35" s="1165" t="s">
        <v>484</v>
      </c>
      <c r="C35" s="1166"/>
      <c r="D35" s="186"/>
      <c r="E35" s="177"/>
      <c r="F35" s="150"/>
      <c r="G35" s="150"/>
      <c r="H35" s="52"/>
      <c r="I35" s="52"/>
      <c r="J35" s="52"/>
      <c r="K35" s="52"/>
      <c r="L35" s="495"/>
      <c r="M35" s="52"/>
      <c r="N35" s="52"/>
      <c r="O35" s="52"/>
      <c r="P35" s="52"/>
      <c r="Q35" s="52"/>
      <c r="R35" s="52"/>
      <c r="S35" s="330"/>
      <c r="T35" s="524"/>
      <c r="U35" s="524"/>
      <c r="V35" s="525"/>
      <c r="W35" s="525"/>
      <c r="X35" s="525"/>
      <c r="Y35" s="525"/>
      <c r="Z35" s="525"/>
      <c r="AA35" s="525"/>
      <c r="AB35" s="525"/>
      <c r="AC35" s="200"/>
    </row>
    <row r="36" spans="1:78" ht="13.5" customHeight="1" x14ac:dyDescent="0.3">
      <c r="B36" s="522" t="s">
        <v>143</v>
      </c>
      <c r="C36" s="177"/>
      <c r="D36" s="186"/>
      <c r="E36" s="177"/>
      <c r="F36" s="150"/>
      <c r="G36" s="150"/>
      <c r="H36" s="52"/>
      <c r="I36" s="52"/>
      <c r="J36" s="52"/>
      <c r="K36" s="52"/>
      <c r="L36" s="495"/>
      <c r="M36" s="52">
        <f>'ARP Quarterly'!C18</f>
        <v>0</v>
      </c>
      <c r="N36" s="52">
        <f>'ARP Quarterly'!D18</f>
        <v>2.2132800000000001</v>
      </c>
      <c r="O36" s="52">
        <f>'ARP Quarterly'!E18</f>
        <v>10.082720000000002</v>
      </c>
      <c r="P36" s="52">
        <f>'ARP Quarterly'!F18</f>
        <v>7.1439999999999992</v>
      </c>
      <c r="Q36" s="52">
        <f>'ARP Quarterly'!G18</f>
        <v>7.1439999999999992</v>
      </c>
      <c r="R36" s="52">
        <f>'ARP Quarterly'!H18</f>
        <v>7.1439999999999992</v>
      </c>
      <c r="S36" s="330">
        <f>'ARP Quarterly'!I18</f>
        <v>7.1439999999999992</v>
      </c>
      <c r="T36" s="312">
        <f>'ARP Quarterly'!J18</f>
        <v>0</v>
      </c>
      <c r="U36" s="312">
        <f>'ARP Quarterly'!K18</f>
        <v>0</v>
      </c>
      <c r="V36" s="312">
        <f>'ARP Quarterly'!L18</f>
        <v>0</v>
      </c>
      <c r="W36" s="312">
        <f>'ARP Quarterly'!M18</f>
        <v>0</v>
      </c>
      <c r="X36" s="312">
        <f>'ARP Quarterly'!N18</f>
        <v>0</v>
      </c>
      <c r="Y36" s="312">
        <f>'ARP Quarterly'!O18</f>
        <v>0</v>
      </c>
      <c r="Z36" s="312">
        <f>'ARP Quarterly'!P18</f>
        <v>0</v>
      </c>
      <c r="AA36" s="312">
        <f>'ARP Quarterly'!Q18</f>
        <v>0</v>
      </c>
      <c r="AB36" s="312">
        <f>'ARP Quarterly'!R18</f>
        <v>0</v>
      </c>
      <c r="AC36" s="387">
        <f>'ARP Quarterly'!S18</f>
        <v>0</v>
      </c>
    </row>
    <row r="37" spans="1:78" x14ac:dyDescent="0.3">
      <c r="B37" s="522" t="s">
        <v>485</v>
      </c>
      <c r="C37" s="177"/>
      <c r="D37" s="186"/>
      <c r="E37" s="177"/>
      <c r="F37" s="150"/>
      <c r="G37" s="150"/>
      <c r="H37" s="52"/>
      <c r="I37" s="52"/>
      <c r="J37" s="52"/>
      <c r="K37" s="52"/>
      <c r="L37" s="495"/>
      <c r="M37" s="52">
        <f>'ARP Quarterly'!C19</f>
        <v>0</v>
      </c>
      <c r="N37" s="52">
        <f>'ARP Quarterly'!D19</f>
        <v>15.128640000000001</v>
      </c>
      <c r="O37" s="52">
        <f>'ARP Quarterly'!E19</f>
        <v>68.919360000000012</v>
      </c>
      <c r="P37" s="52">
        <f>'ARP Quarterly'!F19</f>
        <v>5.6120000000000001</v>
      </c>
      <c r="Q37" s="52">
        <f>'ARP Quarterly'!G19</f>
        <v>5.6120000000000001</v>
      </c>
      <c r="R37" s="52">
        <f>'ARP Quarterly'!H19</f>
        <v>5.6120000000000001</v>
      </c>
      <c r="S37" s="330">
        <f>'ARP Quarterly'!I19</f>
        <v>5.6120000000000001</v>
      </c>
      <c r="T37" s="312">
        <f>'ARP Quarterly'!J19</f>
        <v>0.48599999999999993</v>
      </c>
      <c r="U37" s="312">
        <f>'ARP Quarterly'!K19</f>
        <v>0.48599999999999993</v>
      </c>
      <c r="V37" s="312">
        <f>'ARP Quarterly'!L19</f>
        <v>0.48599999999999993</v>
      </c>
      <c r="W37" s="312">
        <f>'ARP Quarterly'!M19</f>
        <v>0.48599999999999993</v>
      </c>
      <c r="X37" s="312">
        <f>'ARP Quarterly'!N19</f>
        <v>0</v>
      </c>
      <c r="Y37" s="312">
        <f>'ARP Quarterly'!O19</f>
        <v>0</v>
      </c>
      <c r="Z37" s="312">
        <f>'ARP Quarterly'!P19</f>
        <v>0</v>
      </c>
      <c r="AA37" s="312">
        <f>'ARP Quarterly'!Q19</f>
        <v>0</v>
      </c>
      <c r="AB37" s="312">
        <f>'ARP Quarterly'!R19</f>
        <v>0</v>
      </c>
      <c r="AC37" s="387">
        <f>'ARP Quarterly'!S19</f>
        <v>0</v>
      </c>
    </row>
    <row r="38" spans="1:78" x14ac:dyDescent="0.3">
      <c r="B38" s="522" t="s">
        <v>148</v>
      </c>
      <c r="C38" s="177"/>
      <c r="D38" s="186"/>
      <c r="E38" s="177"/>
      <c r="F38" s="150"/>
      <c r="G38" s="150"/>
      <c r="H38" s="52"/>
      <c r="I38" s="52"/>
      <c r="J38" s="52"/>
      <c r="K38" s="52"/>
      <c r="L38" s="495"/>
      <c r="M38" s="52">
        <f>'ARP Quarterly'!C20</f>
        <v>0</v>
      </c>
      <c r="N38" s="52">
        <f>'ARP Quarterly'!D20</f>
        <v>3.2479199999999997</v>
      </c>
      <c r="O38" s="52">
        <f>'ARP Quarterly'!E20</f>
        <v>14.796080000000002</v>
      </c>
      <c r="P38" s="52">
        <f>'ARP Quarterly'!F20</f>
        <v>1.7329999999999999</v>
      </c>
      <c r="Q38" s="52">
        <f>'ARP Quarterly'!G20</f>
        <v>1.7329999999999999</v>
      </c>
      <c r="R38" s="52">
        <f>'ARP Quarterly'!H20</f>
        <v>1.7329999999999999</v>
      </c>
      <c r="S38" s="330">
        <f>'ARP Quarterly'!I20</f>
        <v>1.7329999999999999</v>
      </c>
      <c r="T38" s="312">
        <f>'ARP Quarterly'!J20</f>
        <v>0</v>
      </c>
      <c r="U38" s="312">
        <f>'ARP Quarterly'!K20</f>
        <v>0</v>
      </c>
      <c r="V38" s="312">
        <f>'ARP Quarterly'!L20</f>
        <v>0</v>
      </c>
      <c r="W38" s="312">
        <f>'ARP Quarterly'!M20</f>
        <v>0</v>
      </c>
      <c r="X38" s="312">
        <f>'ARP Quarterly'!N20</f>
        <v>0</v>
      </c>
      <c r="Y38" s="312">
        <f>'ARP Quarterly'!O20</f>
        <v>0</v>
      </c>
      <c r="Z38" s="312">
        <f>'ARP Quarterly'!P20</f>
        <v>0</v>
      </c>
      <c r="AA38" s="312">
        <f>'ARP Quarterly'!Q20</f>
        <v>0</v>
      </c>
      <c r="AB38" s="312">
        <f>'ARP Quarterly'!R20</f>
        <v>0</v>
      </c>
      <c r="AC38" s="387">
        <f>'ARP Quarterly'!S20</f>
        <v>0</v>
      </c>
    </row>
    <row r="39" spans="1:78" x14ac:dyDescent="0.3">
      <c r="B39" s="522" t="s">
        <v>475</v>
      </c>
      <c r="C39" s="177"/>
      <c r="D39" s="186"/>
      <c r="E39" s="177"/>
      <c r="F39" s="150"/>
      <c r="G39" s="150"/>
      <c r="H39" s="52"/>
      <c r="I39" s="52"/>
      <c r="J39" s="52"/>
      <c r="K39" s="52"/>
      <c r="L39" s="495"/>
      <c r="M39" s="52">
        <f>'ARP Quarterly'!C21</f>
        <v>0</v>
      </c>
      <c r="N39" s="52">
        <f>'ARP Quarterly'!D21</f>
        <v>13.2921</v>
      </c>
      <c r="O39" s="52">
        <f>'ARP Quarterly'!E21</f>
        <v>60.552900000000008</v>
      </c>
      <c r="P39" s="52">
        <f>'ARP Quarterly'!F21</f>
        <v>1.0687500000000001</v>
      </c>
      <c r="Q39" s="52">
        <f>'ARP Quarterly'!G21</f>
        <v>1.0687500000000001</v>
      </c>
      <c r="R39" s="52">
        <f>'ARP Quarterly'!H21</f>
        <v>1.0687500000000001</v>
      </c>
      <c r="S39" s="330">
        <f>'ARP Quarterly'!I21</f>
        <v>1.0687500000000001</v>
      </c>
      <c r="T39" s="312">
        <f>'ARP Quarterly'!J21</f>
        <v>0.78750000000000009</v>
      </c>
      <c r="U39" s="312">
        <f>'ARP Quarterly'!K21</f>
        <v>0.78750000000000009</v>
      </c>
      <c r="V39" s="312">
        <f>'ARP Quarterly'!L21</f>
        <v>0.78750000000000009</v>
      </c>
      <c r="W39" s="312">
        <f>'ARP Quarterly'!M21</f>
        <v>0.78750000000000009</v>
      </c>
      <c r="X39" s="312">
        <f>'ARP Quarterly'!N21</f>
        <v>0</v>
      </c>
      <c r="Y39" s="312">
        <f>'ARP Quarterly'!O21</f>
        <v>0</v>
      </c>
      <c r="Z39" s="312">
        <f>'ARP Quarterly'!P21</f>
        <v>0</v>
      </c>
      <c r="AA39" s="312">
        <f>'ARP Quarterly'!Q21</f>
        <v>0</v>
      </c>
      <c r="AB39" s="312">
        <f>'ARP Quarterly'!R21</f>
        <v>0</v>
      </c>
      <c r="AC39" s="387">
        <f>'ARP Quarterly'!S21</f>
        <v>0</v>
      </c>
    </row>
    <row r="40" spans="1:78" ht="30" customHeight="1" x14ac:dyDescent="0.3">
      <c r="B40" s="522" t="s">
        <v>486</v>
      </c>
      <c r="C40" s="177"/>
      <c r="D40" s="186"/>
      <c r="E40" s="177"/>
      <c r="F40" s="150"/>
      <c r="G40" s="150"/>
      <c r="H40" s="52"/>
      <c r="I40" s="52"/>
      <c r="J40" s="52"/>
      <c r="K40" s="52"/>
      <c r="L40" s="495"/>
      <c r="M40" s="52">
        <f>'ARP Quarterly'!C22</f>
        <v>0</v>
      </c>
      <c r="N40" s="52">
        <f>'ARP Quarterly'!D22</f>
        <v>22.153499999999998</v>
      </c>
      <c r="O40" s="52">
        <f>'ARP Quarterly'!E22</f>
        <v>100.92150000000002</v>
      </c>
      <c r="P40" s="52">
        <f>'ARP Quarterly'!F22</f>
        <v>1.7812500000000002</v>
      </c>
      <c r="Q40" s="52">
        <f>'ARP Quarterly'!G22</f>
        <v>1.7812500000000002</v>
      </c>
      <c r="R40" s="52">
        <f>'ARP Quarterly'!H22</f>
        <v>1.7812500000000002</v>
      </c>
      <c r="S40" s="330">
        <f>'ARP Quarterly'!I22</f>
        <v>1.7812500000000002</v>
      </c>
      <c r="T40" s="312">
        <f>'ARP Quarterly'!J22</f>
        <v>1.3125000000000002</v>
      </c>
      <c r="U40" s="312">
        <f>'ARP Quarterly'!K22</f>
        <v>1.3125000000000002</v>
      </c>
      <c r="V40" s="312">
        <f>'ARP Quarterly'!L22</f>
        <v>1.3125000000000002</v>
      </c>
      <c r="W40" s="312">
        <f>'ARP Quarterly'!M22</f>
        <v>1.3125000000000002</v>
      </c>
      <c r="X40" s="312">
        <f>'ARP Quarterly'!N22</f>
        <v>0</v>
      </c>
      <c r="Y40" s="312">
        <f>'ARP Quarterly'!O22</f>
        <v>0</v>
      </c>
      <c r="Z40" s="312">
        <f>'ARP Quarterly'!P22</f>
        <v>0</v>
      </c>
      <c r="AA40" s="312">
        <f>'ARP Quarterly'!Q22</f>
        <v>0</v>
      </c>
      <c r="AB40" s="312">
        <f>'ARP Quarterly'!R22</f>
        <v>0</v>
      </c>
      <c r="AC40" s="387">
        <f>'ARP Quarterly'!S22</f>
        <v>0</v>
      </c>
    </row>
    <row r="41" spans="1:78" x14ac:dyDescent="0.3">
      <c r="B41" s="522" t="s">
        <v>487</v>
      </c>
      <c r="C41" s="177"/>
      <c r="D41" s="186"/>
      <c r="E41" s="177"/>
      <c r="F41" s="150"/>
      <c r="G41" s="150"/>
      <c r="H41" s="52"/>
      <c r="I41" s="52"/>
      <c r="J41" s="52"/>
      <c r="K41" s="52"/>
      <c r="L41" s="495"/>
      <c r="M41" s="52">
        <f>'ARP Quarterly'!C23</f>
        <v>0</v>
      </c>
      <c r="N41" s="52">
        <f>'ARP Quarterly'!D23</f>
        <v>2.9519999999999995</v>
      </c>
      <c r="O41" s="52">
        <f>'ARP Quarterly'!E23</f>
        <v>13.448</v>
      </c>
      <c r="P41" s="52">
        <f>'ARP Quarterly'!F23</f>
        <v>11.3</v>
      </c>
      <c r="Q41" s="52">
        <f>'ARP Quarterly'!G23</f>
        <v>11.3</v>
      </c>
      <c r="R41" s="52">
        <f>'ARP Quarterly'!H23</f>
        <v>11.3</v>
      </c>
      <c r="S41" s="330">
        <f>'ARP Quarterly'!I23</f>
        <v>11.3</v>
      </c>
      <c r="T41" s="312">
        <f>'ARP Quarterly'!J23</f>
        <v>8.4</v>
      </c>
      <c r="U41" s="312">
        <f>'ARP Quarterly'!K23</f>
        <v>8.4</v>
      </c>
      <c r="V41" s="312">
        <f>'ARP Quarterly'!L23</f>
        <v>8.4</v>
      </c>
      <c r="W41" s="312">
        <f>'ARP Quarterly'!M23</f>
        <v>8.4</v>
      </c>
      <c r="X41" s="312">
        <f>'ARP Quarterly'!N23</f>
        <v>0.2</v>
      </c>
      <c r="Y41" s="312">
        <f>'ARP Quarterly'!O23</f>
        <v>0.2</v>
      </c>
      <c r="Z41" s="312">
        <f>'ARP Quarterly'!P23</f>
        <v>0.2</v>
      </c>
      <c r="AA41" s="312">
        <f>'ARP Quarterly'!Q23</f>
        <v>0.2</v>
      </c>
      <c r="AB41" s="312">
        <f>'ARP Quarterly'!R23</f>
        <v>0</v>
      </c>
      <c r="AC41" s="387">
        <f>'ARP Quarterly'!S23</f>
        <v>0</v>
      </c>
    </row>
    <row r="42" spans="1:78" x14ac:dyDescent="0.3">
      <c r="B42" s="522" t="s">
        <v>488</v>
      </c>
      <c r="C42" s="177"/>
      <c r="D42" s="186"/>
      <c r="E42" s="177"/>
      <c r="F42" s="150"/>
      <c r="G42" s="150"/>
      <c r="H42" s="52"/>
      <c r="I42" s="52"/>
      <c r="J42" s="52"/>
      <c r="K42" s="52"/>
      <c r="L42" s="495"/>
      <c r="M42" s="52">
        <f>'ARP Quarterly'!C24</f>
        <v>0</v>
      </c>
      <c r="N42" s="52">
        <f>'ARP Quarterly'!D24</f>
        <v>-0.20447999999999997</v>
      </c>
      <c r="O42" s="52">
        <f>'ARP Quarterly'!E24</f>
        <v>-0.93152000000000001</v>
      </c>
      <c r="P42" s="52">
        <v>0</v>
      </c>
      <c r="Q42" s="52">
        <v>0</v>
      </c>
      <c r="R42" s="52">
        <v>0</v>
      </c>
      <c r="S42" s="330">
        <v>0</v>
      </c>
      <c r="T42" s="312">
        <v>0</v>
      </c>
      <c r="U42" s="312">
        <v>0</v>
      </c>
      <c r="V42" s="312">
        <v>0</v>
      </c>
      <c r="W42" s="312">
        <v>0</v>
      </c>
      <c r="X42" s="312">
        <v>0</v>
      </c>
      <c r="Y42" s="312">
        <v>0</v>
      </c>
      <c r="Z42" s="312">
        <v>0</v>
      </c>
      <c r="AA42" s="312">
        <v>0</v>
      </c>
      <c r="AB42" s="312">
        <v>0</v>
      </c>
      <c r="AC42" s="387">
        <v>0</v>
      </c>
    </row>
    <row r="43" spans="1:78" x14ac:dyDescent="0.3">
      <c r="B43" s="522" t="s">
        <v>360</v>
      </c>
      <c r="C43" s="177"/>
      <c r="D43" s="186"/>
      <c r="E43" s="177"/>
      <c r="F43" s="150"/>
      <c r="G43" s="150"/>
      <c r="H43" s="52"/>
      <c r="I43" s="52"/>
      <c r="J43" s="52"/>
      <c r="K43" s="52"/>
      <c r="L43" s="495"/>
      <c r="M43" s="52">
        <f>'ARP Quarterly'!C25</f>
        <v>0</v>
      </c>
      <c r="N43" s="52">
        <f>'ARP Quarterly'!D25</f>
        <v>58.782959999999996</v>
      </c>
      <c r="O43" s="52">
        <f>'ARP Quarterly'!E25</f>
        <v>267.78904000000006</v>
      </c>
      <c r="P43" s="52">
        <f>'ARP Quarterly'!F25</f>
        <v>110.24799999999999</v>
      </c>
      <c r="Q43" s="52">
        <f>'ARP Quarterly'!G25</f>
        <v>110.24799999999999</v>
      </c>
      <c r="R43" s="52">
        <f>'ARP Quarterly'!H25</f>
        <v>110.24799999999999</v>
      </c>
      <c r="S43" s="330">
        <f>'ARP Quarterly'!I25</f>
        <v>110.24799999999999</v>
      </c>
      <c r="T43" s="312">
        <f>'ARP Quarterly'!J25</f>
        <v>12.362</v>
      </c>
      <c r="U43" s="312">
        <f>'ARP Quarterly'!K25</f>
        <v>12.362</v>
      </c>
      <c r="V43" s="312">
        <f>'ARP Quarterly'!L25</f>
        <v>12.362</v>
      </c>
      <c r="W43" s="312">
        <f>'ARP Quarterly'!M25</f>
        <v>12.362</v>
      </c>
      <c r="X43" s="312">
        <f>'ARP Quarterly'!N25</f>
        <v>-0.67500000000000004</v>
      </c>
      <c r="Y43" s="312">
        <f>'ARP Quarterly'!O25</f>
        <v>-0.67500000000000004</v>
      </c>
      <c r="Z43" s="312">
        <f>'ARP Quarterly'!P25</f>
        <v>-0.67500000000000004</v>
      </c>
      <c r="AA43" s="312">
        <f>'ARP Quarterly'!Q25</f>
        <v>-0.67500000000000004</v>
      </c>
      <c r="AB43" s="312">
        <f>'ARP Quarterly'!R25</f>
        <v>0</v>
      </c>
      <c r="AC43" s="387">
        <f>'ARP Quarterly'!S25</f>
        <v>0</v>
      </c>
    </row>
    <row r="44" spans="1:78" ht="15" customHeight="1" x14ac:dyDescent="0.3">
      <c r="B44" s="1165" t="s">
        <v>489</v>
      </c>
      <c r="C44" s="1166"/>
      <c r="D44" s="480"/>
      <c r="E44" s="481"/>
      <c r="F44" s="389"/>
      <c r="G44" s="389"/>
      <c r="H44" s="381"/>
      <c r="I44" s="381"/>
      <c r="J44" s="381"/>
      <c r="K44" s="381"/>
      <c r="L44" s="486"/>
      <c r="M44" s="381"/>
      <c r="N44" s="381"/>
      <c r="O44" s="381"/>
      <c r="P44" s="381"/>
      <c r="Q44" s="381"/>
      <c r="R44" s="381"/>
      <c r="S44" s="487"/>
      <c r="T44" s="524"/>
      <c r="U44" s="524"/>
      <c r="V44" s="525"/>
      <c r="W44" s="525"/>
      <c r="X44" s="525"/>
      <c r="Y44" s="525"/>
      <c r="Z44" s="525"/>
      <c r="AA44" s="525"/>
      <c r="AB44" s="525"/>
      <c r="AC44" s="200"/>
    </row>
    <row r="45" spans="1:78" ht="21" customHeight="1" x14ac:dyDescent="0.3">
      <c r="B45" s="407" t="s">
        <v>490</v>
      </c>
      <c r="C45" s="509"/>
      <c r="D45" s="407"/>
      <c r="E45" s="509"/>
      <c r="F45" s="314"/>
      <c r="G45" s="314"/>
      <c r="H45" s="510"/>
      <c r="I45" s="510"/>
      <c r="J45" s="510"/>
      <c r="K45" s="510"/>
      <c r="L45" s="511"/>
      <c r="M45" s="510">
        <f>'ARP Quarterly'!C6</f>
        <v>0</v>
      </c>
      <c r="N45" s="510">
        <f>'ARP Quarterly'!D6</f>
        <v>58.782959999999989</v>
      </c>
      <c r="O45" s="510">
        <f>'ARP Quarterly'!E6</f>
        <v>267.78904</v>
      </c>
      <c r="P45" s="510">
        <f>'ARP Quarterly'!F6</f>
        <v>110.24799999999999</v>
      </c>
      <c r="Q45" s="510">
        <f>'ARP Quarterly'!G6</f>
        <v>110.24799999999999</v>
      </c>
      <c r="R45" s="510">
        <f>'ARP Quarterly'!H6</f>
        <v>110.24799999999999</v>
      </c>
      <c r="S45" s="488">
        <f>'ARP Quarterly'!I6</f>
        <v>110.24799999999999</v>
      </c>
      <c r="T45" s="516">
        <f>'ARP Quarterly'!J6</f>
        <v>12.726000000000001</v>
      </c>
      <c r="U45" s="516">
        <f>'ARP Quarterly'!K6</f>
        <v>12.726000000000001</v>
      </c>
      <c r="V45" s="516">
        <f>'ARP Quarterly'!L6</f>
        <v>12.726000000000001</v>
      </c>
      <c r="W45" s="516">
        <f>'ARP Quarterly'!M6</f>
        <v>12.726000000000001</v>
      </c>
      <c r="X45" s="516">
        <f>'ARP Quarterly'!N6</f>
        <v>1.365</v>
      </c>
      <c r="Y45" s="516">
        <f>'ARP Quarterly'!O6</f>
        <v>1.365</v>
      </c>
      <c r="Z45" s="516">
        <f>'ARP Quarterly'!P6</f>
        <v>1.365</v>
      </c>
      <c r="AA45" s="516">
        <f>'ARP Quarterly'!Q6</f>
        <v>1.365</v>
      </c>
      <c r="AB45" s="516">
        <f>'ARP Quarterly'!R6</f>
        <v>-0.90100000000000025</v>
      </c>
      <c r="AC45" s="527">
        <f>'ARP Quarterly'!S6</f>
        <v>-0.90100000000000025</v>
      </c>
    </row>
    <row r="46" spans="1:78" ht="19.5" customHeight="1" x14ac:dyDescent="0.3">
      <c r="A46" s="523"/>
      <c r="B46" s="489" t="s">
        <v>199</v>
      </c>
      <c r="C46" s="490"/>
      <c r="D46" s="489"/>
      <c r="E46" s="490"/>
      <c r="F46" s="528">
        <f>F11-F45</f>
        <v>60.5</v>
      </c>
      <c r="G46" s="528">
        <f>G11-G45</f>
        <v>81.400000000000006</v>
      </c>
      <c r="H46" s="528">
        <f t="shared" ref="H46:AC46" si="14">H11-H45</f>
        <v>82.1</v>
      </c>
      <c r="I46" s="528">
        <f>I11-I45</f>
        <v>80</v>
      </c>
      <c r="J46" s="528">
        <f t="shared" si="14"/>
        <v>975.7</v>
      </c>
      <c r="K46" s="528">
        <f t="shared" si="14"/>
        <v>1108.8</v>
      </c>
      <c r="L46" s="528">
        <f>L11-L45</f>
        <v>462.2</v>
      </c>
      <c r="M46" s="528">
        <f>M11-M45</f>
        <v>387.4</v>
      </c>
      <c r="N46" s="528">
        <f t="shared" si="14"/>
        <v>635.11703999999997</v>
      </c>
      <c r="O46" s="528">
        <f>O11-O45</f>
        <v>277.81096000000002</v>
      </c>
      <c r="P46" s="528">
        <f>P11-P45</f>
        <v>178.05200000000002</v>
      </c>
      <c r="Q46" s="528">
        <f t="shared" si="14"/>
        <v>34.25200000000001</v>
      </c>
      <c r="R46" s="528">
        <f t="shared" si="14"/>
        <v>12.652000000000015</v>
      </c>
      <c r="S46" s="491">
        <f t="shared" si="14"/>
        <v>3.1520000000000152</v>
      </c>
      <c r="T46" s="517">
        <f t="shared" si="14"/>
        <v>75.782000000000011</v>
      </c>
      <c r="U46" s="517">
        <f t="shared" si="14"/>
        <v>75.782000000000011</v>
      </c>
      <c r="V46" s="517">
        <f t="shared" si="14"/>
        <v>75.782000000000011</v>
      </c>
      <c r="W46" s="517">
        <f t="shared" si="14"/>
        <v>75.782000000000011</v>
      </c>
      <c r="X46" s="517">
        <f t="shared" si="14"/>
        <v>84.266000000000005</v>
      </c>
      <c r="Y46" s="517">
        <f t="shared" si="14"/>
        <v>84.266000000000005</v>
      </c>
      <c r="Z46" s="517">
        <f t="shared" si="14"/>
        <v>84.266000000000005</v>
      </c>
      <c r="AA46" s="517">
        <f t="shared" si="14"/>
        <v>84.266000000000005</v>
      </c>
      <c r="AB46" s="517">
        <f t="shared" si="14"/>
        <v>91.364999999999995</v>
      </c>
      <c r="AC46" s="518">
        <f t="shared" si="14"/>
        <v>91.364999999999995</v>
      </c>
      <c r="AF46" s="523"/>
      <c r="AG46" s="523"/>
      <c r="AH46" s="523"/>
      <c r="AI46" s="523"/>
      <c r="AJ46" s="523"/>
      <c r="AK46" s="523"/>
      <c r="AL46" s="523"/>
      <c r="AM46" s="523"/>
      <c r="AN46" s="523"/>
      <c r="AO46" s="523"/>
      <c r="AP46" s="523"/>
      <c r="AQ46" s="523"/>
      <c r="AR46" s="523"/>
      <c r="AS46" s="523"/>
      <c r="AT46" s="523"/>
      <c r="AU46" s="523"/>
      <c r="AV46" s="523"/>
      <c r="AW46" s="523"/>
      <c r="AX46" s="523"/>
      <c r="AY46" s="523"/>
      <c r="AZ46" s="523"/>
      <c r="BA46" s="523"/>
      <c r="BB46" s="523"/>
      <c r="BC46" s="523"/>
      <c r="BD46" s="523"/>
      <c r="BE46" s="523"/>
      <c r="BF46" s="523"/>
      <c r="BG46" s="523"/>
      <c r="BH46" s="523"/>
      <c r="BI46" s="523"/>
      <c r="BJ46" s="523"/>
      <c r="BK46" s="523"/>
      <c r="BL46" s="523"/>
      <c r="BM46" s="523"/>
      <c r="BN46" s="523"/>
      <c r="BO46" s="523"/>
      <c r="BP46" s="523"/>
      <c r="BQ46" s="523"/>
      <c r="BR46" s="523"/>
      <c r="BS46" s="523"/>
      <c r="BT46" s="523"/>
      <c r="BU46" s="523"/>
      <c r="BV46" s="523"/>
      <c r="BW46" s="523"/>
      <c r="BX46" s="523"/>
      <c r="BY46" s="523"/>
      <c r="BZ46" s="523"/>
    </row>
    <row r="47" spans="1:78" ht="19.5" customHeight="1" x14ac:dyDescent="0.3">
      <c r="A47" s="523"/>
      <c r="B47" s="258"/>
      <c r="C47" s="258"/>
      <c r="D47" s="258"/>
      <c r="E47" s="258"/>
      <c r="F47" s="512"/>
      <c r="G47" s="512"/>
      <c r="H47" s="512"/>
      <c r="I47" s="512"/>
      <c r="J47" s="512"/>
      <c r="K47" s="512"/>
      <c r="L47" s="512"/>
      <c r="M47" s="512"/>
      <c r="N47" s="512"/>
      <c r="O47" s="512"/>
      <c r="P47" s="512"/>
      <c r="Q47" s="512"/>
      <c r="R47" s="512"/>
      <c r="S47" s="512"/>
      <c r="T47" s="512"/>
      <c r="U47" s="512"/>
      <c r="V47" s="512"/>
      <c r="W47" s="512"/>
      <c r="X47" s="512"/>
      <c r="Y47" s="512"/>
      <c r="Z47" s="512"/>
      <c r="AA47" s="512"/>
      <c r="AB47" s="512"/>
      <c r="AC47" s="512"/>
      <c r="AF47" s="523"/>
      <c r="AG47" s="523"/>
      <c r="AH47" s="523"/>
      <c r="AI47" s="523"/>
      <c r="AJ47" s="523"/>
      <c r="AK47" s="523"/>
      <c r="AL47" s="523"/>
      <c r="AM47" s="523"/>
      <c r="AN47" s="523"/>
      <c r="AO47" s="523"/>
      <c r="AP47" s="523"/>
      <c r="AQ47" s="523"/>
      <c r="AR47" s="523"/>
      <c r="AS47" s="523"/>
      <c r="AT47" s="523"/>
      <c r="AU47" s="523"/>
      <c r="AV47" s="523"/>
      <c r="AW47" s="523"/>
      <c r="AX47" s="523"/>
      <c r="AY47" s="523"/>
      <c r="AZ47" s="523"/>
      <c r="BA47" s="523"/>
      <c r="BB47" s="523"/>
      <c r="BC47" s="523"/>
      <c r="BD47" s="523"/>
      <c r="BE47" s="523"/>
      <c r="BF47" s="523"/>
      <c r="BG47" s="523"/>
      <c r="BH47" s="523"/>
      <c r="BI47" s="523"/>
      <c r="BJ47" s="523"/>
      <c r="BK47" s="523"/>
      <c r="BL47" s="523"/>
      <c r="BM47" s="523"/>
      <c r="BN47" s="523"/>
      <c r="BO47" s="523"/>
      <c r="BP47" s="523"/>
      <c r="BQ47" s="523"/>
      <c r="BR47" s="523"/>
      <c r="BS47" s="523"/>
      <c r="BT47" s="523"/>
      <c r="BU47" s="523"/>
      <c r="BV47" s="523"/>
      <c r="BW47" s="523"/>
      <c r="BX47" s="523"/>
      <c r="BY47" s="523"/>
      <c r="BZ47" s="523"/>
    </row>
    <row r="48" spans="1:78" ht="19.5" customHeight="1" x14ac:dyDescent="0.3">
      <c r="A48" s="523"/>
      <c r="B48" s="258"/>
      <c r="C48" s="258"/>
      <c r="D48" s="258"/>
      <c r="E48" s="258"/>
      <c r="F48" s="512"/>
      <c r="G48" s="512"/>
      <c r="H48" s="512"/>
      <c r="I48" s="512"/>
      <c r="J48" s="512"/>
      <c r="K48" s="512"/>
      <c r="L48" s="512"/>
      <c r="M48" s="512"/>
      <c r="N48" s="512"/>
      <c r="O48" s="512"/>
      <c r="P48" s="512"/>
      <c r="Q48" s="512"/>
      <c r="R48" s="512"/>
      <c r="S48" s="512"/>
      <c r="T48" s="512"/>
      <c r="U48" s="512"/>
      <c r="V48" s="512"/>
      <c r="W48" s="512"/>
      <c r="X48" s="512"/>
      <c r="Y48" s="512"/>
      <c r="Z48" s="512"/>
      <c r="AA48" s="512"/>
      <c r="AB48" s="512"/>
      <c r="AC48" s="512"/>
      <c r="AE48" s="523"/>
      <c r="AF48" s="523"/>
      <c r="AG48" s="523"/>
      <c r="AH48" s="523"/>
      <c r="AI48" s="523"/>
      <c r="AJ48" s="523"/>
      <c r="AK48" s="523"/>
      <c r="AL48" s="523"/>
      <c r="AM48" s="523"/>
      <c r="AN48" s="523"/>
      <c r="AO48" s="523"/>
      <c r="AP48" s="523"/>
      <c r="AQ48" s="523"/>
      <c r="AR48" s="523"/>
      <c r="AS48" s="523"/>
      <c r="AT48" s="523"/>
      <c r="AU48" s="523"/>
      <c r="AV48" s="523"/>
      <c r="AW48" s="523"/>
      <c r="AX48" s="523"/>
      <c r="AY48" s="523"/>
      <c r="AZ48" s="523"/>
      <c r="BA48" s="523"/>
      <c r="BB48" s="523"/>
      <c r="BC48" s="523"/>
      <c r="BD48" s="523"/>
      <c r="BE48" s="523"/>
      <c r="BF48" s="523"/>
      <c r="BG48" s="523"/>
      <c r="BH48" s="523"/>
      <c r="BI48" s="523"/>
      <c r="BJ48" s="523"/>
      <c r="BK48" s="523"/>
      <c r="BL48" s="523"/>
      <c r="BM48" s="523"/>
      <c r="BN48" s="523"/>
      <c r="BO48" s="523"/>
      <c r="BP48" s="523"/>
      <c r="BQ48" s="523"/>
      <c r="BR48" s="523"/>
      <c r="BS48" s="523"/>
      <c r="BT48" s="523"/>
      <c r="BU48" s="523"/>
      <c r="BV48" s="523"/>
      <c r="BW48" s="523"/>
      <c r="BX48" s="523"/>
      <c r="BY48" s="523"/>
      <c r="BZ48" s="523"/>
    </row>
    <row r="49" spans="2:29" x14ac:dyDescent="0.3">
      <c r="B49" s="180"/>
      <c r="C49" s="155"/>
      <c r="D49" s="155"/>
      <c r="E49" s="155"/>
      <c r="F49" s="155"/>
      <c r="G49" s="155"/>
      <c r="H49" s="155"/>
      <c r="I49" s="155"/>
      <c r="J49" s="155"/>
      <c r="K49" s="155"/>
      <c r="L49" s="155"/>
      <c r="M49" s="155"/>
      <c r="N49" s="155"/>
      <c r="O49" s="155"/>
      <c r="P49" s="440"/>
      <c r="Q49" s="440"/>
      <c r="R49" s="440"/>
      <c r="S49" s="440"/>
      <c r="T49" s="440"/>
      <c r="U49" s="440"/>
      <c r="V49" s="440"/>
      <c r="W49" s="440"/>
      <c r="X49" s="440"/>
      <c r="Y49" s="440"/>
      <c r="Z49" s="440"/>
      <c r="AA49" s="440"/>
      <c r="AB49" s="440"/>
      <c r="AC49" s="440"/>
    </row>
    <row r="51" spans="2:29" x14ac:dyDescent="0.3">
      <c r="S51" s="36"/>
    </row>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T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B1:AC55"/>
  <sheetViews>
    <sheetView tabSelected="1" topLeftCell="A19" zoomScale="90" zoomScaleNormal="90" workbookViewId="0">
      <selection activeCell="O24" sqref="O24"/>
    </sheetView>
  </sheetViews>
  <sheetFormatPr defaultColWidth="11.554687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29" x14ac:dyDescent="0.3">
      <c r="B1" s="1094" t="s">
        <v>54</v>
      </c>
      <c r="C1" s="1094"/>
      <c r="D1" s="1094"/>
      <c r="E1" s="1094"/>
      <c r="F1" s="1094"/>
      <c r="G1" s="1094"/>
      <c r="H1" s="1094"/>
      <c r="I1" s="1094"/>
      <c r="J1" s="1094"/>
      <c r="K1" s="1094"/>
      <c r="L1" s="1094"/>
      <c r="M1" s="1094"/>
      <c r="N1" s="1094"/>
      <c r="O1" s="1094"/>
      <c r="P1" s="1094"/>
      <c r="Q1" s="1094"/>
      <c r="R1" s="1094"/>
      <c r="S1" s="1094"/>
      <c r="T1" s="1094"/>
      <c r="U1" s="1094"/>
      <c r="V1" s="1094"/>
      <c r="W1" s="1094"/>
      <c r="X1" s="1094"/>
      <c r="Y1" s="1094"/>
      <c r="Z1" s="1094"/>
      <c r="AA1" s="1094"/>
      <c r="AB1" s="1094"/>
      <c r="AC1" s="1094"/>
    </row>
    <row r="2" spans="2:29" ht="14.25" customHeight="1" x14ac:dyDescent="0.3">
      <c r="B2" s="1159" t="s">
        <v>932</v>
      </c>
      <c r="C2" s="1159"/>
      <c r="D2" s="1159"/>
      <c r="E2" s="1159"/>
      <c r="F2" s="1159"/>
      <c r="G2" s="1159"/>
      <c r="H2" s="1159"/>
      <c r="I2" s="1159"/>
      <c r="J2" s="1159"/>
      <c r="K2" s="1159"/>
      <c r="L2" s="1159"/>
      <c r="M2" s="1159"/>
      <c r="N2" s="1159"/>
      <c r="O2" s="1159"/>
      <c r="P2" s="1159"/>
      <c r="Q2" s="1159"/>
      <c r="R2" s="1159"/>
      <c r="S2" s="1159"/>
      <c r="T2" s="1159"/>
      <c r="U2" s="1159"/>
      <c r="V2" s="1187" t="s">
        <v>1003</v>
      </c>
      <c r="W2" s="1187"/>
      <c r="X2" s="1187"/>
      <c r="Y2" s="1187"/>
      <c r="Z2" s="1187"/>
      <c r="AA2" s="1187"/>
      <c r="AB2" s="1187"/>
      <c r="AC2" s="575"/>
    </row>
    <row r="3" spans="2:29" ht="59.7" customHeight="1" x14ac:dyDescent="0.3">
      <c r="B3" s="1159"/>
      <c r="C3" s="1159"/>
      <c r="D3" s="1159"/>
      <c r="E3" s="1159"/>
      <c r="F3" s="1159"/>
      <c r="G3" s="1159"/>
      <c r="H3" s="1159"/>
      <c r="I3" s="1159"/>
      <c r="J3" s="1159"/>
      <c r="K3" s="1159"/>
      <c r="L3" s="1159"/>
      <c r="M3" s="1159"/>
      <c r="N3" s="1159"/>
      <c r="O3" s="1159"/>
      <c r="P3" s="1159"/>
      <c r="Q3" s="1159"/>
      <c r="R3" s="1159"/>
      <c r="S3" s="1159"/>
      <c r="T3" s="1159"/>
      <c r="U3" s="1159"/>
      <c r="V3" s="1187"/>
      <c r="W3" s="1187"/>
      <c r="X3" s="1187"/>
      <c r="Y3" s="1187"/>
      <c r="Z3" s="1187"/>
      <c r="AA3" s="1187"/>
      <c r="AB3" s="1187"/>
      <c r="AC3" s="575"/>
    </row>
    <row r="4" spans="2:29" ht="88.5" customHeight="1" x14ac:dyDescent="0.3">
      <c r="B4" s="1159"/>
      <c r="C4" s="1159"/>
      <c r="D4" s="1159"/>
      <c r="E4" s="1159"/>
      <c r="F4" s="1159"/>
      <c r="G4" s="1159"/>
      <c r="H4" s="1159"/>
      <c r="I4" s="1159"/>
      <c r="J4" s="1159"/>
      <c r="K4" s="1159"/>
      <c r="L4" s="1159"/>
      <c r="M4" s="1159"/>
      <c r="N4" s="1159"/>
      <c r="O4" s="1159"/>
      <c r="P4" s="1159"/>
      <c r="Q4" s="1159"/>
      <c r="R4" s="1159"/>
      <c r="S4" s="1159"/>
      <c r="T4" s="1159"/>
      <c r="U4" s="1159"/>
      <c r="V4" s="1187"/>
      <c r="W4" s="1187"/>
      <c r="X4" s="1187"/>
      <c r="Y4" s="1187"/>
      <c r="Z4" s="1187"/>
      <c r="AA4" s="1187"/>
      <c r="AB4" s="1187"/>
      <c r="AC4" s="575"/>
    </row>
    <row r="5" spans="2:29" ht="33" customHeight="1" x14ac:dyDescent="0.3">
      <c r="B5" s="575"/>
      <c r="C5" s="575"/>
      <c r="D5" s="575"/>
      <c r="E5" s="575"/>
      <c r="F5" s="575"/>
      <c r="G5" s="575"/>
      <c r="H5" s="575"/>
      <c r="I5" s="575"/>
      <c r="J5" s="575"/>
      <c r="K5" s="575"/>
      <c r="L5" s="575"/>
      <c r="M5" s="575"/>
      <c r="N5" s="575"/>
      <c r="O5" s="575"/>
      <c r="P5" s="575"/>
      <c r="Q5" s="575"/>
      <c r="R5" s="575"/>
      <c r="S5" s="575"/>
      <c r="T5" s="575"/>
      <c r="U5" s="575"/>
      <c r="V5" s="575"/>
      <c r="W5" s="575"/>
      <c r="X5" s="575"/>
      <c r="Y5" s="575"/>
      <c r="Z5" s="575"/>
      <c r="AA5" s="575"/>
      <c r="AB5" s="575"/>
      <c r="AC5" s="575"/>
    </row>
    <row r="6" spans="2:29" x14ac:dyDescent="0.3">
      <c r="B6" s="575"/>
      <c r="C6" s="575"/>
      <c r="D6" s="575"/>
      <c r="E6" s="575"/>
      <c r="F6" s="575"/>
      <c r="G6" s="575"/>
      <c r="H6" s="575"/>
      <c r="I6" s="575"/>
      <c r="J6" s="575"/>
      <c r="K6" s="575"/>
      <c r="L6" s="575"/>
      <c r="M6" s="575"/>
      <c r="N6" s="575"/>
      <c r="O6" s="575"/>
      <c r="P6" s="575"/>
      <c r="Q6" s="575"/>
      <c r="R6" s="575"/>
      <c r="S6" s="575"/>
      <c r="T6" s="575"/>
      <c r="U6" s="575"/>
      <c r="V6" s="575"/>
      <c r="W6" s="575"/>
      <c r="X6" s="575"/>
      <c r="Y6" s="575"/>
      <c r="Z6" s="575"/>
      <c r="AA6" s="575"/>
      <c r="AB6" s="575"/>
      <c r="AC6" s="575"/>
    </row>
    <row r="7" spans="2:29" ht="14.7" customHeight="1" x14ac:dyDescent="0.3">
      <c r="B7" s="1123" t="s">
        <v>465</v>
      </c>
      <c r="C7" s="1107"/>
      <c r="D7" s="1104" t="s">
        <v>325</v>
      </c>
      <c r="E7" s="1105"/>
      <c r="F7" s="1105"/>
      <c r="G7" s="1105"/>
      <c r="H7" s="1105"/>
      <c r="I7" s="1105"/>
      <c r="J7" s="1105"/>
      <c r="K7" s="1105"/>
      <c r="L7" s="1105"/>
      <c r="M7" s="1105"/>
      <c r="N7" s="1105"/>
      <c r="O7" s="1105"/>
      <c r="P7" s="1105"/>
      <c r="Q7" s="1106"/>
      <c r="R7" s="1106"/>
      <c r="S7" s="1106"/>
      <c r="T7" s="1132" t="s">
        <v>326</v>
      </c>
      <c r="U7" s="1132"/>
      <c r="V7" s="1132"/>
      <c r="W7" s="1132"/>
      <c r="X7" s="1132"/>
      <c r="Y7" s="1132"/>
      <c r="Z7" s="1132"/>
      <c r="AA7" s="1132"/>
      <c r="AB7" s="1132"/>
      <c r="AC7" s="1133"/>
    </row>
    <row r="8" spans="2:29" x14ac:dyDescent="0.3">
      <c r="B8" s="1124"/>
      <c r="C8" s="1161"/>
      <c r="D8" s="142">
        <v>2018</v>
      </c>
      <c r="E8" s="1095">
        <v>2019</v>
      </c>
      <c r="F8" s="1096"/>
      <c r="G8" s="1096"/>
      <c r="H8" s="1103"/>
      <c r="I8" s="1095">
        <v>2020</v>
      </c>
      <c r="J8" s="1096"/>
      <c r="K8" s="1096"/>
      <c r="L8" s="1096"/>
      <c r="M8" s="1095">
        <v>2021</v>
      </c>
      <c r="N8" s="1096"/>
      <c r="O8" s="1096"/>
      <c r="P8" s="1096"/>
      <c r="Q8" s="1129">
        <v>2022</v>
      </c>
      <c r="R8" s="1130"/>
      <c r="S8" s="253"/>
      <c r="T8" s="288"/>
      <c r="U8" s="1126">
        <v>2023</v>
      </c>
      <c r="V8" s="1127"/>
      <c r="W8" s="1127"/>
      <c r="X8" s="1127"/>
      <c r="Y8" s="1126">
        <v>2024</v>
      </c>
      <c r="Z8" s="1127"/>
      <c r="AA8" s="1127"/>
      <c r="AB8" s="1128"/>
      <c r="AC8" s="259">
        <v>2025</v>
      </c>
    </row>
    <row r="9" spans="2:29" x14ac:dyDescent="0.3">
      <c r="B9" s="1124"/>
      <c r="C9" s="1161"/>
      <c r="D9" s="153" t="s">
        <v>327</v>
      </c>
      <c r="E9" s="153" t="s">
        <v>328</v>
      </c>
      <c r="F9" s="152" t="s">
        <v>329</v>
      </c>
      <c r="G9" s="152" t="s">
        <v>238</v>
      </c>
      <c r="H9" s="204" t="s">
        <v>327</v>
      </c>
      <c r="I9" s="152" t="s">
        <v>328</v>
      </c>
      <c r="J9" s="152" t="s">
        <v>329</v>
      </c>
      <c r="K9" s="152" t="s">
        <v>238</v>
      </c>
      <c r="L9" s="152" t="s">
        <v>327</v>
      </c>
      <c r="M9" s="153" t="s">
        <v>328</v>
      </c>
      <c r="N9" s="152" t="s">
        <v>329</v>
      </c>
      <c r="O9" s="152" t="s">
        <v>238</v>
      </c>
      <c r="P9" s="152" t="s">
        <v>327</v>
      </c>
      <c r="Q9" s="153" t="s">
        <v>328</v>
      </c>
      <c r="R9" s="152" t="s">
        <v>329</v>
      </c>
      <c r="S9" s="204" t="s">
        <v>238</v>
      </c>
      <c r="T9" s="369" t="s">
        <v>327</v>
      </c>
      <c r="U9" s="356" t="s">
        <v>328</v>
      </c>
      <c r="V9" s="357" t="s">
        <v>329</v>
      </c>
      <c r="W9" s="357" t="s">
        <v>238</v>
      </c>
      <c r="X9" s="357" t="s">
        <v>327</v>
      </c>
      <c r="Y9" s="356" t="s">
        <v>328</v>
      </c>
      <c r="Z9" s="250" t="s">
        <v>329</v>
      </c>
      <c r="AA9" s="357" t="s">
        <v>238</v>
      </c>
      <c r="AB9" s="369" t="s">
        <v>327</v>
      </c>
      <c r="AC9" s="384" t="s">
        <v>328</v>
      </c>
    </row>
    <row r="10" spans="2:29" x14ac:dyDescent="0.3">
      <c r="B10" s="544" t="s">
        <v>101</v>
      </c>
      <c r="C10" s="439" t="s">
        <v>491</v>
      </c>
      <c r="D10" s="572">
        <f>'Haver Pivoted'!GO13</f>
        <v>589.5</v>
      </c>
      <c r="E10" s="550">
        <f>'Haver Pivoted'!GP13</f>
        <v>598.70000000000005</v>
      </c>
      <c r="F10" s="550">
        <f>'Haver Pivoted'!GQ13</f>
        <v>614.4</v>
      </c>
      <c r="G10" s="550">
        <f>'Haver Pivoted'!GR13</f>
        <v>622.4</v>
      </c>
      <c r="H10" s="550">
        <f>'Haver Pivoted'!GS13</f>
        <v>620.70000000000005</v>
      </c>
      <c r="I10" s="550">
        <f>'Haver Pivoted'!GT13</f>
        <v>606.6</v>
      </c>
      <c r="J10" s="550">
        <f>'Haver Pivoted'!GU13</f>
        <v>654.70000000000005</v>
      </c>
      <c r="K10" s="550">
        <f>'Haver Pivoted'!GV13</f>
        <v>690.7</v>
      </c>
      <c r="L10" s="550">
        <f>'Haver Pivoted'!GW13</f>
        <v>678.3</v>
      </c>
      <c r="M10" s="550">
        <f>'Haver Pivoted'!GX13</f>
        <v>704.4</v>
      </c>
      <c r="N10" s="550">
        <f>'Haver Pivoted'!GY13</f>
        <v>744.8</v>
      </c>
      <c r="O10" s="550">
        <f>'Haver Pivoted'!GZ13</f>
        <v>748.2</v>
      </c>
      <c r="P10" s="550">
        <f>'Haver Pivoted'!HA13</f>
        <v>745</v>
      </c>
      <c r="Q10" s="550">
        <f>'Haver Pivoted'!HB13</f>
        <v>763.1</v>
      </c>
      <c r="R10" s="550">
        <f>'Haver Pivoted'!HC13</f>
        <v>789.5</v>
      </c>
      <c r="S10" s="532">
        <f>'Haver Pivoted'!HD13</f>
        <v>790</v>
      </c>
      <c r="T10" s="243"/>
      <c r="U10" s="243"/>
      <c r="V10" s="243"/>
      <c r="W10" s="243"/>
      <c r="X10" s="243"/>
      <c r="Y10" s="243"/>
      <c r="Z10" s="243"/>
      <c r="AA10" s="243"/>
      <c r="AB10" s="243"/>
      <c r="AC10" s="244"/>
    </row>
    <row r="11" spans="2:29" x14ac:dyDescent="0.3">
      <c r="B11" s="178" t="s">
        <v>492</v>
      </c>
      <c r="C11" s="155" t="s">
        <v>387</v>
      </c>
      <c r="D11" s="568">
        <f>'Haver Pivoted'!GO40</f>
        <v>390.53500000000003</v>
      </c>
      <c r="E11" s="479">
        <f>'Haver Pivoted'!GP40</f>
        <v>407.62099999999998</v>
      </c>
      <c r="F11" s="479">
        <f>'Haver Pivoted'!GQ40</f>
        <v>416.459</v>
      </c>
      <c r="G11" s="479">
        <f>'Haver Pivoted'!GR40</f>
        <v>418.661</v>
      </c>
      <c r="H11" s="479">
        <f>'Haver Pivoted'!GS40</f>
        <v>411.69499999999999</v>
      </c>
      <c r="I11" s="479">
        <f>'Haver Pivoted'!GT40</f>
        <v>428.30799999999999</v>
      </c>
      <c r="J11" s="479">
        <f>'Haver Pivoted'!GU40</f>
        <v>506.81599999999997</v>
      </c>
      <c r="K11" s="479">
        <f>'Haver Pivoted'!GV40</f>
        <v>484.78</v>
      </c>
      <c r="L11" s="479">
        <f>'Haver Pivoted'!GW40</f>
        <v>500.25799999999998</v>
      </c>
      <c r="M11" s="479">
        <f>'Haver Pivoted'!GX40</f>
        <v>509.42099999999999</v>
      </c>
      <c r="N11" s="479">
        <f>'Haver Pivoted'!GY40</f>
        <v>527.01700000000005</v>
      </c>
      <c r="O11" s="479">
        <f>'Haver Pivoted'!GZ40</f>
        <v>542.85299999999995</v>
      </c>
      <c r="P11" s="479">
        <f>'Haver Pivoted'!HA40</f>
        <v>553.86500000000001</v>
      </c>
      <c r="Q11" s="479">
        <f>'Haver Pivoted'!HB40</f>
        <v>592.26700000000005</v>
      </c>
      <c r="R11" s="479">
        <f>'Haver Pivoted'!HC40</f>
        <v>590.13</v>
      </c>
      <c r="S11" s="423">
        <f>'Haver Pivoted'!HD40</f>
        <v>605.63699999999994</v>
      </c>
      <c r="T11" s="357"/>
      <c r="U11" s="357"/>
      <c r="V11" s="357"/>
      <c r="W11" s="357"/>
      <c r="X11" s="357"/>
      <c r="Y11" s="357"/>
      <c r="Z11" s="357"/>
      <c r="AA11" s="357"/>
      <c r="AB11" s="357"/>
      <c r="AC11" s="369"/>
    </row>
    <row r="12" spans="2:29" ht="27.6" customHeight="1" x14ac:dyDescent="0.3">
      <c r="B12" s="448" t="s">
        <v>972</v>
      </c>
      <c r="C12" s="37"/>
      <c r="D12" s="574">
        <f t="shared" ref="D12:N12" si="0">D11/D10</f>
        <v>0.66248515691263787</v>
      </c>
      <c r="E12" s="543">
        <f t="shared" si="0"/>
        <v>0.68084349423751456</v>
      </c>
      <c r="F12" s="543">
        <f t="shared" si="0"/>
        <v>0.67783040364583336</v>
      </c>
      <c r="G12" s="543">
        <f t="shared" si="0"/>
        <v>0.6726558483290489</v>
      </c>
      <c r="H12" s="543">
        <f t="shared" si="0"/>
        <v>0.66327533429998387</v>
      </c>
      <c r="I12" s="543">
        <f t="shared" si="0"/>
        <v>0.70607978898780077</v>
      </c>
      <c r="J12" s="543">
        <f t="shared" si="0"/>
        <v>0.77411944402016186</v>
      </c>
      <c r="K12" s="543">
        <f t="shared" si="0"/>
        <v>0.70186767047922394</v>
      </c>
      <c r="L12" s="543">
        <f t="shared" si="0"/>
        <v>0.73751732271856119</v>
      </c>
      <c r="M12" s="543">
        <f t="shared" si="0"/>
        <v>0.72319846678023847</v>
      </c>
      <c r="N12" s="543">
        <f t="shared" si="0"/>
        <v>0.70759532760472621</v>
      </c>
      <c r="O12" s="543">
        <f>O11/O10</f>
        <v>0.72554530874097822</v>
      </c>
      <c r="P12" s="543">
        <f>P11/P10</f>
        <v>0.74344295302013419</v>
      </c>
      <c r="Q12" s="543">
        <f>Q11/Q10</f>
        <v>0.77613287904599659</v>
      </c>
      <c r="R12" s="543">
        <f>R11/R10</f>
        <v>0.74747308423052561</v>
      </c>
      <c r="S12" s="533">
        <f>S11/S10</f>
        <v>0.76662911392405053</v>
      </c>
      <c r="T12" s="578">
        <f>S12+(H53-G53)</f>
        <v>0.76320350347544175</v>
      </c>
      <c r="U12" s="578">
        <f t="shared" ref="U12:Y12" si="1">T12</f>
        <v>0.76320350347544175</v>
      </c>
      <c r="V12" s="578">
        <f t="shared" si="1"/>
        <v>0.76320350347544175</v>
      </c>
      <c r="W12" s="578">
        <f>V12-0.05</f>
        <v>0.7132035034754417</v>
      </c>
      <c r="X12" s="578">
        <f>W12++(I53-H53)</f>
        <v>0.7126597783192804</v>
      </c>
      <c r="Y12" s="578">
        <f t="shared" si="1"/>
        <v>0.7126597783192804</v>
      </c>
      <c r="Z12" s="578">
        <f t="shared" ref="Z12" si="2">Y12</f>
        <v>0.7126597783192804</v>
      </c>
      <c r="AA12" s="578">
        <f t="shared" ref="AA12" si="3">Z12</f>
        <v>0.7126597783192804</v>
      </c>
      <c r="AB12" s="578">
        <f>AA12+(J53-I53)</f>
        <v>0.70779322522444788</v>
      </c>
      <c r="AC12" s="579">
        <f t="shared" ref="AC12" si="4">AB12</f>
        <v>0.70779322522444788</v>
      </c>
    </row>
    <row r="13" spans="2:29" ht="27.6" customHeight="1" x14ac:dyDescent="0.3"/>
    <row r="14" spans="2:29" ht="27.6" customHeight="1" x14ac:dyDescent="0.3"/>
    <row r="15" spans="2:29" ht="27.6" customHeight="1" x14ac:dyDescent="0.3">
      <c r="B15" s="155"/>
      <c r="C15" s="155"/>
      <c r="D15" s="539"/>
      <c r="E15" s="539"/>
      <c r="F15" s="539"/>
      <c r="G15" s="539"/>
      <c r="H15" s="539"/>
      <c r="I15" s="539"/>
      <c r="J15" s="539"/>
      <c r="K15" s="539"/>
      <c r="L15" s="539"/>
      <c r="M15" s="539"/>
      <c r="N15" s="539"/>
      <c r="O15" s="539"/>
    </row>
    <row r="16" spans="2:29" ht="27.6" customHeight="1" x14ac:dyDescent="0.3"/>
    <row r="17" spans="2:29" ht="27.6" customHeight="1" x14ac:dyDescent="0.3"/>
    <row r="18" spans="2:29" x14ac:dyDescent="0.3">
      <c r="B18" s="155"/>
      <c r="C18" s="155"/>
      <c r="D18" s="539"/>
      <c r="E18" s="539"/>
      <c r="F18" s="539"/>
      <c r="G18" s="539"/>
      <c r="H18" s="539"/>
      <c r="I18" s="539"/>
      <c r="J18" s="539"/>
      <c r="K18" s="539"/>
      <c r="L18" s="539"/>
      <c r="M18" s="539"/>
      <c r="N18" s="539"/>
      <c r="O18" s="539"/>
    </row>
    <row r="20" spans="2:29" x14ac:dyDescent="0.3">
      <c r="B20" s="180" t="s">
        <v>400</v>
      </c>
    </row>
    <row r="21" spans="2:29" ht="25.2" customHeight="1" x14ac:dyDescent="0.3">
      <c r="B21" s="551" t="s">
        <v>493</v>
      </c>
      <c r="C21" s="559">
        <v>2020</v>
      </c>
      <c r="D21" s="560">
        <v>2021</v>
      </c>
      <c r="E21" s="560">
        <v>2022</v>
      </c>
      <c r="F21" s="560">
        <v>2023</v>
      </c>
      <c r="G21" s="561">
        <v>2024</v>
      </c>
      <c r="H21" s="139"/>
      <c r="I21" s="139"/>
      <c r="J21" s="139"/>
    </row>
    <row r="22" spans="2:29" ht="31.5" customHeight="1" x14ac:dyDescent="0.3">
      <c r="B22" s="573" t="s">
        <v>1283</v>
      </c>
      <c r="C22" s="558">
        <v>458.46800000000002</v>
      </c>
      <c r="D22" s="269">
        <v>520.58799999999997</v>
      </c>
      <c r="E22" s="269">
        <v>589.25400000000002</v>
      </c>
      <c r="F22" s="269">
        <f>601.348+F23</f>
        <v>601.45799999999997</v>
      </c>
      <c r="G22" s="580">
        <f>545.425+G23</f>
        <v>546.16399999999999</v>
      </c>
    </row>
    <row r="23" spans="2:29" ht="31.5" customHeight="1" x14ac:dyDescent="0.3">
      <c r="B23" s="542" t="s">
        <v>1282</v>
      </c>
      <c r="C23" s="558"/>
      <c r="D23" s="269"/>
      <c r="E23" s="536"/>
      <c r="F23" s="537">
        <f>'IRA and CHIPS'!E174</f>
        <v>0.11</v>
      </c>
      <c r="G23" s="538">
        <f>'IRA and CHIPS'!F174</f>
        <v>0.73899999999999999</v>
      </c>
    </row>
    <row r="24" spans="2:29" x14ac:dyDescent="0.3">
      <c r="B24" s="178" t="s">
        <v>494</v>
      </c>
      <c r="C24" s="548">
        <f>AVERAGE(H12:K12)</f>
        <v>0.7113355594467925</v>
      </c>
      <c r="D24" s="539">
        <f>AVERAGE(L12:O12)</f>
        <v>0.72346410646112602</v>
      </c>
      <c r="E24" s="539">
        <f>AVERAGE(P12:S12)</f>
        <v>0.75841950755517673</v>
      </c>
      <c r="F24" s="539">
        <f>AVERAGE(T12:W12)</f>
        <v>0.75070350347544179</v>
      </c>
      <c r="G24" s="540">
        <f>AVERAGE(X12:AA12)</f>
        <v>0.7126597783192804</v>
      </c>
    </row>
    <row r="25" spans="2:29" x14ac:dyDescent="0.3">
      <c r="B25" s="178" t="s">
        <v>495</v>
      </c>
      <c r="C25" s="284">
        <f>C22/C24</f>
        <v>644.51719573326511</v>
      </c>
      <c r="D25" s="139">
        <f>D22/D24</f>
        <v>719.5768184637268</v>
      </c>
      <c r="E25" s="139">
        <f>E22/E24</f>
        <v>776.94995201205381</v>
      </c>
      <c r="F25" s="139">
        <f>F22/F24</f>
        <v>801.19247774321309</v>
      </c>
      <c r="G25" s="154">
        <f>G22/G24</f>
        <v>766.37410531019441</v>
      </c>
    </row>
    <row r="26" spans="2:29" ht="32.25" customHeight="1" x14ac:dyDescent="0.3">
      <c r="B26" s="448" t="s">
        <v>496</v>
      </c>
      <c r="C26" s="285"/>
      <c r="D26" s="543">
        <f>D25/C25-1</f>
        <v>0.11645868136235937</v>
      </c>
      <c r="E26" s="543">
        <f t="shared" ref="E26:G26" si="5">E25/D25-1</f>
        <v>7.973177022408362E-2</v>
      </c>
      <c r="F26" s="543">
        <f>F25/E25-1</f>
        <v>3.1202171604977735E-2</v>
      </c>
      <c r="G26" s="576">
        <f t="shared" si="5"/>
        <v>-4.3458186890489192E-2</v>
      </c>
      <c r="I26" s="547"/>
      <c r="J26" s="547"/>
      <c r="K26" s="547"/>
      <c r="L26" s="547"/>
      <c r="R26" s="36"/>
      <c r="S26" s="541"/>
      <c r="T26" s="541"/>
      <c r="U26" s="541"/>
    </row>
    <row r="28" spans="2:29" x14ac:dyDescent="0.3">
      <c r="B28" s="180" t="s">
        <v>413</v>
      </c>
    </row>
    <row r="29" spans="2:29" x14ac:dyDescent="0.3">
      <c r="B29" s="1123" t="s">
        <v>497</v>
      </c>
      <c r="C29" s="1106"/>
      <c r="D29" s="1104" t="s">
        <v>325</v>
      </c>
      <c r="E29" s="1105"/>
      <c r="F29" s="1105"/>
      <c r="G29" s="1105"/>
      <c r="H29" s="1105"/>
      <c r="I29" s="1105"/>
      <c r="J29" s="1105"/>
      <c r="K29" s="1105"/>
      <c r="L29" s="1105"/>
      <c r="M29" s="1105"/>
      <c r="N29" s="1105"/>
      <c r="O29" s="1105"/>
      <c r="P29" s="1105"/>
      <c r="Q29" s="1106"/>
      <c r="R29" s="1106"/>
      <c r="S29" s="1106"/>
      <c r="T29" s="1132" t="s">
        <v>326</v>
      </c>
      <c r="U29" s="1132"/>
      <c r="V29" s="1132"/>
      <c r="W29" s="1132"/>
      <c r="X29" s="1132"/>
      <c r="Y29" s="1132"/>
      <c r="Z29" s="1132"/>
      <c r="AA29" s="1132"/>
      <c r="AB29" s="1132"/>
      <c r="AC29" s="1133"/>
    </row>
    <row r="30" spans="2:29" x14ac:dyDescent="0.3">
      <c r="B30" s="1124"/>
      <c r="C30" s="1161"/>
      <c r="D30" s="142">
        <v>2018</v>
      </c>
      <c r="E30" s="1095">
        <v>2019</v>
      </c>
      <c r="F30" s="1096"/>
      <c r="G30" s="1096"/>
      <c r="H30" s="1103"/>
      <c r="I30" s="1095">
        <v>2020</v>
      </c>
      <c r="J30" s="1096"/>
      <c r="K30" s="1096"/>
      <c r="L30" s="1096"/>
      <c r="M30" s="1095">
        <v>2021</v>
      </c>
      <c r="N30" s="1096"/>
      <c r="O30" s="1096"/>
      <c r="P30" s="1096"/>
      <c r="Q30" s="1129">
        <v>2022</v>
      </c>
      <c r="R30" s="1130"/>
      <c r="S30" s="253"/>
      <c r="T30" s="288"/>
      <c r="U30" s="1126">
        <v>2023</v>
      </c>
      <c r="V30" s="1127"/>
      <c r="W30" s="1127"/>
      <c r="X30" s="1127"/>
      <c r="Y30" s="1126">
        <v>2024</v>
      </c>
      <c r="Z30" s="1127"/>
      <c r="AA30" s="1127"/>
      <c r="AB30" s="1128"/>
      <c r="AC30" s="259">
        <v>2025</v>
      </c>
    </row>
    <row r="31" spans="2:29" x14ac:dyDescent="0.3">
      <c r="B31" s="1135"/>
      <c r="C31" s="1162"/>
      <c r="D31" s="153" t="s">
        <v>327</v>
      </c>
      <c r="E31" s="153" t="s">
        <v>328</v>
      </c>
      <c r="F31" s="152" t="s">
        <v>329</v>
      </c>
      <c r="G31" s="152" t="s">
        <v>238</v>
      </c>
      <c r="H31" s="204" t="s">
        <v>327</v>
      </c>
      <c r="I31" s="152" t="s">
        <v>328</v>
      </c>
      <c r="J31" s="152" t="s">
        <v>329</v>
      </c>
      <c r="K31" s="152" t="s">
        <v>238</v>
      </c>
      <c r="L31" s="152" t="s">
        <v>327</v>
      </c>
      <c r="M31" s="153" t="s">
        <v>328</v>
      </c>
      <c r="N31" s="152" t="s">
        <v>329</v>
      </c>
      <c r="O31" s="152" t="s">
        <v>238</v>
      </c>
      <c r="P31" s="152" t="s">
        <v>327</v>
      </c>
      <c r="Q31" s="153" t="s">
        <v>328</v>
      </c>
      <c r="R31" s="152" t="s">
        <v>329</v>
      </c>
      <c r="S31" s="204" t="s">
        <v>238</v>
      </c>
      <c r="T31" s="369" t="s">
        <v>327</v>
      </c>
      <c r="U31" s="356" t="s">
        <v>328</v>
      </c>
      <c r="V31" s="357" t="s">
        <v>329</v>
      </c>
      <c r="W31" s="357" t="s">
        <v>238</v>
      </c>
      <c r="X31" s="357" t="s">
        <v>327</v>
      </c>
      <c r="Y31" s="356" t="s">
        <v>328</v>
      </c>
      <c r="Z31" s="250" t="s">
        <v>329</v>
      </c>
      <c r="AA31" s="357" t="s">
        <v>238</v>
      </c>
      <c r="AB31" s="369" t="s">
        <v>327</v>
      </c>
      <c r="AC31" s="384" t="s">
        <v>328</v>
      </c>
    </row>
    <row r="32" spans="2:29" ht="19.5" customHeight="1" x14ac:dyDescent="0.3">
      <c r="B32" s="565" t="s">
        <v>498</v>
      </c>
      <c r="C32" s="566"/>
      <c r="D32" s="569">
        <f t="shared" ref="D32:S32" si="6">D10</f>
        <v>589.5</v>
      </c>
      <c r="E32" s="570">
        <f t="shared" si="6"/>
        <v>598.70000000000005</v>
      </c>
      <c r="F32" s="570">
        <f t="shared" si="6"/>
        <v>614.4</v>
      </c>
      <c r="G32" s="570">
        <f t="shared" si="6"/>
        <v>622.4</v>
      </c>
      <c r="H32" s="570">
        <f t="shared" si="6"/>
        <v>620.70000000000005</v>
      </c>
      <c r="I32" s="570">
        <f t="shared" si="6"/>
        <v>606.6</v>
      </c>
      <c r="J32" s="570">
        <f t="shared" si="6"/>
        <v>654.70000000000005</v>
      </c>
      <c r="K32" s="570">
        <f t="shared" si="6"/>
        <v>690.7</v>
      </c>
      <c r="L32" s="570">
        <f t="shared" si="6"/>
        <v>678.3</v>
      </c>
      <c r="M32" s="570">
        <f t="shared" si="6"/>
        <v>704.4</v>
      </c>
      <c r="N32" s="570">
        <f t="shared" si="6"/>
        <v>744.8</v>
      </c>
      <c r="O32" s="570">
        <f t="shared" si="6"/>
        <v>748.2</v>
      </c>
      <c r="P32" s="570">
        <f t="shared" si="6"/>
        <v>745</v>
      </c>
      <c r="Q32" s="570">
        <f t="shared" si="6"/>
        <v>763.1</v>
      </c>
      <c r="R32" s="570">
        <f t="shared" si="6"/>
        <v>789.5</v>
      </c>
      <c r="S32" s="534">
        <f t="shared" si="6"/>
        <v>790</v>
      </c>
      <c r="T32" s="564">
        <f>S32*(1+$F$26)^0.25+T33</f>
        <v>790.0916083556474</v>
      </c>
      <c r="U32" s="564">
        <f>T32*(1+$F$26)^0.25</f>
        <v>796.18392309385763</v>
      </c>
      <c r="V32" s="564">
        <f>U32*(1+$F$26)^0.25</f>
        <v>802.32321504139009</v>
      </c>
      <c r="W32" s="564">
        <f>V32*(1+$F$26)^0.25</f>
        <v>808.50984643465085</v>
      </c>
      <c r="X32" s="564">
        <f t="shared" ref="X32:AC32" si="7">W32*(1+$G$26)^0.25</f>
        <v>799.5788595530172</v>
      </c>
      <c r="Y32" s="564">
        <f t="shared" si="7"/>
        <v>790.74652641942589</v>
      </c>
      <c r="Z32" s="564">
        <f t="shared" si="7"/>
        <v>782.01175728174405</v>
      </c>
      <c r="AA32" s="564">
        <f t="shared" si="7"/>
        <v>773.3734744254931</v>
      </c>
      <c r="AB32" s="564">
        <f t="shared" si="7"/>
        <v>764.83061204087801</v>
      </c>
      <c r="AC32" s="546">
        <f t="shared" si="7"/>
        <v>756.38211609128541</v>
      </c>
    </row>
    <row r="33" spans="2:29" ht="19.5" customHeight="1" x14ac:dyDescent="0.3">
      <c r="B33" s="545" t="s">
        <v>2375</v>
      </c>
      <c r="C33" s="1236"/>
      <c r="D33" s="567"/>
      <c r="E33" s="1237"/>
      <c r="F33" s="1237"/>
      <c r="G33" s="1237"/>
      <c r="H33" s="1237"/>
      <c r="I33" s="1237"/>
      <c r="J33" s="1237"/>
      <c r="K33" s="1237"/>
      <c r="L33" s="1237"/>
      <c r="M33" s="1237"/>
      <c r="N33" s="1237"/>
      <c r="O33" s="1237"/>
      <c r="P33" s="1237"/>
      <c r="Q33" s="1237"/>
      <c r="R33" s="1237"/>
      <c r="S33" s="639"/>
      <c r="T33" s="1238">
        <v>-6</v>
      </c>
      <c r="U33" s="1238"/>
      <c r="V33" s="1238"/>
      <c r="W33" s="1238"/>
      <c r="X33" s="1238"/>
      <c r="Y33" s="1238"/>
      <c r="Z33" s="1238"/>
      <c r="AA33" s="1238"/>
      <c r="AB33" s="1238"/>
      <c r="AC33" s="1238"/>
    </row>
    <row r="34" spans="2:29" ht="19.2" customHeight="1" x14ac:dyDescent="0.3">
      <c r="B34" s="545" t="s">
        <v>207</v>
      </c>
      <c r="C34" s="258"/>
      <c r="D34" s="567">
        <f t="shared" ref="D34:Q34" si="8">D10*D12</f>
        <v>390.53500000000003</v>
      </c>
      <c r="E34" s="535">
        <f t="shared" si="8"/>
        <v>407.62099999999998</v>
      </c>
      <c r="F34" s="535">
        <f t="shared" si="8"/>
        <v>416.459</v>
      </c>
      <c r="G34" s="535">
        <f t="shared" si="8"/>
        <v>418.661</v>
      </c>
      <c r="H34" s="535">
        <f t="shared" si="8"/>
        <v>411.69499999999999</v>
      </c>
      <c r="I34" s="535">
        <f t="shared" si="8"/>
        <v>428.30799999999994</v>
      </c>
      <c r="J34" s="535">
        <f t="shared" si="8"/>
        <v>506.81600000000003</v>
      </c>
      <c r="K34" s="535">
        <f t="shared" si="8"/>
        <v>484.78000000000003</v>
      </c>
      <c r="L34" s="535">
        <f t="shared" si="8"/>
        <v>500.25800000000004</v>
      </c>
      <c r="M34" s="535">
        <f t="shared" si="8"/>
        <v>509.42099999999994</v>
      </c>
      <c r="N34" s="535">
        <f t="shared" si="8"/>
        <v>527.01700000000005</v>
      </c>
      <c r="O34" s="535">
        <f t="shared" si="8"/>
        <v>542.85299999999995</v>
      </c>
      <c r="P34" s="535">
        <f t="shared" si="8"/>
        <v>553.86500000000001</v>
      </c>
      <c r="Q34" s="535">
        <f t="shared" si="8"/>
        <v>592.26700000000005</v>
      </c>
      <c r="R34" s="535">
        <f t="shared" ref="R34:AC34" si="9">R32*R12</f>
        <v>590.13</v>
      </c>
      <c r="S34" s="577">
        <f t="shared" si="9"/>
        <v>605.63699999999994</v>
      </c>
      <c r="T34" s="552">
        <f t="shared" si="9"/>
        <v>603.00068356357667</v>
      </c>
      <c r="U34" s="552">
        <f t="shared" si="9"/>
        <v>607.65035951605387</v>
      </c>
      <c r="V34" s="552">
        <f t="shared" si="9"/>
        <v>612.33588863926911</v>
      </c>
      <c r="W34" s="552">
        <f t="shared" si="9"/>
        <v>576.63205507158432</v>
      </c>
      <c r="X34" s="552">
        <f t="shared" si="9"/>
        <v>569.82769279783622</v>
      </c>
      <c r="Y34" s="552">
        <f t="shared" si="9"/>
        <v>563.5332442248091</v>
      </c>
      <c r="Z34" s="552">
        <f t="shared" si="9"/>
        <v>557.30832558747863</v>
      </c>
      <c r="AA34" s="552">
        <f t="shared" si="9"/>
        <v>551.1521688420836</v>
      </c>
      <c r="AB34" s="552">
        <f t="shared" si="9"/>
        <v>541.34192564680143</v>
      </c>
      <c r="AC34" s="552">
        <f t="shared" si="9"/>
        <v>535.36213745034365</v>
      </c>
    </row>
    <row r="35" spans="2:29" ht="19.2" customHeight="1" x14ac:dyDescent="0.3">
      <c r="B35" s="149" t="s">
        <v>499</v>
      </c>
      <c r="C35" s="265"/>
      <c r="D35" s="571">
        <f t="shared" ref="D35:G35" si="10">D32-D34</f>
        <v>198.96499999999997</v>
      </c>
      <c r="E35" s="298">
        <f t="shared" si="10"/>
        <v>191.07900000000006</v>
      </c>
      <c r="F35" s="298">
        <f t="shared" si="10"/>
        <v>197.94099999999997</v>
      </c>
      <c r="G35" s="298">
        <f t="shared" si="10"/>
        <v>203.73899999999998</v>
      </c>
      <c r="H35" s="298">
        <f t="shared" ref="H35:AC35" si="11">H32-H34</f>
        <v>209.00500000000005</v>
      </c>
      <c r="I35" s="298">
        <f t="shared" si="11"/>
        <v>178.29200000000009</v>
      </c>
      <c r="J35" s="298">
        <f t="shared" si="11"/>
        <v>147.88400000000001</v>
      </c>
      <c r="K35" s="298">
        <f t="shared" si="11"/>
        <v>205.92000000000002</v>
      </c>
      <c r="L35" s="298">
        <f t="shared" si="11"/>
        <v>178.04199999999992</v>
      </c>
      <c r="M35" s="298">
        <f t="shared" si="11"/>
        <v>194.97900000000004</v>
      </c>
      <c r="N35" s="298">
        <f t="shared" si="11"/>
        <v>217.7829999999999</v>
      </c>
      <c r="O35" s="298">
        <f>O32-O34</f>
        <v>205.34700000000009</v>
      </c>
      <c r="P35" s="298">
        <f>P32-P34</f>
        <v>191.13499999999999</v>
      </c>
      <c r="Q35" s="298">
        <f t="shared" si="11"/>
        <v>170.83299999999997</v>
      </c>
      <c r="R35" s="298">
        <f t="shared" si="11"/>
        <v>199.37</v>
      </c>
      <c r="S35" s="299">
        <f t="shared" si="11"/>
        <v>184.36300000000006</v>
      </c>
      <c r="T35" s="562">
        <f t="shared" si="11"/>
        <v>187.09092479207072</v>
      </c>
      <c r="U35" s="562">
        <f t="shared" si="11"/>
        <v>188.53356357780376</v>
      </c>
      <c r="V35" s="562">
        <f t="shared" si="11"/>
        <v>189.98732640212097</v>
      </c>
      <c r="W35" s="562">
        <f t="shared" si="11"/>
        <v>231.87779136306654</v>
      </c>
      <c r="X35" s="562">
        <f t="shared" si="11"/>
        <v>229.75116675518098</v>
      </c>
      <c r="Y35" s="562">
        <f t="shared" si="11"/>
        <v>227.2132821946168</v>
      </c>
      <c r="Z35" s="562">
        <f t="shared" si="11"/>
        <v>224.70343169426542</v>
      </c>
      <c r="AA35" s="562">
        <f t="shared" si="11"/>
        <v>222.2213055834095</v>
      </c>
      <c r="AB35" s="562">
        <f t="shared" si="11"/>
        <v>223.48868639407658</v>
      </c>
      <c r="AC35" s="563">
        <f t="shared" si="11"/>
        <v>221.01997864094176</v>
      </c>
    </row>
    <row r="36" spans="2:29" ht="19.2" customHeight="1" x14ac:dyDescent="0.3">
      <c r="B36" s="155"/>
      <c r="C36" s="155"/>
      <c r="D36" s="479"/>
      <c r="E36" s="479"/>
      <c r="F36" s="479"/>
      <c r="G36" s="479"/>
      <c r="H36" s="479"/>
      <c r="I36" s="479"/>
      <c r="J36" s="479"/>
      <c r="K36" s="479"/>
      <c r="L36" s="479"/>
      <c r="M36" s="479"/>
      <c r="N36" s="479"/>
      <c r="O36" s="479"/>
      <c r="P36" s="479"/>
      <c r="Q36" s="479">
        <v>763.1</v>
      </c>
      <c r="R36" s="479">
        <v>789.5</v>
      </c>
      <c r="S36" s="479">
        <v>799.4</v>
      </c>
      <c r="T36" s="572">
        <v>813.9154697797394</v>
      </c>
      <c r="U36" s="479">
        <v>828.69451081657985</v>
      </c>
      <c r="V36" s="479">
        <v>843.74190902572923</v>
      </c>
      <c r="W36" s="479">
        <v>859.06253722483177</v>
      </c>
      <c r="X36" s="479"/>
      <c r="Y36" s="479"/>
      <c r="Z36" s="479"/>
      <c r="AA36" s="479"/>
      <c r="AB36" s="479"/>
      <c r="AC36" s="479"/>
    </row>
    <row r="37" spans="2:29" ht="19.2" customHeight="1" x14ac:dyDescent="0.3">
      <c r="B37" s="155"/>
      <c r="C37" s="155"/>
      <c r="D37" s="479"/>
      <c r="E37" s="479"/>
      <c r="F37" s="479"/>
      <c r="G37" s="479"/>
      <c r="H37" s="479"/>
      <c r="I37" s="479"/>
      <c r="J37" s="479"/>
      <c r="K37" s="479"/>
      <c r="L37" s="479"/>
      <c r="M37" s="479"/>
      <c r="N37" s="479"/>
      <c r="O37" s="479"/>
      <c r="P37" s="479"/>
      <c r="Q37" s="479">
        <v>592.26700000000005</v>
      </c>
      <c r="R37" s="479">
        <v>590.13</v>
      </c>
      <c r="S37" s="479">
        <v>605.63699999999994</v>
      </c>
      <c r="T37" s="568">
        <v>613.84597247353656</v>
      </c>
      <c r="U37" s="479">
        <v>624.99216044308173</v>
      </c>
      <c r="V37" s="479">
        <v>636.34074039990639</v>
      </c>
      <c r="W37" s="479">
        <v>604.94226050750615</v>
      </c>
      <c r="X37" s="479"/>
      <c r="Y37" s="479"/>
      <c r="Z37" s="479"/>
      <c r="AA37" s="479"/>
      <c r="AB37" s="479"/>
      <c r="AC37" s="479"/>
    </row>
    <row r="38" spans="2:29" ht="19.2" customHeight="1" x14ac:dyDescent="0.3">
      <c r="B38" s="155"/>
      <c r="C38" s="155"/>
      <c r="D38" s="479"/>
      <c r="E38" s="479"/>
      <c r="F38" s="479"/>
      <c r="G38" s="479"/>
      <c r="H38" s="479"/>
      <c r="I38" s="479"/>
      <c r="J38" s="479"/>
      <c r="K38" s="479"/>
      <c r="L38" s="479"/>
      <c r="M38" s="479"/>
      <c r="N38" s="479"/>
      <c r="O38" s="479"/>
      <c r="P38" s="479"/>
      <c r="Q38" s="479">
        <v>170.83299999999997</v>
      </c>
      <c r="R38" s="479">
        <v>199.37</v>
      </c>
      <c r="S38" s="479">
        <v>193.76300000000003</v>
      </c>
      <c r="T38" s="568">
        <v>200.06949730620283</v>
      </c>
      <c r="U38" s="479">
        <v>203.70235037349812</v>
      </c>
      <c r="V38" s="479">
        <v>207.40116862582283</v>
      </c>
      <c r="W38" s="479">
        <v>254.12027671732562</v>
      </c>
      <c r="X38" s="479"/>
      <c r="Y38" s="479"/>
      <c r="Z38" s="479"/>
      <c r="AA38" s="479"/>
      <c r="AB38" s="479"/>
      <c r="AC38" s="479"/>
    </row>
    <row r="39" spans="2:29" ht="19.2" customHeight="1" x14ac:dyDescent="0.3">
      <c r="B39" s="155"/>
      <c r="C39" s="155"/>
      <c r="D39" s="479"/>
      <c r="E39" s="479"/>
      <c r="F39" s="479"/>
      <c r="G39" s="479"/>
      <c r="H39" s="479"/>
      <c r="I39" s="479"/>
      <c r="J39" s="479"/>
      <c r="K39" s="479"/>
      <c r="L39" s="479"/>
      <c r="M39" s="479"/>
      <c r="N39" s="479"/>
      <c r="O39" s="479"/>
      <c r="P39" s="479"/>
      <c r="Q39" s="479"/>
      <c r="R39" s="479"/>
      <c r="S39" s="479"/>
      <c r="T39" s="479"/>
      <c r="U39" s="479"/>
      <c r="V39" s="479"/>
      <c r="W39" s="479"/>
      <c r="X39" s="479"/>
      <c r="Y39" s="479"/>
      <c r="Z39" s="479"/>
      <c r="AA39" s="479"/>
      <c r="AB39" s="479"/>
      <c r="AC39" s="479"/>
    </row>
    <row r="40" spans="2:29" ht="14.55" customHeight="1" x14ac:dyDescent="0.3">
      <c r="H40" s="273"/>
      <c r="I40" s="273"/>
      <c r="J40" s="273"/>
      <c r="K40" s="273"/>
      <c r="L40" s="273"/>
      <c r="M40" s="549"/>
      <c r="N40" s="273"/>
      <c r="O40" s="273"/>
    </row>
    <row r="41" spans="2:29" ht="14.55" customHeight="1" x14ac:dyDescent="0.3">
      <c r="B41" s="553" t="s">
        <v>500</v>
      </c>
      <c r="C41" s="554"/>
      <c r="D41" s="554"/>
      <c r="E41" s="555"/>
      <c r="F41" s="556">
        <v>2021</v>
      </c>
      <c r="G41" s="556">
        <v>2022</v>
      </c>
      <c r="H41" s="556">
        <v>2023</v>
      </c>
      <c r="I41" s="556">
        <v>2024</v>
      </c>
      <c r="J41" s="556">
        <v>2025</v>
      </c>
      <c r="K41" s="556">
        <v>2025</v>
      </c>
      <c r="L41" s="556">
        <v>2027</v>
      </c>
      <c r="M41" s="556">
        <v>2028</v>
      </c>
      <c r="N41" s="556">
        <v>2029</v>
      </c>
      <c r="O41" s="556">
        <v>2030</v>
      </c>
      <c r="P41" s="557">
        <v>2031</v>
      </c>
    </row>
    <row r="42" spans="2:29" ht="15" customHeight="1" x14ac:dyDescent="0.3">
      <c r="B42" s="1175" t="s">
        <v>501</v>
      </c>
      <c r="C42" s="1176"/>
      <c r="D42" s="1176"/>
      <c r="E42" s="1177"/>
      <c r="F42" s="139">
        <v>287</v>
      </c>
      <c r="G42" s="139">
        <v>534</v>
      </c>
      <c r="H42" s="139">
        <v>247</v>
      </c>
      <c r="I42" s="139">
        <v>63</v>
      </c>
      <c r="J42" s="139"/>
      <c r="K42" s="139"/>
      <c r="L42" s="139"/>
      <c r="M42" s="139"/>
      <c r="N42" s="139"/>
      <c r="O42" s="139"/>
      <c r="P42" s="154"/>
    </row>
    <row r="43" spans="2:29" ht="15" customHeight="1" x14ac:dyDescent="0.3">
      <c r="B43" s="1169" t="s">
        <v>502</v>
      </c>
      <c r="C43" s="1170"/>
      <c r="D43" s="1170"/>
      <c r="E43" s="1171"/>
      <c r="F43" s="139">
        <v>0</v>
      </c>
      <c r="G43" s="139">
        <v>0</v>
      </c>
      <c r="H43" s="139">
        <v>756</v>
      </c>
      <c r="I43" s="139">
        <v>1249</v>
      </c>
      <c r="J43" s="139">
        <v>1417</v>
      </c>
      <c r="K43" s="139">
        <v>1522</v>
      </c>
      <c r="L43" s="139">
        <v>1107</v>
      </c>
      <c r="M43" s="139"/>
      <c r="N43" s="139"/>
      <c r="O43" s="139"/>
      <c r="P43" s="154"/>
    </row>
    <row r="44" spans="2:29" x14ac:dyDescent="0.3">
      <c r="B44" s="1169" t="s">
        <v>503</v>
      </c>
      <c r="C44" s="1170"/>
      <c r="D44" s="1170"/>
      <c r="E44" s="1171"/>
      <c r="F44" s="139">
        <v>0</v>
      </c>
      <c r="G44" s="139">
        <v>5</v>
      </c>
      <c r="H44" s="139">
        <v>77</v>
      </c>
      <c r="I44" s="139">
        <v>307</v>
      </c>
      <c r="J44" s="139">
        <v>332</v>
      </c>
      <c r="K44" s="139">
        <v>270</v>
      </c>
      <c r="L44" s="139">
        <v>25</v>
      </c>
      <c r="M44" s="139">
        <v>32</v>
      </c>
      <c r="N44" s="139">
        <v>40</v>
      </c>
      <c r="O44" s="139">
        <v>49</v>
      </c>
      <c r="P44" s="154">
        <v>58</v>
      </c>
    </row>
    <row r="45" spans="2:29" ht="32.700000000000003" customHeight="1" x14ac:dyDescent="0.3">
      <c r="B45" s="1172" t="s">
        <v>504</v>
      </c>
      <c r="C45" s="1173"/>
      <c r="D45" s="1173"/>
      <c r="E45" s="1174"/>
      <c r="F45" s="139">
        <v>0</v>
      </c>
      <c r="G45" s="139">
        <v>0</v>
      </c>
      <c r="H45" s="139">
        <v>3768</v>
      </c>
      <c r="I45" s="139">
        <v>3428</v>
      </c>
      <c r="J45" s="139">
        <v>2176</v>
      </c>
      <c r="K45" s="139">
        <v>2304</v>
      </c>
      <c r="L45" s="139">
        <v>2129</v>
      </c>
      <c r="M45" s="139">
        <v>1335</v>
      </c>
      <c r="N45" s="139">
        <v>478</v>
      </c>
      <c r="O45" s="139">
        <v>531</v>
      </c>
      <c r="P45" s="154">
        <v>212</v>
      </c>
    </row>
    <row r="46" spans="2:29" ht="32.700000000000003" customHeight="1" x14ac:dyDescent="0.3">
      <c r="B46" s="1172" t="s">
        <v>505</v>
      </c>
      <c r="C46" s="1173"/>
      <c r="D46" s="1173"/>
      <c r="E46" s="1174"/>
      <c r="F46" s="139">
        <v>38</v>
      </c>
      <c r="G46" s="139">
        <v>81</v>
      </c>
      <c r="H46" s="139">
        <v>43</v>
      </c>
      <c r="I46" s="139"/>
      <c r="J46" s="139"/>
      <c r="K46" s="139"/>
      <c r="L46" s="139"/>
      <c r="M46" s="139"/>
      <c r="N46" s="139"/>
      <c r="O46" s="139"/>
      <c r="P46" s="154"/>
    </row>
    <row r="47" spans="2:29" x14ac:dyDescent="0.3">
      <c r="B47" s="1169" t="s">
        <v>506</v>
      </c>
      <c r="C47" s="1170"/>
      <c r="D47" s="1170"/>
      <c r="E47" s="1171"/>
      <c r="F47" s="139"/>
      <c r="G47" s="139"/>
      <c r="H47" s="139"/>
      <c r="I47" s="139">
        <v>-184</v>
      </c>
      <c r="J47" s="139">
        <v>-1830</v>
      </c>
      <c r="K47" s="139">
        <v>-2406</v>
      </c>
      <c r="L47" s="139">
        <v>-2419</v>
      </c>
      <c r="M47" s="139">
        <v>-2467</v>
      </c>
      <c r="N47" s="139">
        <v>-2531</v>
      </c>
      <c r="O47" s="139">
        <v>-2667</v>
      </c>
      <c r="P47" s="154">
        <v>-2809</v>
      </c>
    </row>
    <row r="48" spans="2:29" ht="15.75" customHeight="1" x14ac:dyDescent="0.3">
      <c r="B48" s="1181" t="s">
        <v>507</v>
      </c>
      <c r="C48" s="1182"/>
      <c r="D48" s="1182"/>
      <c r="E48" s="1183"/>
      <c r="F48" s="139">
        <v>6524</v>
      </c>
      <c r="G48" s="139">
        <v>6143</v>
      </c>
      <c r="H48" s="139"/>
      <c r="I48" s="139"/>
      <c r="J48" s="139"/>
      <c r="K48" s="139"/>
      <c r="L48" s="139"/>
      <c r="M48" s="139"/>
      <c r="N48" s="139"/>
      <c r="O48" s="139"/>
      <c r="P48" s="154"/>
    </row>
    <row r="49" spans="2:17" x14ac:dyDescent="0.3">
      <c r="B49" s="1169" t="s">
        <v>508</v>
      </c>
      <c r="C49" s="1170"/>
      <c r="D49" s="1170"/>
      <c r="E49" s="1171"/>
      <c r="F49" s="139">
        <v>50</v>
      </c>
      <c r="G49" s="139">
        <v>175</v>
      </c>
      <c r="H49" s="139">
        <v>25</v>
      </c>
      <c r="I49" s="139"/>
      <c r="J49" s="139"/>
      <c r="K49" s="139"/>
      <c r="L49" s="139"/>
      <c r="M49" s="139"/>
      <c r="N49" s="139"/>
      <c r="O49" s="139"/>
      <c r="P49" s="154"/>
    </row>
    <row r="50" spans="2:17" x14ac:dyDescent="0.3">
      <c r="B50" s="1169" t="s">
        <v>509</v>
      </c>
      <c r="C50" s="1170"/>
      <c r="D50" s="1170"/>
      <c r="E50" s="1171"/>
      <c r="F50" s="139">
        <v>829</v>
      </c>
      <c r="G50" s="139">
        <v>844</v>
      </c>
      <c r="H50" s="139"/>
      <c r="I50" s="139"/>
      <c r="J50" s="139"/>
      <c r="K50" s="139"/>
      <c r="L50" s="139"/>
      <c r="M50" s="139"/>
      <c r="N50" s="139"/>
      <c r="O50" s="139"/>
      <c r="P50" s="154"/>
    </row>
    <row r="51" spans="2:17" x14ac:dyDescent="0.3">
      <c r="B51" s="1184" t="s">
        <v>510</v>
      </c>
      <c r="C51" s="1185"/>
      <c r="D51" s="1185"/>
      <c r="E51" s="1186"/>
      <c r="F51" s="139">
        <f t="shared" ref="F51:P51" si="12">SUM(F42:F50)</f>
        <v>7728</v>
      </c>
      <c r="G51" s="139">
        <f t="shared" si="12"/>
        <v>7782</v>
      </c>
      <c r="H51" s="139">
        <f t="shared" si="12"/>
        <v>4916</v>
      </c>
      <c r="I51" s="139">
        <f t="shared" si="12"/>
        <v>4863</v>
      </c>
      <c r="J51" s="139">
        <f t="shared" si="12"/>
        <v>2095</v>
      </c>
      <c r="K51" s="139">
        <f t="shared" si="12"/>
        <v>1690</v>
      </c>
      <c r="L51" s="139">
        <f t="shared" si="12"/>
        <v>842</v>
      </c>
      <c r="M51" s="139">
        <f t="shared" si="12"/>
        <v>-1100</v>
      </c>
      <c r="N51" s="139">
        <f t="shared" si="12"/>
        <v>-2013</v>
      </c>
      <c r="O51" s="139">
        <f t="shared" si="12"/>
        <v>-2087</v>
      </c>
      <c r="P51" s="154">
        <f t="shared" si="12"/>
        <v>-2539</v>
      </c>
    </row>
    <row r="52" spans="2:17" x14ac:dyDescent="0.3">
      <c r="B52" s="1181" t="s">
        <v>511</v>
      </c>
      <c r="C52" s="1182"/>
      <c r="D52" s="1182"/>
      <c r="E52" s="1183"/>
      <c r="F52" s="139">
        <f t="shared" ref="F52:P52" si="13">F48+F46+F45</f>
        <v>6562</v>
      </c>
      <c r="G52" s="139">
        <f t="shared" si="13"/>
        <v>6224</v>
      </c>
      <c r="H52" s="139">
        <f t="shared" si="13"/>
        <v>3811</v>
      </c>
      <c r="I52" s="139">
        <f t="shared" si="13"/>
        <v>3428</v>
      </c>
      <c r="J52" s="139">
        <f t="shared" si="13"/>
        <v>2176</v>
      </c>
      <c r="K52" s="139">
        <f t="shared" si="13"/>
        <v>2304</v>
      </c>
      <c r="L52" s="139">
        <f t="shared" si="13"/>
        <v>2129</v>
      </c>
      <c r="M52" s="139">
        <f t="shared" si="13"/>
        <v>1335</v>
      </c>
      <c r="N52" s="139">
        <f t="shared" si="13"/>
        <v>478</v>
      </c>
      <c r="O52" s="139">
        <f t="shared" si="13"/>
        <v>531</v>
      </c>
      <c r="P52" s="154">
        <f t="shared" si="13"/>
        <v>212</v>
      </c>
      <c r="Q52" s="155" t="s">
        <v>512</v>
      </c>
    </row>
    <row r="53" spans="2:17" x14ac:dyDescent="0.3">
      <c r="B53" s="1169" t="s">
        <v>513</v>
      </c>
      <c r="C53" s="1170"/>
      <c r="D53" s="1170"/>
      <c r="E53" s="1171"/>
      <c r="F53" s="139">
        <f>(F52/1000)/M32</f>
        <v>9.315729699034641E-3</v>
      </c>
      <c r="G53" s="139">
        <f>(G52/F52)*F53</f>
        <v>8.8358886996024993E-3</v>
      </c>
      <c r="H53" s="139">
        <f>(H52/G52)*G53+H54</f>
        <v>5.4102782509937537E-3</v>
      </c>
      <c r="I53" s="139">
        <f>(I52/H52)*H53+I54</f>
        <v>4.8665530948324813E-3</v>
      </c>
      <c r="J53" s="139">
        <f>J54</f>
        <v>0</v>
      </c>
      <c r="K53" s="139">
        <f t="shared" ref="K53:L53" si="14">K54</f>
        <v>0</v>
      </c>
      <c r="L53" s="139">
        <f t="shared" si="14"/>
        <v>0</v>
      </c>
      <c r="M53" s="139"/>
      <c r="N53" s="139"/>
      <c r="O53" s="139"/>
      <c r="P53" s="154"/>
      <c r="Q53" s="155" t="s">
        <v>514</v>
      </c>
    </row>
    <row r="54" spans="2:17" ht="29.25" customHeight="1" x14ac:dyDescent="0.3">
      <c r="B54" s="529" t="s">
        <v>973</v>
      </c>
      <c r="C54" s="530"/>
      <c r="D54" s="530"/>
      <c r="E54" s="531"/>
      <c r="F54" s="139"/>
      <c r="G54" s="139"/>
      <c r="H54" s="139"/>
      <c r="I54" s="139"/>
      <c r="J54" s="139"/>
      <c r="K54" s="139"/>
      <c r="L54" s="139"/>
      <c r="M54" s="139"/>
      <c r="N54" s="139"/>
      <c r="O54" s="139"/>
      <c r="P54" s="154"/>
      <c r="Q54" s="155"/>
    </row>
    <row r="55" spans="2:17" x14ac:dyDescent="0.3">
      <c r="B55" s="1178"/>
      <c r="C55" s="1179"/>
      <c r="D55" s="1179"/>
      <c r="E55" s="1180"/>
      <c r="F55" s="157"/>
      <c r="G55" s="157"/>
      <c r="H55" s="157"/>
      <c r="I55" s="157"/>
      <c r="J55" s="157"/>
      <c r="K55" s="157"/>
      <c r="L55" s="157"/>
      <c r="M55" s="157"/>
      <c r="N55" s="157"/>
      <c r="O55" s="157"/>
      <c r="P55" s="161"/>
    </row>
  </sheetData>
  <mergeCells count="34">
    <mergeCell ref="U30:X30"/>
    <mergeCell ref="B43:E43"/>
    <mergeCell ref="B1:AC1"/>
    <mergeCell ref="V2:AB4"/>
    <mergeCell ref="B2:U4"/>
    <mergeCell ref="Y30:AB30"/>
    <mergeCell ref="Y8:AB8"/>
    <mergeCell ref="U8:X8"/>
    <mergeCell ref="T29:AC29"/>
    <mergeCell ref="D29:S29"/>
    <mergeCell ref="T7:AC7"/>
    <mergeCell ref="D7:S7"/>
    <mergeCell ref="M30:P30"/>
    <mergeCell ref="M8:P8"/>
    <mergeCell ref="Q30:R30"/>
    <mergeCell ref="Q8:R8"/>
    <mergeCell ref="B55:E55"/>
    <mergeCell ref="B48:E48"/>
    <mergeCell ref="B49:E49"/>
    <mergeCell ref="B50:E50"/>
    <mergeCell ref="B51:E51"/>
    <mergeCell ref="B52:E52"/>
    <mergeCell ref="B53:E53"/>
    <mergeCell ref="B47:E47"/>
    <mergeCell ref="E8:H8"/>
    <mergeCell ref="B7:C9"/>
    <mergeCell ref="I8:L8"/>
    <mergeCell ref="B45:E45"/>
    <mergeCell ref="B46:E46"/>
    <mergeCell ref="B44:E44"/>
    <mergeCell ref="B42:E42"/>
    <mergeCell ref="I30:L30"/>
    <mergeCell ref="B29:C31"/>
    <mergeCell ref="E30:H30"/>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3"/>
  <sheetViews>
    <sheetView topLeftCell="B1" zoomScale="90" zoomScaleNormal="90" workbookViewId="0">
      <selection activeCell="R17" sqref="R17"/>
    </sheetView>
  </sheetViews>
  <sheetFormatPr defaultColWidth="11.554687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094" t="s">
        <v>55</v>
      </c>
      <c r="C1" s="1094"/>
      <c r="D1" s="1094"/>
      <c r="E1" s="1094"/>
      <c r="F1" s="1094"/>
      <c r="G1" s="1094"/>
      <c r="H1" s="1094"/>
      <c r="I1" s="1094"/>
      <c r="J1" s="1094"/>
      <c r="K1" s="1094"/>
      <c r="L1" s="1094"/>
      <c r="M1" s="1094"/>
      <c r="N1" s="1094"/>
      <c r="O1" s="1094"/>
      <c r="P1" s="1094"/>
      <c r="Q1" s="1094"/>
      <c r="R1" s="1094"/>
      <c r="S1" s="1094"/>
      <c r="T1" s="1094"/>
      <c r="U1" s="1094"/>
      <c r="V1" s="1094"/>
      <c r="W1" s="1094"/>
      <c r="X1" s="1094"/>
      <c r="Y1" s="1094"/>
      <c r="Z1" s="1094"/>
      <c r="AA1" s="1094"/>
      <c r="AB1" s="1094"/>
      <c r="AC1" s="1094"/>
    </row>
    <row r="2" spans="2:29" ht="14.25" customHeight="1" x14ac:dyDescent="0.3">
      <c r="B2" s="1159" t="s">
        <v>933</v>
      </c>
      <c r="C2" s="1159"/>
      <c r="D2" s="1159"/>
      <c r="E2" s="1159"/>
      <c r="F2" s="1159"/>
      <c r="G2" s="1159"/>
      <c r="H2" s="1159"/>
      <c r="I2" s="1159"/>
      <c r="J2" s="1159"/>
      <c r="K2" s="1159"/>
      <c r="L2" s="1159"/>
      <c r="M2" s="1159"/>
      <c r="N2" s="1159"/>
      <c r="O2" s="1159"/>
      <c r="P2" s="1159"/>
      <c r="Q2" s="1159"/>
      <c r="R2" s="1159"/>
      <c r="S2" s="575"/>
      <c r="T2" s="1188" t="s">
        <v>1004</v>
      </c>
      <c r="U2" s="1188"/>
      <c r="V2" s="1188"/>
      <c r="W2" s="1188"/>
      <c r="X2" s="1188"/>
      <c r="Y2" s="1188"/>
      <c r="Z2" s="1188"/>
      <c r="AA2" s="1188"/>
      <c r="AB2" s="1188"/>
      <c r="AC2" s="1188"/>
    </row>
    <row r="3" spans="2:29" x14ac:dyDescent="0.3">
      <c r="B3" s="1159"/>
      <c r="C3" s="1159"/>
      <c r="D3" s="1159"/>
      <c r="E3" s="1159"/>
      <c r="F3" s="1159"/>
      <c r="G3" s="1159"/>
      <c r="H3" s="1159"/>
      <c r="I3" s="1159"/>
      <c r="J3" s="1159"/>
      <c r="K3" s="1159"/>
      <c r="L3" s="1159"/>
      <c r="M3" s="1159"/>
      <c r="N3" s="1159"/>
      <c r="O3" s="1159"/>
      <c r="P3" s="1159"/>
      <c r="Q3" s="1159"/>
      <c r="R3" s="1159"/>
      <c r="S3" s="575"/>
      <c r="T3" s="1188"/>
      <c r="U3" s="1188"/>
      <c r="V3" s="1188"/>
      <c r="W3" s="1188"/>
      <c r="X3" s="1188"/>
      <c r="Y3" s="1188"/>
      <c r="Z3" s="1188"/>
      <c r="AA3" s="1188"/>
      <c r="AB3" s="1188"/>
      <c r="AC3" s="1188"/>
    </row>
    <row r="4" spans="2:29" ht="21" customHeight="1" x14ac:dyDescent="0.3">
      <c r="B4" s="1159"/>
      <c r="C4" s="1159"/>
      <c r="D4" s="1159"/>
      <c r="E4" s="1159"/>
      <c r="F4" s="1159"/>
      <c r="G4" s="1159"/>
      <c r="H4" s="1159"/>
      <c r="I4" s="1159"/>
      <c r="J4" s="1159"/>
      <c r="K4" s="1159"/>
      <c r="L4" s="1159"/>
      <c r="M4" s="1159"/>
      <c r="N4" s="1159"/>
      <c r="O4" s="1159"/>
      <c r="P4" s="1159"/>
      <c r="Q4" s="1159"/>
      <c r="R4" s="1159"/>
      <c r="S4" s="575"/>
      <c r="T4" s="1188"/>
      <c r="U4" s="1188"/>
      <c r="V4" s="1188"/>
      <c r="W4" s="1188"/>
      <c r="X4" s="1188"/>
      <c r="Y4" s="1188"/>
      <c r="Z4" s="1188"/>
      <c r="AA4" s="1188"/>
      <c r="AB4" s="1188"/>
      <c r="AC4" s="1188"/>
    </row>
    <row r="6" spans="2:29" x14ac:dyDescent="0.3">
      <c r="B6" s="180" t="s">
        <v>381</v>
      </c>
    </row>
    <row r="7" spans="2:29" ht="14.7" customHeight="1" x14ac:dyDescent="0.3">
      <c r="B7" s="1123" t="s">
        <v>465</v>
      </c>
      <c r="C7" s="1106"/>
      <c r="D7" s="1104" t="s">
        <v>325</v>
      </c>
      <c r="E7" s="1105"/>
      <c r="F7" s="1105"/>
      <c r="G7" s="1105"/>
      <c r="H7" s="1105"/>
      <c r="I7" s="1105"/>
      <c r="J7" s="1105"/>
      <c r="K7" s="1105"/>
      <c r="L7" s="1105"/>
      <c r="M7" s="1105"/>
      <c r="N7" s="1105"/>
      <c r="O7" s="1105"/>
      <c r="P7" s="1105"/>
      <c r="Q7" s="1106"/>
      <c r="R7" s="1106"/>
      <c r="S7" s="1106"/>
      <c r="T7" s="1132" t="s">
        <v>326</v>
      </c>
      <c r="U7" s="1132"/>
      <c r="V7" s="1132"/>
      <c r="W7" s="1132"/>
      <c r="X7" s="1132"/>
      <c r="Y7" s="1132"/>
      <c r="Z7" s="1132"/>
      <c r="AA7" s="1132"/>
      <c r="AB7" s="1132"/>
      <c r="AC7" s="1133"/>
    </row>
    <row r="8" spans="2:29" x14ac:dyDescent="0.3">
      <c r="B8" s="1124"/>
      <c r="C8" s="1161"/>
      <c r="D8" s="142">
        <v>2018</v>
      </c>
      <c r="E8" s="1095">
        <v>2019</v>
      </c>
      <c r="F8" s="1096"/>
      <c r="G8" s="1096"/>
      <c r="H8" s="1103"/>
      <c r="I8" s="1095">
        <v>2020</v>
      </c>
      <c r="J8" s="1096"/>
      <c r="K8" s="1096"/>
      <c r="L8" s="1096"/>
      <c r="M8" s="1095">
        <v>2021</v>
      </c>
      <c r="N8" s="1096"/>
      <c r="O8" s="1096"/>
      <c r="P8" s="1103"/>
      <c r="Q8" s="1129">
        <v>2022</v>
      </c>
      <c r="R8" s="1130"/>
      <c r="S8" s="253"/>
      <c r="T8" s="288"/>
      <c r="U8" s="1126">
        <v>2023</v>
      </c>
      <c r="V8" s="1127"/>
      <c r="W8" s="1127"/>
      <c r="X8" s="1127"/>
      <c r="Y8" s="1126">
        <v>2024</v>
      </c>
      <c r="Z8" s="1127"/>
      <c r="AA8" s="1127"/>
      <c r="AB8" s="1128"/>
      <c r="AC8" s="259">
        <v>2025</v>
      </c>
    </row>
    <row r="9" spans="2:29" x14ac:dyDescent="0.3">
      <c r="B9" s="1124"/>
      <c r="C9" s="1161"/>
      <c r="D9" s="153" t="s">
        <v>327</v>
      </c>
      <c r="E9" s="153" t="s">
        <v>328</v>
      </c>
      <c r="F9" s="152" t="s">
        <v>329</v>
      </c>
      <c r="G9" s="152" t="s">
        <v>238</v>
      </c>
      <c r="H9" s="204" t="s">
        <v>327</v>
      </c>
      <c r="I9" s="152" t="s">
        <v>328</v>
      </c>
      <c r="J9" s="152" t="s">
        <v>329</v>
      </c>
      <c r="K9" s="152" t="s">
        <v>238</v>
      </c>
      <c r="L9" s="152" t="s">
        <v>327</v>
      </c>
      <c r="M9" s="153" t="s">
        <v>328</v>
      </c>
      <c r="N9" s="152" t="s">
        <v>329</v>
      </c>
      <c r="O9" s="152" t="s">
        <v>238</v>
      </c>
      <c r="P9" s="204" t="s">
        <v>327</v>
      </c>
      <c r="Q9" s="153" t="s">
        <v>328</v>
      </c>
      <c r="R9" s="152" t="s">
        <v>329</v>
      </c>
      <c r="S9" s="204" t="s">
        <v>238</v>
      </c>
      <c r="T9" s="369" t="s">
        <v>327</v>
      </c>
      <c r="U9" s="356" t="s">
        <v>328</v>
      </c>
      <c r="V9" s="357" t="s">
        <v>329</v>
      </c>
      <c r="W9" s="357" t="s">
        <v>238</v>
      </c>
      <c r="X9" s="357" t="s">
        <v>327</v>
      </c>
      <c r="Y9" s="356" t="s">
        <v>328</v>
      </c>
      <c r="Z9" s="250" t="s">
        <v>329</v>
      </c>
      <c r="AA9" s="357" t="s">
        <v>238</v>
      </c>
      <c r="AB9" s="369" t="s">
        <v>327</v>
      </c>
      <c r="AC9" s="384" t="s">
        <v>328</v>
      </c>
    </row>
    <row r="10" spans="2:29" ht="14.55" customHeight="1" x14ac:dyDescent="0.3">
      <c r="B10" s="595" t="s">
        <v>515</v>
      </c>
      <c r="C10" s="36" t="s">
        <v>999</v>
      </c>
      <c r="D10" s="569">
        <f>'Haver Pivoted'!GO12</f>
        <v>755.3</v>
      </c>
      <c r="E10" s="570">
        <f>'Haver Pivoted'!GP12</f>
        <v>772.6</v>
      </c>
      <c r="F10" s="570">
        <f>'Haver Pivoted'!GQ12</f>
        <v>785.8</v>
      </c>
      <c r="G10" s="570">
        <f>'Haver Pivoted'!GR12</f>
        <v>793.7</v>
      </c>
      <c r="H10" s="570">
        <f>'Haver Pivoted'!GS12</f>
        <v>796.3</v>
      </c>
      <c r="I10" s="570">
        <f>'Haver Pivoted'!GT12</f>
        <v>795.3</v>
      </c>
      <c r="J10" s="570">
        <f>'Haver Pivoted'!GU12</f>
        <v>808</v>
      </c>
      <c r="K10" s="570">
        <f>'Haver Pivoted'!GV12</f>
        <v>822.1</v>
      </c>
      <c r="L10" s="570">
        <f>'Haver Pivoted'!GW12</f>
        <v>837.5</v>
      </c>
      <c r="M10" s="570">
        <f>'Haver Pivoted'!GX12</f>
        <v>857.6</v>
      </c>
      <c r="N10" s="570">
        <f>'Haver Pivoted'!GY12</f>
        <v>875.4</v>
      </c>
      <c r="O10" s="570">
        <f>'Haver Pivoted'!GZ12</f>
        <v>889.5</v>
      </c>
      <c r="P10" s="570">
        <f>'Haver Pivoted'!HA12</f>
        <v>900</v>
      </c>
      <c r="Q10" s="570">
        <f>'Haver Pivoted'!HB12</f>
        <v>908</v>
      </c>
      <c r="R10" s="570">
        <f>'Haver Pivoted'!HC12</f>
        <v>911.8</v>
      </c>
      <c r="S10" s="534">
        <f>'Haver Pivoted'!HD12</f>
        <v>920.3</v>
      </c>
      <c r="T10" s="584">
        <f>S10*(1+T12)</f>
        <v>942.65830121332203</v>
      </c>
      <c r="U10" s="564">
        <f t="shared" ref="U10:AC10" si="0">T10*(1+U12)</f>
        <v>965.55978794565488</v>
      </c>
      <c r="V10" s="564">
        <f t="shared" si="0"/>
        <v>989.017656660596</v>
      </c>
      <c r="W10" s="564">
        <f t="shared" si="0"/>
        <v>1013.0454244242726</v>
      </c>
      <c r="X10" s="564">
        <f t="shared" si="0"/>
        <v>1037.4736868172592</v>
      </c>
      <c r="Y10" s="564">
        <f t="shared" si="0"/>
        <v>1062.4910047344636</v>
      </c>
      <c r="Z10" s="564">
        <f t="shared" si="0"/>
        <v>1088.11158247765</v>
      </c>
      <c r="AA10" s="564">
        <f t="shared" si="0"/>
        <v>1114.3499668666996</v>
      </c>
      <c r="AB10" s="564">
        <f t="shared" si="0"/>
        <v>1141.2210554989849</v>
      </c>
      <c r="AC10" s="546">
        <f t="shared" si="0"/>
        <v>1168.7401052079097</v>
      </c>
    </row>
    <row r="11" spans="2:29" ht="28.5" customHeight="1" x14ac:dyDescent="0.3">
      <c r="B11" s="606" t="s">
        <v>1001</v>
      </c>
      <c r="C11" s="590" t="s">
        <v>587</v>
      </c>
      <c r="D11" s="607"/>
      <c r="E11" s="583"/>
      <c r="F11" s="583"/>
      <c r="G11" s="583"/>
      <c r="H11" s="583"/>
      <c r="I11" s="583"/>
      <c r="J11" s="582">
        <f>'Haver Pivoted'!GU46</f>
        <v>9.6</v>
      </c>
      <c r="K11" s="582">
        <f>'Haver Pivoted'!GV46</f>
        <v>14.4</v>
      </c>
      <c r="L11" s="582">
        <f>'Haver Pivoted'!GW46</f>
        <v>14.3</v>
      </c>
      <c r="M11" s="582">
        <f>'Haver Pivoted'!GX46</f>
        <v>15</v>
      </c>
      <c r="N11" s="582">
        <f>'Haver Pivoted'!GY46</f>
        <v>15.3</v>
      </c>
      <c r="O11" s="582">
        <f>'Haver Pivoted'!GZ46</f>
        <v>15.6</v>
      </c>
      <c r="P11" s="582">
        <f>'Haver Pivoted'!HA46</f>
        <v>15.7</v>
      </c>
      <c r="Q11" s="582">
        <f>'Haver Pivoted'!HB46</f>
        <v>15.8</v>
      </c>
      <c r="R11" s="582">
        <f>'Haver Pivoted'!HC46</f>
        <v>7.9</v>
      </c>
      <c r="S11" s="581">
        <f>'Haver Pivoted'!HD46</f>
        <v>0</v>
      </c>
      <c r="T11" s="585">
        <f>S11</f>
        <v>0</v>
      </c>
      <c r="U11" s="586">
        <f t="shared" ref="U11:Z11" si="1">T11</f>
        <v>0</v>
      </c>
      <c r="V11" s="586">
        <f t="shared" si="1"/>
        <v>0</v>
      </c>
      <c r="W11" s="586">
        <f t="shared" si="1"/>
        <v>0</v>
      </c>
      <c r="X11" s="586">
        <f t="shared" si="1"/>
        <v>0</v>
      </c>
      <c r="Y11" s="586">
        <f t="shared" si="1"/>
        <v>0</v>
      </c>
      <c r="Z11" s="586">
        <f t="shared" si="1"/>
        <v>0</v>
      </c>
      <c r="AA11" s="586"/>
      <c r="AB11" s="586"/>
      <c r="AC11" s="608"/>
    </row>
    <row r="12" spans="2:29" x14ac:dyDescent="0.3">
      <c r="B12" s="596" t="s">
        <v>516</v>
      </c>
      <c r="C12" s="594"/>
      <c r="D12" s="571"/>
      <c r="E12" s="298"/>
      <c r="F12" s="298"/>
      <c r="G12" s="298"/>
      <c r="H12" s="298"/>
      <c r="I12" s="298"/>
      <c r="J12" s="543"/>
      <c r="K12" s="543"/>
      <c r="L12" s="543"/>
      <c r="M12" s="543"/>
      <c r="N12" s="543">
        <f>(1 + $E$24)^0.25-1</f>
        <v>0</v>
      </c>
      <c r="O12" s="543">
        <f>(1 + $E$24)^0.25-1</f>
        <v>0</v>
      </c>
      <c r="P12" s="543">
        <f>(1 + $F$24)^0.25-1</f>
        <v>2.1178433383513662E-2</v>
      </c>
      <c r="Q12" s="543">
        <f>(1 +$F$24)^0.25-1</f>
        <v>2.1178433383513662E-2</v>
      </c>
      <c r="R12" s="543">
        <f>(1 +$F$24)^0.25-1</f>
        <v>2.1178433383513662E-2</v>
      </c>
      <c r="S12" s="579">
        <f>(1 +$F$24)^0.25-1</f>
        <v>2.1178433383513662E-2</v>
      </c>
      <c r="T12" s="587">
        <f>(1 +$G$24)^0.25-1</f>
        <v>2.4294579173445685E-2</v>
      </c>
      <c r="U12" s="578">
        <f>(1 +$G$24)^0.25-1</f>
        <v>2.4294579173445685E-2</v>
      </c>
      <c r="V12" s="578">
        <f>(1 +$G$24)^0.25-1</f>
        <v>2.4294579173445685E-2</v>
      </c>
      <c r="W12" s="578">
        <f>(1 +$G$24)^0.25-1</f>
        <v>2.4294579173445685E-2</v>
      </c>
      <c r="X12" s="578">
        <f t="shared" ref="X12:AC12" si="2">(1 +$H$24)^0.25-1</f>
        <v>2.4113689084445111E-2</v>
      </c>
      <c r="Y12" s="578">
        <f t="shared" si="2"/>
        <v>2.4113689084445111E-2</v>
      </c>
      <c r="Z12" s="578">
        <f t="shared" si="2"/>
        <v>2.4113689084445111E-2</v>
      </c>
      <c r="AA12" s="578">
        <f t="shared" si="2"/>
        <v>2.4113689084445111E-2</v>
      </c>
      <c r="AB12" s="578">
        <f t="shared" si="2"/>
        <v>2.4113689084445111E-2</v>
      </c>
      <c r="AC12" s="579">
        <f t="shared" si="2"/>
        <v>2.4113689084445111E-2</v>
      </c>
    </row>
    <row r="13" spans="2:29" ht="15.75" customHeight="1" x14ac:dyDescent="0.3">
      <c r="B13" s="591"/>
      <c r="C13" s="549"/>
      <c r="D13" s="479"/>
      <c r="E13" s="479"/>
      <c r="F13" s="479"/>
      <c r="G13" s="479"/>
      <c r="H13" s="479"/>
      <c r="I13" s="479"/>
      <c r="J13" s="539"/>
      <c r="K13" s="539"/>
      <c r="L13" s="539"/>
      <c r="M13" s="539"/>
    </row>
    <row r="14" spans="2:29" x14ac:dyDescent="0.3">
      <c r="B14" s="591"/>
      <c r="C14" s="549"/>
      <c r="D14" s="479"/>
      <c r="E14" s="479"/>
      <c r="F14" s="479"/>
      <c r="G14" s="479"/>
      <c r="H14" s="479"/>
      <c r="I14" s="479"/>
      <c r="J14" s="539"/>
      <c r="K14" s="539"/>
      <c r="L14" s="539"/>
      <c r="M14" s="539"/>
    </row>
    <row r="15" spans="2:29" x14ac:dyDescent="0.3">
      <c r="B15" s="591"/>
      <c r="C15" s="549"/>
      <c r="D15" s="479"/>
      <c r="E15" s="479"/>
      <c r="F15" s="479"/>
      <c r="G15" s="479"/>
      <c r="H15" s="479"/>
      <c r="I15" s="479"/>
      <c r="J15" s="539"/>
      <c r="K15" s="539"/>
      <c r="L15" s="539"/>
      <c r="M15" s="539"/>
    </row>
    <row r="16" spans="2:29" ht="14.55" customHeight="1" x14ac:dyDescent="0.3">
      <c r="B16" s="180" t="s">
        <v>400</v>
      </c>
    </row>
    <row r="17" spans="2:32" x14ac:dyDescent="0.3">
      <c r="B17" s="600" t="s">
        <v>493</v>
      </c>
      <c r="C17" s="600">
        <v>2019</v>
      </c>
      <c r="D17" s="601">
        <v>2020</v>
      </c>
      <c r="E17" s="601">
        <v>2021</v>
      </c>
      <c r="F17" s="601">
        <v>2022</v>
      </c>
      <c r="G17" s="601">
        <v>2023</v>
      </c>
      <c r="H17" s="602">
        <v>2024</v>
      </c>
      <c r="I17" s="602">
        <v>2025</v>
      </c>
      <c r="J17" s="602">
        <v>2026</v>
      </c>
    </row>
    <row r="18" spans="2:32" ht="21" customHeight="1" x14ac:dyDescent="0.3">
      <c r="B18" s="593" t="s">
        <v>971</v>
      </c>
      <c r="C18" s="604"/>
      <c r="D18" s="588"/>
      <c r="E18" s="269">
        <v>867.67600000000004</v>
      </c>
      <c r="F18" s="269">
        <v>941.351</v>
      </c>
      <c r="G18" s="269">
        <v>1008.7670000000001</v>
      </c>
      <c r="H18" s="269">
        <v>1085.711</v>
      </c>
      <c r="I18" s="269">
        <v>1165.28</v>
      </c>
      <c r="J18" s="580">
        <v>1262.203</v>
      </c>
      <c r="K18" s="588"/>
      <c r="L18" s="588"/>
      <c r="M18" s="588"/>
      <c r="N18" s="588"/>
      <c r="O18" s="588"/>
      <c r="P18" s="359"/>
      <c r="Q18" s="359"/>
      <c r="R18" s="359"/>
      <c r="S18" s="359"/>
      <c r="T18" s="359"/>
      <c r="U18" s="359"/>
      <c r="V18" s="359"/>
      <c r="W18" s="359"/>
      <c r="X18" s="359"/>
      <c r="Y18" s="359"/>
      <c r="Z18" s="359"/>
      <c r="AA18" s="359"/>
      <c r="AB18" s="359"/>
      <c r="AC18" s="359"/>
    </row>
    <row r="19" spans="2:32" ht="21" customHeight="1" x14ac:dyDescent="0.3">
      <c r="B19" s="593"/>
      <c r="C19" s="604"/>
      <c r="D19" s="588"/>
      <c r="E19" s="269">
        <f>AVERAGE(L10:O10)</f>
        <v>865</v>
      </c>
      <c r="F19" s="269">
        <f>AVERAGE(P10:S10)</f>
        <v>910.02500000000009</v>
      </c>
      <c r="G19" s="269">
        <f>AVERAGE(T10:W10)</f>
        <v>977.57029256096143</v>
      </c>
      <c r="H19" s="269">
        <f>AVERAGE(X10:AA10)</f>
        <v>1075.6065602240183</v>
      </c>
      <c r="I19" s="269">
        <f>AVERAGE(AB10:AE10)</f>
        <v>1154.9805803534473</v>
      </c>
      <c r="J19" s="293"/>
      <c r="K19" s="588"/>
      <c r="L19" s="588"/>
      <c r="M19" s="588"/>
      <c r="N19" s="588"/>
      <c r="O19" s="588"/>
      <c r="P19" s="359"/>
      <c r="Q19" s="359"/>
      <c r="R19" s="359"/>
      <c r="S19" s="359"/>
      <c r="T19" s="359"/>
      <c r="U19" s="359"/>
      <c r="V19" s="359"/>
      <c r="W19" s="359"/>
      <c r="X19" s="359"/>
      <c r="Y19" s="359"/>
      <c r="Z19" s="359"/>
      <c r="AA19" s="359"/>
      <c r="AB19" s="359"/>
      <c r="AC19" s="359"/>
    </row>
    <row r="20" spans="2:32" ht="21" customHeight="1" x14ac:dyDescent="0.3">
      <c r="B20" s="178" t="s">
        <v>517</v>
      </c>
      <c r="C20" s="178"/>
      <c r="D20" s="155">
        <v>47</v>
      </c>
      <c r="E20" s="155">
        <v>48</v>
      </c>
      <c r="F20" s="36">
        <v>-50</v>
      </c>
      <c r="G20" s="36">
        <v>-45</v>
      </c>
      <c r="H20" s="36"/>
      <c r="I20" s="36"/>
      <c r="J20" s="598">
        <f>SUM(D20:G20)</f>
        <v>0</v>
      </c>
      <c r="M20" s="588"/>
      <c r="N20" s="588"/>
      <c r="O20" s="588"/>
      <c r="P20" s="359"/>
      <c r="Q20" s="359"/>
      <c r="R20" s="359"/>
      <c r="S20" s="359"/>
      <c r="T20" s="359"/>
      <c r="U20" s="359"/>
      <c r="V20" s="359"/>
      <c r="W20" s="359"/>
      <c r="X20" s="359"/>
      <c r="Y20" s="359"/>
      <c r="Z20" s="359"/>
      <c r="AA20" s="359"/>
      <c r="AB20" s="359"/>
      <c r="AC20" s="359"/>
    </row>
    <row r="21" spans="2:32" ht="21" customHeight="1" x14ac:dyDescent="0.3">
      <c r="B21" s="593" t="s">
        <v>1282</v>
      </c>
      <c r="C21" s="178"/>
      <c r="D21" s="155"/>
      <c r="E21" s="155"/>
      <c r="F21" s="36"/>
      <c r="G21" s="50">
        <f>'IRA and CHIPS'!E175</f>
        <v>-0.41499999999999998</v>
      </c>
      <c r="H21" s="50">
        <f>'IRA and CHIPS'!F175</f>
        <v>2.7679999999999998</v>
      </c>
      <c r="I21" s="50">
        <f>'IRA and CHIPS'!G175</f>
        <v>-12.473000000000001</v>
      </c>
      <c r="J21" s="589">
        <f>'IRA and CHIPS'!H175</f>
        <v>-5.3739999999999997</v>
      </c>
      <c r="M21" s="588"/>
      <c r="N21" s="588"/>
      <c r="O21" s="588"/>
      <c r="P21" s="359"/>
      <c r="Q21" s="359"/>
      <c r="R21" s="359"/>
      <c r="S21" s="359"/>
      <c r="T21" s="359"/>
      <c r="U21" s="359"/>
      <c r="V21" s="359"/>
      <c r="W21" s="359"/>
      <c r="X21" s="359"/>
      <c r="Y21" s="359"/>
      <c r="Z21" s="359"/>
      <c r="AA21" s="359"/>
      <c r="AB21" s="359"/>
      <c r="AC21" s="359"/>
    </row>
    <row r="22" spans="2:32" x14ac:dyDescent="0.3">
      <c r="B22" s="178" t="s">
        <v>1476</v>
      </c>
      <c r="C22" s="604"/>
      <c r="D22" s="179"/>
      <c r="E22" s="179">
        <f>E18-E20</f>
        <v>819.67600000000004</v>
      </c>
      <c r="F22" s="179">
        <f>F18+F20</f>
        <v>891.351</v>
      </c>
      <c r="G22" s="179">
        <f>G18+G20+G21</f>
        <v>963.35200000000009</v>
      </c>
      <c r="H22" s="179">
        <f>H18+H20+H21</f>
        <v>1088.479</v>
      </c>
      <c r="I22" s="179">
        <f>I18+I20+I21</f>
        <v>1152.807</v>
      </c>
      <c r="J22" s="598"/>
      <c r="N22" s="599"/>
      <c r="O22" s="549"/>
      <c r="P22" s="359"/>
      <c r="Q22" s="359"/>
      <c r="R22" s="359"/>
      <c r="S22" s="359"/>
      <c r="T22" s="359"/>
      <c r="U22" s="359"/>
      <c r="V22" s="359"/>
      <c r="W22" s="359"/>
      <c r="X22" s="359"/>
      <c r="Y22" s="359"/>
      <c r="Z22" s="359"/>
      <c r="AA22" s="359"/>
      <c r="AB22" s="359"/>
      <c r="AC22" s="359"/>
    </row>
    <row r="23" spans="2:32" x14ac:dyDescent="0.3">
      <c r="B23" s="178" t="s">
        <v>519</v>
      </c>
      <c r="C23" s="605">
        <f>AVERAGE(D10:G10)</f>
        <v>776.84999999999991</v>
      </c>
      <c r="D23" s="273">
        <f>AVERAGE(H10:K10)</f>
        <v>805.42499999999995</v>
      </c>
      <c r="E23" s="179">
        <f>AVERAGE(L10:O10)</f>
        <v>865</v>
      </c>
      <c r="F23" s="36"/>
      <c r="G23" s="36"/>
      <c r="H23" s="36"/>
      <c r="I23" s="36"/>
      <c r="J23" s="598"/>
      <c r="K23" s="155" t="s">
        <v>518</v>
      </c>
      <c r="P23" s="359"/>
      <c r="Q23" s="359"/>
      <c r="R23" s="359"/>
      <c r="S23" s="359"/>
      <c r="T23" s="359"/>
      <c r="U23" s="359"/>
      <c r="V23" s="359"/>
      <c r="W23" s="359"/>
      <c r="X23" s="359"/>
      <c r="Y23" s="359"/>
      <c r="Z23" s="359"/>
      <c r="AA23" s="359"/>
      <c r="AB23" s="359"/>
      <c r="AC23" s="359"/>
    </row>
    <row r="24" spans="2:32" x14ac:dyDescent="0.3">
      <c r="B24" s="603" t="s">
        <v>1015</v>
      </c>
      <c r="C24" s="149"/>
      <c r="D24" s="265"/>
      <c r="E24" s="265"/>
      <c r="F24" s="265">
        <f>F22/E22-1</f>
        <v>8.7443087268628039E-2</v>
      </c>
      <c r="G24" s="265">
        <f>G22/F22-1+0.02</f>
        <v>0.10077738174972616</v>
      </c>
      <c r="H24" s="265">
        <v>0.1</v>
      </c>
      <c r="I24" s="265">
        <f t="shared" ref="I24:J24" si="3">I22/H22-1</f>
        <v>5.9098981238958181E-2</v>
      </c>
      <c r="J24" s="592">
        <f t="shared" si="3"/>
        <v>-1</v>
      </c>
      <c r="P24" s="155"/>
      <c r="Q24" s="155"/>
      <c r="R24" s="155"/>
      <c r="S24" s="155"/>
      <c r="T24" s="155"/>
      <c r="U24" s="155"/>
      <c r="V24" s="155"/>
      <c r="W24" s="155"/>
      <c r="X24" s="155"/>
      <c r="Y24" s="155"/>
      <c r="Z24" s="155"/>
      <c r="AA24" s="155"/>
      <c r="AB24" s="155"/>
      <c r="AC24" s="155"/>
    </row>
    <row r="25" spans="2:32" x14ac:dyDescent="0.3">
      <c r="P25" s="155"/>
      <c r="Q25" s="155"/>
      <c r="R25" s="155"/>
      <c r="S25" s="155"/>
      <c r="T25" s="155"/>
      <c r="U25" s="155"/>
      <c r="V25" s="155"/>
      <c r="W25" s="155"/>
      <c r="X25" s="155"/>
      <c r="Y25" s="155"/>
      <c r="Z25" s="155"/>
      <c r="AA25" s="155"/>
      <c r="AB25" s="155"/>
      <c r="AC25" s="155"/>
    </row>
    <row r="26" spans="2:32" x14ac:dyDescent="0.3">
      <c r="C26" s="597"/>
      <c r="D26" s="597"/>
      <c r="E26" s="597"/>
      <c r="F26" s="597"/>
      <c r="G26" s="597"/>
      <c r="H26" s="597"/>
      <c r="I26" s="597"/>
      <c r="J26" s="597"/>
      <c r="P26" s="155"/>
      <c r="Q26" s="155"/>
      <c r="R26" s="155"/>
      <c r="S26" s="155"/>
      <c r="T26" s="155"/>
      <c r="U26" s="155"/>
      <c r="V26" s="155"/>
      <c r="W26" s="155"/>
      <c r="X26" s="155"/>
      <c r="Y26" s="155"/>
      <c r="Z26" s="155"/>
      <c r="AA26" s="155"/>
      <c r="AB26" s="155"/>
      <c r="AC26" s="155"/>
    </row>
    <row r="27" spans="2:32" x14ac:dyDescent="0.3">
      <c r="K27" s="597"/>
      <c r="L27" s="597"/>
      <c r="M27" s="597"/>
      <c r="N27" s="597"/>
      <c r="P27" s="155"/>
      <c r="Q27" s="155"/>
      <c r="R27" s="155"/>
      <c r="S27" s="155"/>
      <c r="T27" s="155"/>
      <c r="U27" s="155"/>
      <c r="V27" s="155"/>
      <c r="W27" s="155"/>
      <c r="X27" s="155"/>
      <c r="Y27" s="155"/>
      <c r="Z27" s="155"/>
      <c r="AA27" s="155"/>
      <c r="AB27" s="155"/>
      <c r="AC27" s="155"/>
    </row>
    <row r="28" spans="2:32" x14ac:dyDescent="0.3">
      <c r="P28" s="155"/>
      <c r="Q28" s="155"/>
      <c r="R28" s="155"/>
      <c r="S28" s="155"/>
      <c r="T28" s="155"/>
      <c r="U28" s="155"/>
      <c r="V28" s="155"/>
      <c r="W28" s="155"/>
      <c r="X28" s="155"/>
      <c r="Y28" s="155"/>
      <c r="Z28" s="155"/>
      <c r="AA28" s="155"/>
      <c r="AB28" s="155"/>
      <c r="AC28" s="155"/>
    </row>
    <row r="29" spans="2:32" x14ac:dyDescent="0.3">
      <c r="S29" s="155"/>
      <c r="T29" s="155"/>
      <c r="U29" s="155"/>
      <c r="V29" s="155"/>
      <c r="W29" s="155"/>
      <c r="X29" s="155"/>
      <c r="Y29" s="155"/>
      <c r="Z29" s="155"/>
      <c r="AA29" s="155"/>
      <c r="AB29" s="155"/>
      <c r="AC29" s="155"/>
      <c r="AD29" s="155"/>
      <c r="AE29" s="155"/>
      <c r="AF29" s="155"/>
    </row>
    <row r="30" spans="2:32" x14ac:dyDescent="0.3">
      <c r="P30" s="155"/>
      <c r="Q30" s="155"/>
      <c r="R30" s="155"/>
      <c r="S30" s="155"/>
      <c r="T30" s="155"/>
      <c r="U30" s="155"/>
      <c r="V30" s="155"/>
      <c r="W30" s="155"/>
      <c r="X30" s="155"/>
      <c r="Y30" s="155"/>
      <c r="Z30" s="155"/>
      <c r="AA30" s="155"/>
      <c r="AB30" s="155"/>
      <c r="AC30" s="155"/>
    </row>
    <row r="31" spans="2:32" x14ac:dyDescent="0.3">
      <c r="F31" s="36"/>
      <c r="G31" s="36"/>
      <c r="P31" s="155"/>
      <c r="Q31" s="155"/>
      <c r="R31" s="155"/>
      <c r="S31" s="155"/>
      <c r="T31" s="155"/>
      <c r="U31" s="155"/>
      <c r="V31" s="155"/>
      <c r="W31" s="155"/>
      <c r="X31" s="155"/>
      <c r="Y31" s="155"/>
      <c r="Z31" s="155"/>
      <c r="AA31" s="155"/>
      <c r="AB31" s="155"/>
      <c r="AC31" s="155"/>
    </row>
    <row r="32" spans="2:32" x14ac:dyDescent="0.3">
      <c r="P32" s="155"/>
      <c r="Q32" s="155"/>
      <c r="R32" s="155"/>
      <c r="S32" s="155"/>
      <c r="T32" s="155"/>
      <c r="U32" s="155"/>
      <c r="V32" s="155"/>
      <c r="W32" s="155"/>
      <c r="X32" s="155"/>
      <c r="Y32" s="155"/>
      <c r="Z32" s="155"/>
      <c r="AA32" s="155"/>
      <c r="AB32" s="155"/>
      <c r="AC32" s="155"/>
    </row>
    <row r="33" spans="16:29" x14ac:dyDescent="0.3">
      <c r="P33" s="155"/>
      <c r="Q33" s="155"/>
      <c r="R33" s="155"/>
      <c r="S33" s="155"/>
      <c r="T33" s="155"/>
      <c r="U33" s="155"/>
      <c r="V33" s="155"/>
      <c r="W33" s="155"/>
      <c r="X33" s="155"/>
      <c r="Y33" s="155"/>
      <c r="Z33" s="155"/>
      <c r="AA33" s="155"/>
      <c r="AB33" s="155"/>
      <c r="AC33" s="155"/>
    </row>
  </sheetData>
  <mergeCells count="12">
    <mergeCell ref="B1:AC1"/>
    <mergeCell ref="B7:C9"/>
    <mergeCell ref="E8:H8"/>
    <mergeCell ref="I8:L8"/>
    <mergeCell ref="U8:X8"/>
    <mergeCell ref="Y8:AB8"/>
    <mergeCell ref="M8:P8"/>
    <mergeCell ref="B2:R4"/>
    <mergeCell ref="T2:AC4"/>
    <mergeCell ref="Q8:R8"/>
    <mergeCell ref="D7:S7"/>
    <mergeCell ref="T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73" zoomScaleNormal="143" workbookViewId="0">
      <selection activeCell="B23" sqref="B23"/>
    </sheetView>
  </sheetViews>
  <sheetFormatPr defaultColWidth="11.554687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7" customHeight="1" x14ac:dyDescent="0.3">
      <c r="A1" s="25" t="s">
        <v>33</v>
      </c>
      <c r="B1" s="26" t="s">
        <v>34</v>
      </c>
      <c r="C1" s="26" t="s">
        <v>35</v>
      </c>
      <c r="D1" s="27" t="s">
        <v>36</v>
      </c>
      <c r="E1" s="15"/>
      <c r="F1" s="15"/>
    </row>
    <row r="2" spans="1:7" ht="16.5" customHeight="1" x14ac:dyDescent="0.3">
      <c r="A2" s="1067" t="s">
        <v>37</v>
      </c>
      <c r="B2" s="1068"/>
      <c r="C2" s="1068"/>
      <c r="D2" s="1069"/>
      <c r="E2" s="15"/>
      <c r="F2" s="15"/>
    </row>
    <row r="3" spans="1:7" ht="158.69999999999999" customHeight="1" x14ac:dyDescent="0.3">
      <c r="A3" s="18" t="s">
        <v>911</v>
      </c>
      <c r="B3" s="14" t="s">
        <v>912</v>
      </c>
      <c r="C3" s="14" t="s">
        <v>936</v>
      </c>
      <c r="D3" s="22" t="s">
        <v>1017</v>
      </c>
      <c r="E3" s="14"/>
      <c r="F3" s="14"/>
    </row>
    <row r="4" spans="1:7" ht="99.45" customHeight="1" x14ac:dyDescent="0.3">
      <c r="A4" s="18" t="s">
        <v>913</v>
      </c>
      <c r="B4" s="14" t="s">
        <v>38</v>
      </c>
      <c r="C4" s="14" t="s">
        <v>39</v>
      </c>
      <c r="D4" s="22" t="s">
        <v>1017</v>
      </c>
      <c r="E4" s="14"/>
      <c r="F4" s="14"/>
    </row>
    <row r="5" spans="1:7" ht="85.5" customHeight="1" x14ac:dyDescent="0.3">
      <c r="A5" s="18" t="s">
        <v>914</v>
      </c>
      <c r="B5" s="14" t="s">
        <v>40</v>
      </c>
      <c r="C5" s="14" t="s">
        <v>1016</v>
      </c>
      <c r="D5" s="22" t="s">
        <v>1017</v>
      </c>
      <c r="E5" s="14"/>
      <c r="F5" s="14"/>
    </row>
    <row r="6" spans="1:7" ht="61.5" customHeight="1" x14ac:dyDescent="0.3">
      <c r="A6" s="18" t="s">
        <v>915</v>
      </c>
      <c r="B6" s="14" t="s">
        <v>895</v>
      </c>
      <c r="C6" s="14" t="s">
        <v>896</v>
      </c>
      <c r="D6" s="22" t="s">
        <v>1017</v>
      </c>
      <c r="E6" s="14"/>
      <c r="F6" s="14"/>
    </row>
    <row r="7" spans="1:7" ht="100.2" customHeight="1" x14ac:dyDescent="0.3">
      <c r="A7" s="18" t="s">
        <v>42</v>
      </c>
      <c r="B7" s="14" t="s">
        <v>43</v>
      </c>
      <c r="C7" s="28" t="s">
        <v>44</v>
      </c>
      <c r="D7" s="22" t="s">
        <v>1017</v>
      </c>
      <c r="E7" s="16"/>
      <c r="F7" s="14"/>
      <c r="G7" s="29"/>
    </row>
    <row r="8" spans="1:7" ht="78" customHeight="1" x14ac:dyDescent="0.3">
      <c r="A8" s="18" t="s">
        <v>45</v>
      </c>
      <c r="B8" s="14" t="s">
        <v>46</v>
      </c>
      <c r="C8" s="14" t="s">
        <v>942</v>
      </c>
      <c r="D8" s="22" t="s">
        <v>1017</v>
      </c>
      <c r="E8" s="14"/>
      <c r="F8" s="14"/>
    </row>
    <row r="9" spans="1:7" ht="67.5" customHeight="1" x14ac:dyDescent="0.3">
      <c r="A9" s="18" t="s">
        <v>885</v>
      </c>
      <c r="B9" s="14" t="s">
        <v>897</v>
      </c>
      <c r="C9" s="14" t="s">
        <v>956</v>
      </c>
      <c r="D9" s="22" t="s">
        <v>1017</v>
      </c>
      <c r="E9" s="14"/>
      <c r="F9" s="14"/>
    </row>
    <row r="10" spans="1:7" ht="63.45" customHeight="1" x14ac:dyDescent="0.3">
      <c r="A10" s="18" t="s">
        <v>47</v>
      </c>
      <c r="B10" s="14" t="s">
        <v>48</v>
      </c>
      <c r="C10" s="14" t="s">
        <v>916</v>
      </c>
      <c r="D10" s="30" t="s">
        <v>1017</v>
      </c>
      <c r="E10" s="14"/>
      <c r="F10" s="14"/>
    </row>
    <row r="11" spans="1:7" ht="15" customHeight="1" x14ac:dyDescent="0.3">
      <c r="A11" s="1067" t="s">
        <v>917</v>
      </c>
      <c r="B11" s="1068"/>
      <c r="C11" s="1068"/>
      <c r="D11" s="1069"/>
      <c r="E11" s="15"/>
      <c r="F11" s="14"/>
    </row>
    <row r="12" spans="1:7" ht="29.7" customHeight="1" x14ac:dyDescent="0.3">
      <c r="A12" s="19" t="s">
        <v>9</v>
      </c>
      <c r="B12" s="1073" t="s">
        <v>919</v>
      </c>
      <c r="C12" s="1073"/>
      <c r="D12" s="24"/>
      <c r="E12" s="15"/>
      <c r="F12" s="14"/>
    </row>
    <row r="13" spans="1:7" ht="48.45" customHeight="1" x14ac:dyDescent="0.3">
      <c r="A13" s="17" t="s">
        <v>918</v>
      </c>
      <c r="B13" s="1073" t="s">
        <v>929</v>
      </c>
      <c r="C13" s="1073"/>
      <c r="D13" s="22"/>
      <c r="E13" s="15"/>
      <c r="F13" s="14"/>
    </row>
    <row r="14" spans="1:7" ht="48.45" customHeight="1" x14ac:dyDescent="0.3">
      <c r="A14" s="17" t="s">
        <v>920</v>
      </c>
      <c r="B14" s="1073" t="s">
        <v>921</v>
      </c>
      <c r="C14" s="1073"/>
      <c r="D14" s="23"/>
      <c r="E14" s="15"/>
      <c r="F14" s="14"/>
    </row>
    <row r="15" spans="1:7" x14ac:dyDescent="0.3">
      <c r="A15" s="1070" t="s">
        <v>59</v>
      </c>
      <c r="B15" s="1071"/>
      <c r="C15" s="1071"/>
      <c r="D15" s="1072"/>
      <c r="E15" s="14"/>
      <c r="F15" s="14"/>
    </row>
    <row r="16" spans="1:7" ht="36.6" customHeight="1" x14ac:dyDescent="0.3">
      <c r="A16" s="1065" t="s">
        <v>922</v>
      </c>
      <c r="B16" s="1066"/>
      <c r="C16" s="1066"/>
      <c r="D16" s="24"/>
      <c r="E16" s="14"/>
      <c r="F16" s="14"/>
    </row>
    <row r="17" spans="1:6" ht="145.5" customHeight="1" x14ac:dyDescent="0.3">
      <c r="A17" s="18" t="s">
        <v>60</v>
      </c>
      <c r="B17" s="14" t="s">
        <v>943</v>
      </c>
      <c r="C17" s="14" t="s">
        <v>950</v>
      </c>
      <c r="D17" s="22"/>
      <c r="E17" s="14"/>
      <c r="F17" s="14"/>
    </row>
    <row r="18" spans="1:6" ht="63.45" customHeight="1" x14ac:dyDescent="0.3">
      <c r="A18" s="18" t="s">
        <v>61</v>
      </c>
      <c r="B18" s="14" t="s">
        <v>944</v>
      </c>
      <c r="C18" s="14" t="s">
        <v>945</v>
      </c>
      <c r="D18" s="22"/>
      <c r="E18" s="14"/>
      <c r="F18" s="14"/>
    </row>
    <row r="19" spans="1:6" ht="63.45" customHeight="1" x14ac:dyDescent="0.3">
      <c r="A19" s="18" t="s">
        <v>946</v>
      </c>
      <c r="B19" s="14" t="s">
        <v>947</v>
      </c>
      <c r="C19" s="14" t="s">
        <v>948</v>
      </c>
      <c r="D19" s="22"/>
      <c r="E19" s="14"/>
      <c r="F19" s="14"/>
    </row>
    <row r="20" spans="1:6" ht="34.200000000000003" customHeight="1" x14ac:dyDescent="0.3">
      <c r="A20" s="1065" t="s">
        <v>892</v>
      </c>
      <c r="B20" s="1066"/>
      <c r="C20" s="1066"/>
      <c r="D20" s="23"/>
      <c r="E20" s="14"/>
      <c r="F20" s="14"/>
    </row>
    <row r="21" spans="1:6" x14ac:dyDescent="0.3">
      <c r="A21" s="1070" t="s">
        <v>62</v>
      </c>
      <c r="B21" s="1071"/>
      <c r="C21" s="1071"/>
      <c r="D21" s="1072"/>
      <c r="E21" s="14"/>
      <c r="F21" s="14"/>
    </row>
    <row r="22" spans="1:6" ht="28.95"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8.95" customHeight="1" x14ac:dyDescent="0.3">
      <c r="A24" s="18" t="s">
        <v>68</v>
      </c>
      <c r="B24" s="14" t="s">
        <v>69</v>
      </c>
      <c r="C24" s="14" t="s">
        <v>935</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2"/>
  <sheetViews>
    <sheetView topLeftCell="J1" zoomScale="90" zoomScaleNormal="90" workbookViewId="0">
      <selection activeCell="S12" sqref="S12"/>
    </sheetView>
  </sheetViews>
  <sheetFormatPr defaultColWidth="11.5546875" defaultRowHeight="14.4" x14ac:dyDescent="0.3"/>
  <cols>
    <col min="1" max="1" width="6" customWidth="1"/>
    <col min="2" max="2" width="29.44140625" customWidth="1"/>
    <col min="3" max="7" width="10.44140625" customWidth="1"/>
  </cols>
  <sheetData>
    <row r="1" spans="1:29" x14ac:dyDescent="0.3">
      <c r="B1" s="1094" t="s">
        <v>56</v>
      </c>
      <c r="C1" s="1094"/>
      <c r="D1" s="1094"/>
      <c r="E1" s="1094"/>
      <c r="F1" s="1094"/>
      <c r="G1" s="1094"/>
      <c r="H1" s="1094"/>
      <c r="I1" s="1094"/>
      <c r="J1" s="1094"/>
      <c r="K1" s="1094"/>
      <c r="L1" s="1094"/>
      <c r="M1" s="1094"/>
      <c r="N1" s="1094"/>
      <c r="O1" s="1094"/>
      <c r="P1" s="1094"/>
      <c r="Q1" s="1094"/>
      <c r="R1" s="1094"/>
      <c r="S1" s="1094"/>
      <c r="T1" s="1094"/>
      <c r="U1" s="1094"/>
      <c r="V1" s="1094"/>
      <c r="W1" s="1094"/>
      <c r="X1" s="1094"/>
      <c r="Y1" s="1094"/>
      <c r="Z1" s="1094"/>
      <c r="AA1" s="1094"/>
      <c r="AB1" s="1094"/>
      <c r="AC1" s="1094"/>
    </row>
    <row r="2" spans="1:29" ht="14.7" customHeight="1" x14ac:dyDescent="0.3">
      <c r="B2" s="1122" t="s">
        <v>520</v>
      </c>
      <c r="C2" s="1122"/>
      <c r="D2" s="1122"/>
      <c r="E2" s="1122"/>
      <c r="F2" s="1122"/>
      <c r="G2" s="1122"/>
      <c r="H2" s="1122"/>
      <c r="I2" s="1122"/>
      <c r="J2" s="1122"/>
      <c r="K2" s="1122"/>
      <c r="L2" s="1122"/>
      <c r="M2" s="1122"/>
      <c r="N2" s="1122"/>
      <c r="O2" s="1122"/>
      <c r="P2" s="1122"/>
      <c r="Q2" s="1122"/>
      <c r="R2" s="1122"/>
      <c r="S2" s="1122"/>
      <c r="T2" s="1122"/>
      <c r="U2" s="1122"/>
      <c r="V2" s="1122"/>
      <c r="W2" s="1122"/>
      <c r="X2" s="1122"/>
      <c r="Y2" s="1122"/>
      <c r="Z2" s="1122"/>
      <c r="AA2" s="1122"/>
      <c r="AB2" s="1122"/>
      <c r="AC2" s="1122"/>
    </row>
    <row r="3" spans="1:29" x14ac:dyDescent="0.3">
      <c r="B3" s="1122"/>
      <c r="C3" s="1122"/>
      <c r="D3" s="1122"/>
      <c r="E3" s="1122"/>
      <c r="F3" s="1122"/>
      <c r="G3" s="1122"/>
      <c r="H3" s="1122"/>
      <c r="I3" s="1122"/>
      <c r="J3" s="1122"/>
      <c r="K3" s="1122"/>
      <c r="L3" s="1122"/>
      <c r="M3" s="1122"/>
      <c r="N3" s="1122"/>
      <c r="O3" s="1122"/>
      <c r="P3" s="1122"/>
      <c r="Q3" s="1122"/>
      <c r="R3" s="1122"/>
      <c r="S3" s="1122"/>
      <c r="T3" s="1122"/>
      <c r="U3" s="1122"/>
      <c r="V3" s="1122"/>
      <c r="W3" s="1122"/>
      <c r="X3" s="1122"/>
      <c r="Y3" s="1122"/>
      <c r="Z3" s="1122"/>
      <c r="AA3" s="1122"/>
      <c r="AB3" s="1122"/>
      <c r="AC3" s="1122"/>
    </row>
    <row r="4" spans="1:29" x14ac:dyDescent="0.3">
      <c r="B4" s="1122"/>
      <c r="C4" s="1122"/>
      <c r="D4" s="1122"/>
      <c r="E4" s="1122"/>
      <c r="F4" s="1122"/>
      <c r="G4" s="1122"/>
      <c r="H4" s="1122"/>
      <c r="I4" s="1122"/>
      <c r="J4" s="1122"/>
      <c r="K4" s="1122"/>
      <c r="L4" s="1122"/>
      <c r="M4" s="1122"/>
      <c r="N4" s="1122"/>
      <c r="O4" s="1122"/>
      <c r="P4" s="1122"/>
      <c r="Q4" s="1122"/>
      <c r="R4" s="1122"/>
      <c r="S4" s="1122"/>
      <c r="T4" s="1122"/>
      <c r="U4" s="1122"/>
      <c r="V4" s="1122"/>
      <c r="W4" s="1122"/>
      <c r="X4" s="1122"/>
      <c r="Y4" s="1122"/>
      <c r="Z4" s="1122"/>
      <c r="AA4" s="1122"/>
      <c r="AB4" s="1122"/>
      <c r="AC4" s="1122"/>
    </row>
    <row r="5" spans="1:29" x14ac:dyDescent="0.3">
      <c r="B5" s="354"/>
      <c r="C5" s="155"/>
      <c r="D5" s="155"/>
      <c r="E5" s="155"/>
      <c r="F5" s="155"/>
      <c r="G5" s="155"/>
      <c r="H5" s="155"/>
      <c r="I5" s="155"/>
      <c r="J5" s="155"/>
      <c r="K5" s="155"/>
      <c r="L5" s="155"/>
      <c r="M5" s="155"/>
      <c r="N5" s="155"/>
      <c r="O5" s="155"/>
      <c r="P5" s="155"/>
      <c r="Q5" s="155"/>
      <c r="R5" s="155"/>
      <c r="S5" s="155"/>
      <c r="T5" s="155"/>
      <c r="U5" s="155"/>
      <c r="V5" s="155"/>
      <c r="W5" s="155"/>
      <c r="X5" s="155"/>
      <c r="Y5" s="155"/>
    </row>
    <row r="6" spans="1:29" x14ac:dyDescent="0.3">
      <c r="B6" s="1123" t="s">
        <v>465</v>
      </c>
      <c r="C6" s="1107"/>
      <c r="D6" s="1104" t="s">
        <v>325</v>
      </c>
      <c r="E6" s="1105"/>
      <c r="F6" s="1105"/>
      <c r="G6" s="1105"/>
      <c r="H6" s="1105"/>
      <c r="I6" s="1105"/>
      <c r="J6" s="1105"/>
      <c r="K6" s="1105"/>
      <c r="L6" s="1105"/>
      <c r="M6" s="1105"/>
      <c r="N6" s="1105"/>
      <c r="O6" s="1105"/>
      <c r="P6" s="1105"/>
      <c r="Q6" s="1106"/>
      <c r="R6" s="1106"/>
      <c r="S6" s="1106"/>
      <c r="T6" s="1131" t="s">
        <v>326</v>
      </c>
      <c r="U6" s="1132"/>
      <c r="V6" s="1132"/>
      <c r="W6" s="1132"/>
      <c r="X6" s="1132"/>
      <c r="Y6" s="1132"/>
      <c r="Z6" s="1132"/>
      <c r="AA6" s="1132"/>
      <c r="AB6" s="1132"/>
      <c r="AC6" s="1133"/>
    </row>
    <row r="7" spans="1:29" x14ac:dyDescent="0.3">
      <c r="B7" s="1124"/>
      <c r="C7" s="1125"/>
      <c r="D7" s="142">
        <v>2018</v>
      </c>
      <c r="E7" s="1095">
        <v>2019</v>
      </c>
      <c r="F7" s="1096"/>
      <c r="G7" s="1096"/>
      <c r="H7" s="1103"/>
      <c r="I7" s="1095">
        <v>2020</v>
      </c>
      <c r="J7" s="1096"/>
      <c r="K7" s="1096"/>
      <c r="L7" s="1096"/>
      <c r="M7" s="1095">
        <v>2021</v>
      </c>
      <c r="N7" s="1096"/>
      <c r="O7" s="1096"/>
      <c r="P7" s="1096"/>
      <c r="Q7" s="1129">
        <v>2022</v>
      </c>
      <c r="R7" s="1130"/>
      <c r="S7" s="189"/>
      <c r="T7" s="188"/>
      <c r="U7" s="1126">
        <v>2023</v>
      </c>
      <c r="V7" s="1127"/>
      <c r="W7" s="1127"/>
      <c r="X7" s="1127"/>
      <c r="Y7" s="1126">
        <v>2024</v>
      </c>
      <c r="Z7" s="1127"/>
      <c r="AA7" s="1127"/>
      <c r="AB7" s="1128"/>
      <c r="AC7" s="259">
        <v>2025</v>
      </c>
    </row>
    <row r="8" spans="1:29" x14ac:dyDescent="0.3">
      <c r="B8" s="1135"/>
      <c r="C8" s="1136"/>
      <c r="D8" s="153" t="s">
        <v>327</v>
      </c>
      <c r="E8" s="153" t="s">
        <v>328</v>
      </c>
      <c r="F8" s="152" t="s">
        <v>329</v>
      </c>
      <c r="G8" s="152" t="s">
        <v>238</v>
      </c>
      <c r="H8" s="204" t="s">
        <v>327</v>
      </c>
      <c r="I8" s="152" t="s">
        <v>328</v>
      </c>
      <c r="J8" s="152" t="s">
        <v>329</v>
      </c>
      <c r="K8" s="152" t="s">
        <v>238</v>
      </c>
      <c r="L8" s="152" t="s">
        <v>327</v>
      </c>
      <c r="M8" s="153" t="s">
        <v>328</v>
      </c>
      <c r="N8" s="152" t="s">
        <v>329</v>
      </c>
      <c r="O8" s="152" t="s">
        <v>238</v>
      </c>
      <c r="P8" s="152" t="s">
        <v>327</v>
      </c>
      <c r="Q8" s="174" t="s">
        <v>328</v>
      </c>
      <c r="R8" s="176" t="s">
        <v>329</v>
      </c>
      <c r="S8" s="176" t="s">
        <v>238</v>
      </c>
      <c r="T8" s="384" t="s">
        <v>327</v>
      </c>
      <c r="U8" s="356" t="s">
        <v>328</v>
      </c>
      <c r="V8" s="357" t="s">
        <v>329</v>
      </c>
      <c r="W8" s="357" t="s">
        <v>238</v>
      </c>
      <c r="X8" s="357" t="s">
        <v>327</v>
      </c>
      <c r="Y8" s="356" t="s">
        <v>328</v>
      </c>
      <c r="Z8" s="250" t="s">
        <v>329</v>
      </c>
      <c r="AA8" s="357" t="s">
        <v>238</v>
      </c>
      <c r="AB8" s="369" t="s">
        <v>327</v>
      </c>
      <c r="AC8" s="384" t="s">
        <v>328</v>
      </c>
    </row>
    <row r="9" spans="1:29" x14ac:dyDescent="0.3">
      <c r="B9" s="544" t="s">
        <v>56</v>
      </c>
      <c r="C9" s="439" t="s">
        <v>521</v>
      </c>
      <c r="D9" s="544"/>
      <c r="E9" s="439"/>
      <c r="F9" s="439"/>
      <c r="G9" s="439"/>
      <c r="H9" s="439"/>
      <c r="I9" s="439"/>
      <c r="J9" s="283">
        <f>'Haver Pivoted'!GU45</f>
        <v>1078.0999999999999</v>
      </c>
      <c r="K9" s="283">
        <f>'Haver Pivoted'!GV45</f>
        <v>15.6</v>
      </c>
      <c r="L9" s="283">
        <f>'Haver Pivoted'!GW45</f>
        <v>5</v>
      </c>
      <c r="M9" s="283">
        <f>'Haver Pivoted'!GX45</f>
        <v>1933.7</v>
      </c>
      <c r="N9" s="283">
        <f>'Haver Pivoted'!GY45</f>
        <v>290.10000000000002</v>
      </c>
      <c r="O9" s="283">
        <f>'Haver Pivoted'!GZ45</f>
        <v>38.9</v>
      </c>
      <c r="P9" s="283">
        <f>'Haver Pivoted'!HA45</f>
        <v>14.2</v>
      </c>
      <c r="Q9" s="283">
        <f>'Haver Pivoted'!HB45</f>
        <v>0</v>
      </c>
      <c r="R9" s="283">
        <f>'Haver Pivoted'!HC45</f>
        <v>0</v>
      </c>
      <c r="S9" s="143">
        <f>'Haver Pivoted'!HD45</f>
        <v>0</v>
      </c>
      <c r="T9" s="242"/>
      <c r="U9" s="243"/>
      <c r="V9" s="243"/>
      <c r="W9" s="243"/>
      <c r="X9" s="243"/>
      <c r="Y9" s="243"/>
      <c r="Z9" s="243"/>
      <c r="AA9" s="243"/>
      <c r="AB9" s="243"/>
      <c r="AC9" s="244"/>
    </row>
    <row r="10" spans="1:29" x14ac:dyDescent="0.3">
      <c r="B10" s="545" t="s">
        <v>214</v>
      </c>
      <c r="C10" s="258"/>
      <c r="D10" s="545"/>
      <c r="E10" s="258"/>
      <c r="F10" s="258"/>
      <c r="G10" s="258"/>
      <c r="H10" s="258"/>
      <c r="I10" s="258"/>
      <c r="J10" s="610"/>
      <c r="K10" s="610"/>
      <c r="L10" s="610"/>
      <c r="M10" s="610">
        <f t="shared" ref="M10:S10" si="0">M9-M11</f>
        <v>1348.1</v>
      </c>
      <c r="N10" s="610">
        <f t="shared" si="0"/>
        <v>290.10000000000002</v>
      </c>
      <c r="O10" s="610">
        <f t="shared" si="0"/>
        <v>38.9</v>
      </c>
      <c r="P10" s="610">
        <f t="shared" si="0"/>
        <v>14.2</v>
      </c>
      <c r="Q10" s="610">
        <f t="shared" si="0"/>
        <v>0</v>
      </c>
      <c r="R10" s="610">
        <f t="shared" si="0"/>
        <v>0</v>
      </c>
      <c r="S10" s="609">
        <f t="shared" si="0"/>
        <v>0</v>
      </c>
      <c r="T10" s="611"/>
      <c r="U10" s="612"/>
      <c r="V10" s="612"/>
      <c r="W10" s="612"/>
      <c r="X10" s="612"/>
      <c r="Y10" s="612"/>
      <c r="Z10" s="612"/>
      <c r="AA10" s="612"/>
      <c r="AB10" s="612"/>
      <c r="AC10" s="623"/>
    </row>
    <row r="11" spans="1:29" x14ac:dyDescent="0.3">
      <c r="B11" s="489" t="s">
        <v>522</v>
      </c>
      <c r="C11" s="490"/>
      <c r="D11" s="489"/>
      <c r="E11" s="490"/>
      <c r="F11" s="490"/>
      <c r="G11" s="490"/>
      <c r="H11" s="490"/>
      <c r="I11" s="490"/>
      <c r="J11" s="622">
        <f t="shared" ref="J11:L11" si="1">J9-J10</f>
        <v>1078.0999999999999</v>
      </c>
      <c r="K11" s="622">
        <f t="shared" si="1"/>
        <v>15.6</v>
      </c>
      <c r="L11" s="622">
        <f t="shared" si="1"/>
        <v>5</v>
      </c>
      <c r="M11" s="622">
        <f>SUM(C17:D17)/12*4</f>
        <v>585.6</v>
      </c>
      <c r="N11" s="622">
        <v>0</v>
      </c>
      <c r="O11" s="622">
        <v>0</v>
      </c>
      <c r="P11" s="622">
        <v>0</v>
      </c>
      <c r="Q11" s="622">
        <v>0</v>
      </c>
      <c r="R11" s="622">
        <v>0</v>
      </c>
      <c r="S11" s="622">
        <v>0</v>
      </c>
      <c r="T11" s="613"/>
      <c r="U11" s="614"/>
      <c r="V11" s="614"/>
      <c r="W11" s="614"/>
      <c r="X11" s="614"/>
      <c r="Y11" s="614"/>
      <c r="Z11" s="614"/>
      <c r="AA11" s="614"/>
      <c r="AB11" s="614"/>
      <c r="AC11" s="615"/>
    </row>
    <row r="12" spans="1:29" x14ac:dyDescent="0.3">
      <c r="B12" s="15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36"/>
      <c r="AA12" s="36"/>
      <c r="AB12" s="36"/>
      <c r="AC12" s="36"/>
    </row>
    <row r="13" spans="1:29" x14ac:dyDescent="0.3">
      <c r="A13" s="50"/>
      <c r="B13" s="50"/>
      <c r="C13" s="50"/>
      <c r="D13" s="50"/>
      <c r="E13" s="50"/>
      <c r="F13" s="50"/>
      <c r="G13" s="50"/>
      <c r="H13" s="50"/>
      <c r="I13" s="50"/>
      <c r="J13" s="50"/>
      <c r="K13" s="50"/>
      <c r="L13" s="84"/>
      <c r="M13" s="84"/>
      <c r="N13" s="84"/>
    </row>
    <row r="14" spans="1:29" x14ac:dyDescent="0.3">
      <c r="A14" s="50"/>
      <c r="N14" s="36"/>
    </row>
    <row r="15" spans="1:29" x14ac:dyDescent="0.3">
      <c r="A15" s="130"/>
      <c r="B15" s="1189" t="s">
        <v>523</v>
      </c>
      <c r="C15" s="1113">
        <v>2021</v>
      </c>
      <c r="D15" s="1114"/>
      <c r="E15" s="1114"/>
      <c r="F15" s="1114"/>
      <c r="G15" s="48"/>
      <c r="K15" s="1191"/>
      <c r="L15" s="1191"/>
      <c r="M15" s="36"/>
      <c r="N15" s="36"/>
    </row>
    <row r="16" spans="1:29" x14ac:dyDescent="0.3">
      <c r="B16" s="1190"/>
      <c r="C16" s="618" t="s">
        <v>234</v>
      </c>
      <c r="D16" s="619" t="s">
        <v>235</v>
      </c>
      <c r="E16" s="619" t="s">
        <v>236</v>
      </c>
      <c r="F16" s="619" t="s">
        <v>237</v>
      </c>
      <c r="G16" s="226"/>
      <c r="H16" s="130"/>
      <c r="I16" s="130"/>
      <c r="J16" s="130"/>
      <c r="K16" s="130"/>
      <c r="L16" s="130"/>
      <c r="M16" s="130"/>
      <c r="N16" s="130"/>
    </row>
    <row r="17" spans="2:29" ht="16.2" customHeight="1" x14ac:dyDescent="0.3">
      <c r="B17" s="617" t="s">
        <v>524</v>
      </c>
      <c r="C17" s="620">
        <v>1660.9</v>
      </c>
      <c r="D17" s="620">
        <v>95.9</v>
      </c>
      <c r="E17" s="620">
        <v>4044.2</v>
      </c>
      <c r="F17" s="621">
        <v>688</v>
      </c>
      <c r="G17" s="616"/>
      <c r="H17" s="616"/>
      <c r="I17" s="616"/>
      <c r="J17" s="616"/>
      <c r="K17" s="616"/>
      <c r="L17" s="616"/>
      <c r="M17" s="155"/>
      <c r="N17" s="155"/>
    </row>
    <row r="18" spans="2:29" x14ac:dyDescent="0.3">
      <c r="B18" s="162" t="s">
        <v>525</v>
      </c>
      <c r="C18" s="155"/>
      <c r="D18" s="155"/>
      <c r="E18" s="155"/>
      <c r="F18" s="155"/>
      <c r="G18" s="155"/>
      <c r="H18" s="155"/>
      <c r="I18" s="155"/>
      <c r="J18" s="155"/>
      <c r="K18" s="155"/>
      <c r="L18" s="155"/>
      <c r="M18" s="155"/>
      <c r="N18" s="155"/>
    </row>
    <row r="19" spans="2:29" x14ac:dyDescent="0.3">
      <c r="B19" s="155"/>
      <c r="C19" s="155"/>
      <c r="D19" s="155"/>
      <c r="E19" s="155"/>
      <c r="F19" s="155"/>
      <c r="G19" s="155"/>
      <c r="H19" s="155"/>
      <c r="I19" s="155"/>
      <c r="J19" s="155"/>
      <c r="K19" s="155"/>
      <c r="L19" s="155"/>
      <c r="M19" s="155"/>
      <c r="N19" s="155"/>
    </row>
    <row r="20" spans="2:29" x14ac:dyDescent="0.3">
      <c r="B20" s="162"/>
      <c r="C20" s="155"/>
      <c r="D20" s="155"/>
      <c r="E20" s="155"/>
      <c r="F20" s="155"/>
      <c r="G20" s="155"/>
      <c r="H20" s="155"/>
      <c r="I20" s="155"/>
      <c r="J20" s="155"/>
      <c r="K20" s="155"/>
      <c r="L20" s="155"/>
      <c r="M20" s="155"/>
      <c r="N20" s="155"/>
    </row>
    <row r="21" spans="2:29" x14ac:dyDescent="0.3">
      <c r="B21" s="155"/>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36"/>
      <c r="AA21" s="36"/>
      <c r="AB21" s="36"/>
      <c r="AC21" s="36"/>
    </row>
    <row r="22" spans="2:29" x14ac:dyDescent="0.3">
      <c r="B22" s="50"/>
      <c r="C22" s="50"/>
      <c r="D22" s="50"/>
      <c r="E22" s="50"/>
      <c r="F22" s="50"/>
      <c r="G22" s="50"/>
      <c r="H22" s="50"/>
      <c r="I22" s="50"/>
      <c r="J22" s="50"/>
      <c r="K22" s="50"/>
      <c r="L22" s="84"/>
      <c r="M22" s="84"/>
      <c r="N22" s="84"/>
    </row>
    <row r="23" spans="2:29" x14ac:dyDescent="0.3">
      <c r="B23" s="155"/>
      <c r="C23" s="155"/>
      <c r="D23" s="155"/>
      <c r="E23" s="155"/>
      <c r="F23" s="155"/>
      <c r="G23" s="155"/>
      <c r="H23" s="155"/>
      <c r="I23" s="155"/>
      <c r="J23" s="155"/>
      <c r="K23" s="155"/>
      <c r="L23" s="155"/>
      <c r="M23" s="155"/>
      <c r="N23" s="155"/>
      <c r="O23" s="155"/>
      <c r="P23" s="155"/>
      <c r="Q23" s="155"/>
      <c r="R23" s="155"/>
      <c r="S23" s="155"/>
      <c r="T23" s="155"/>
      <c r="U23" s="155"/>
      <c r="V23" s="155"/>
      <c r="W23" s="155"/>
      <c r="X23" s="155"/>
      <c r="Y23" s="155"/>
    </row>
    <row r="24" spans="2:29" x14ac:dyDescent="0.3">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row>
    <row r="25" spans="2:29" x14ac:dyDescent="0.3">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row>
    <row r="26" spans="2:29" x14ac:dyDescent="0.3">
      <c r="B26" s="155"/>
      <c r="C26" s="155"/>
      <c r="D26" s="155"/>
      <c r="E26" s="155"/>
      <c r="F26" s="155"/>
      <c r="G26" s="155"/>
      <c r="H26" s="155"/>
      <c r="I26" s="155"/>
      <c r="J26" s="155"/>
      <c r="K26" s="155"/>
      <c r="L26" s="155"/>
      <c r="M26" s="155"/>
      <c r="N26" s="155"/>
      <c r="O26" s="155"/>
      <c r="P26" s="155"/>
      <c r="Q26" s="155"/>
      <c r="R26" s="155"/>
      <c r="S26" s="155"/>
      <c r="T26" s="155"/>
      <c r="U26" s="155"/>
      <c r="V26" s="155"/>
      <c r="W26" s="155"/>
      <c r="X26" s="155"/>
      <c r="Y26" s="155"/>
    </row>
    <row r="27" spans="2:29" x14ac:dyDescent="0.3">
      <c r="B27" s="155"/>
      <c r="C27" s="155"/>
      <c r="D27" s="155"/>
      <c r="E27" s="155"/>
      <c r="F27" s="155"/>
      <c r="G27" s="155"/>
      <c r="H27" s="155"/>
      <c r="I27" s="155"/>
      <c r="J27" s="155"/>
      <c r="K27" s="155"/>
      <c r="L27" s="155"/>
      <c r="M27" s="155"/>
      <c r="N27" s="155"/>
      <c r="O27" s="155"/>
      <c r="P27" s="155"/>
      <c r="Q27" s="155"/>
      <c r="R27" s="155"/>
      <c r="S27" s="155"/>
      <c r="T27" s="155"/>
      <c r="U27" s="155"/>
      <c r="V27" s="155"/>
      <c r="W27" s="155"/>
      <c r="X27" s="155"/>
      <c r="Y27" s="155"/>
    </row>
    <row r="28" spans="2:29" x14ac:dyDescent="0.3">
      <c r="B28" s="155"/>
      <c r="C28" s="155"/>
      <c r="D28" s="155"/>
      <c r="E28" s="155"/>
      <c r="F28" s="155"/>
      <c r="G28" s="155"/>
      <c r="H28" s="155"/>
      <c r="I28" s="155"/>
      <c r="J28" s="155"/>
      <c r="K28" s="155"/>
      <c r="L28" s="155"/>
      <c r="M28" s="155"/>
      <c r="N28" s="155"/>
      <c r="O28" s="155"/>
      <c r="P28" s="155"/>
      <c r="Q28" s="155"/>
      <c r="R28" s="155"/>
      <c r="S28" s="155"/>
      <c r="T28" s="155"/>
      <c r="U28" s="155"/>
      <c r="V28" s="155"/>
      <c r="W28" s="155"/>
      <c r="X28" s="155"/>
      <c r="Y28" s="155"/>
    </row>
    <row r="29" spans="2:29" x14ac:dyDescent="0.3">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row>
    <row r="30" spans="2:29" x14ac:dyDescent="0.3">
      <c r="B30" s="155"/>
      <c r="C30" s="155"/>
      <c r="D30" s="155"/>
      <c r="E30" s="155"/>
      <c r="F30" s="155"/>
      <c r="G30" s="155"/>
      <c r="H30" s="155"/>
      <c r="I30" s="155"/>
      <c r="J30" s="155"/>
      <c r="K30" s="155"/>
      <c r="L30" s="155"/>
      <c r="M30" s="155"/>
      <c r="N30" s="155"/>
      <c r="O30" s="155"/>
      <c r="P30" s="155"/>
      <c r="Q30" s="155"/>
      <c r="R30" s="155"/>
      <c r="S30" s="155"/>
      <c r="T30" s="155"/>
      <c r="U30" s="155"/>
      <c r="V30" s="155"/>
      <c r="W30" s="155"/>
      <c r="X30" s="155"/>
      <c r="Y30" s="155"/>
    </row>
    <row r="31" spans="2:29" x14ac:dyDescent="0.3">
      <c r="B31" s="155"/>
      <c r="C31" s="155"/>
      <c r="D31" s="155"/>
      <c r="E31" s="155"/>
      <c r="F31" s="155"/>
      <c r="G31" s="155"/>
      <c r="H31" s="155"/>
      <c r="I31" s="155"/>
      <c r="J31" s="155"/>
      <c r="K31" s="155"/>
      <c r="L31" s="155"/>
      <c r="M31" s="155"/>
      <c r="N31" s="155"/>
      <c r="O31" s="155"/>
      <c r="P31" s="155"/>
      <c r="Q31" s="155"/>
      <c r="R31" s="155"/>
      <c r="S31" s="155"/>
      <c r="T31" s="155"/>
      <c r="U31" s="155"/>
      <c r="V31" s="155"/>
      <c r="W31" s="155"/>
      <c r="X31" s="155"/>
      <c r="Y31" s="155"/>
    </row>
    <row r="32" spans="2:29" x14ac:dyDescent="0.3">
      <c r="B32" s="155"/>
      <c r="C32" s="155"/>
      <c r="D32" s="155"/>
      <c r="E32" s="155"/>
      <c r="F32" s="155"/>
      <c r="G32" s="155"/>
      <c r="H32" s="155"/>
      <c r="I32" s="155"/>
      <c r="J32" s="155"/>
      <c r="K32" s="155"/>
      <c r="L32" s="155"/>
      <c r="M32" s="155"/>
      <c r="N32" s="155"/>
      <c r="O32" s="155"/>
      <c r="P32" s="155"/>
      <c r="Q32" s="155"/>
      <c r="R32" s="155"/>
      <c r="S32" s="155"/>
      <c r="T32" s="155"/>
      <c r="U32" s="155"/>
      <c r="V32" s="155"/>
      <c r="W32" s="155"/>
      <c r="X32" s="155"/>
      <c r="Y32" s="155"/>
    </row>
    <row r="33" spans="2:25" x14ac:dyDescent="0.3">
      <c r="B33" s="155"/>
      <c r="C33" s="155"/>
      <c r="D33" s="155"/>
      <c r="E33" s="155"/>
      <c r="F33" s="155"/>
      <c r="G33" s="155"/>
      <c r="H33" s="155"/>
      <c r="I33" s="155"/>
      <c r="J33" s="155"/>
      <c r="K33" s="155"/>
      <c r="L33" s="155"/>
      <c r="M33" s="155"/>
      <c r="N33" s="155"/>
      <c r="O33" s="155"/>
      <c r="P33" s="155"/>
      <c r="Q33" s="155"/>
      <c r="R33" s="155"/>
      <c r="S33" s="155"/>
      <c r="T33" s="155"/>
      <c r="U33" s="155"/>
      <c r="V33" s="155"/>
      <c r="W33" s="155"/>
      <c r="X33" s="155"/>
      <c r="Y33" s="155"/>
    </row>
    <row r="34" spans="2:25" x14ac:dyDescent="0.3">
      <c r="B34" s="155"/>
      <c r="C34" s="155"/>
      <c r="D34" s="155"/>
      <c r="E34" s="155"/>
      <c r="F34" s="155"/>
      <c r="G34" s="155"/>
      <c r="H34" s="155"/>
      <c r="I34" s="155"/>
      <c r="J34" s="155"/>
      <c r="K34" s="155"/>
      <c r="L34" s="155"/>
      <c r="M34" s="155"/>
      <c r="N34" s="155"/>
      <c r="O34" s="155"/>
      <c r="P34" s="155"/>
      <c r="Q34" s="155"/>
      <c r="R34" s="155"/>
      <c r="S34" s="155"/>
      <c r="T34" s="155"/>
      <c r="U34" s="155"/>
      <c r="V34" s="155"/>
      <c r="W34" s="155"/>
      <c r="X34" s="155"/>
      <c r="Y34" s="155"/>
    </row>
    <row r="35" spans="2:25" x14ac:dyDescent="0.3">
      <c r="B35" s="155"/>
      <c r="C35" s="155"/>
      <c r="D35" s="155"/>
      <c r="E35" s="155"/>
      <c r="F35" s="155"/>
      <c r="G35" s="155"/>
      <c r="H35" s="155"/>
      <c r="I35" s="155"/>
      <c r="J35" s="155"/>
      <c r="K35" s="155"/>
      <c r="L35" s="155"/>
      <c r="M35" s="155"/>
      <c r="N35" s="155"/>
      <c r="O35" s="155"/>
      <c r="P35" s="155"/>
      <c r="Q35" s="155"/>
      <c r="R35" s="155"/>
      <c r="S35" s="155"/>
      <c r="T35" s="155"/>
      <c r="U35" s="155"/>
      <c r="V35" s="155"/>
      <c r="W35" s="155"/>
      <c r="X35" s="155"/>
      <c r="Y35" s="155"/>
    </row>
    <row r="36" spans="2:25" x14ac:dyDescent="0.3">
      <c r="B36" s="155"/>
      <c r="C36" s="155"/>
      <c r="D36" s="155"/>
      <c r="E36" s="155"/>
      <c r="F36" s="155"/>
      <c r="G36" s="155"/>
      <c r="H36" s="155"/>
      <c r="I36" s="155"/>
      <c r="J36" s="155"/>
      <c r="K36" s="155"/>
      <c r="L36" s="155"/>
      <c r="M36" s="155"/>
      <c r="N36" s="155"/>
      <c r="O36" s="155"/>
      <c r="P36" s="155"/>
      <c r="Q36" s="155"/>
      <c r="R36" s="155"/>
      <c r="S36" s="155"/>
      <c r="T36" s="155"/>
      <c r="U36" s="155"/>
      <c r="V36" s="155"/>
      <c r="W36" s="155"/>
      <c r="X36" s="155"/>
      <c r="Y36" s="155"/>
    </row>
    <row r="37" spans="2:25" x14ac:dyDescent="0.3">
      <c r="B37" s="155"/>
      <c r="C37" s="155"/>
      <c r="D37" s="155"/>
      <c r="E37" s="155"/>
      <c r="F37" s="155"/>
      <c r="G37" s="155"/>
      <c r="H37" s="155"/>
      <c r="I37" s="155"/>
      <c r="J37" s="155"/>
      <c r="K37" s="155"/>
      <c r="L37" s="155"/>
      <c r="M37" s="155"/>
      <c r="N37" s="155"/>
      <c r="O37" s="155"/>
      <c r="P37" s="155"/>
      <c r="Q37" s="155"/>
      <c r="R37" s="155"/>
      <c r="S37" s="155"/>
      <c r="T37" s="155"/>
      <c r="U37" s="155"/>
      <c r="V37" s="155"/>
      <c r="W37" s="155"/>
      <c r="X37" s="155"/>
      <c r="Y37" s="155"/>
    </row>
    <row r="38" spans="2:25" x14ac:dyDescent="0.3">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5"/>
    </row>
    <row r="39" spans="2:25" x14ac:dyDescent="0.3">
      <c r="B39" s="155"/>
      <c r="C39" s="155"/>
      <c r="D39" s="155"/>
      <c r="E39" s="155"/>
      <c r="F39" s="155"/>
      <c r="G39" s="155"/>
      <c r="H39" s="155"/>
      <c r="I39" s="155"/>
      <c r="J39" s="155"/>
      <c r="K39" s="155"/>
      <c r="L39" s="155"/>
      <c r="M39" s="155"/>
      <c r="N39" s="155"/>
      <c r="O39" s="155"/>
      <c r="P39" s="155"/>
      <c r="Q39" s="155"/>
      <c r="R39" s="155"/>
      <c r="S39" s="155"/>
      <c r="T39" s="155"/>
      <c r="U39" s="155"/>
      <c r="V39" s="155"/>
      <c r="W39" s="155"/>
      <c r="X39" s="155"/>
      <c r="Y39" s="155"/>
    </row>
    <row r="40" spans="2:25" x14ac:dyDescent="0.3">
      <c r="B40" s="155"/>
      <c r="C40" s="155"/>
      <c r="D40" s="155"/>
      <c r="E40" s="155"/>
      <c r="F40" s="155"/>
      <c r="G40" s="155"/>
      <c r="H40" s="155"/>
      <c r="I40" s="155"/>
      <c r="J40" s="155"/>
      <c r="K40" s="155"/>
      <c r="L40" s="155"/>
      <c r="M40" s="155"/>
      <c r="N40" s="155"/>
      <c r="O40" s="155"/>
      <c r="P40" s="155"/>
      <c r="Q40" s="155"/>
      <c r="R40" s="155"/>
      <c r="S40" s="155"/>
      <c r="T40" s="155"/>
      <c r="U40" s="155"/>
      <c r="V40" s="155"/>
      <c r="W40" s="155"/>
      <c r="X40" s="155"/>
      <c r="Y40" s="155"/>
    </row>
    <row r="41" spans="2:25" x14ac:dyDescent="0.3">
      <c r="B41" s="155"/>
      <c r="C41" s="155"/>
      <c r="D41" s="155"/>
      <c r="E41" s="155"/>
      <c r="F41" s="155"/>
      <c r="G41" s="155"/>
      <c r="H41" s="155"/>
      <c r="I41" s="155"/>
      <c r="J41" s="155"/>
      <c r="K41" s="155"/>
      <c r="L41" s="155"/>
      <c r="M41" s="155"/>
      <c r="N41" s="155"/>
      <c r="O41" s="155"/>
      <c r="P41" s="155"/>
      <c r="Q41" s="155"/>
      <c r="R41" s="155"/>
      <c r="S41" s="155"/>
      <c r="T41" s="155"/>
      <c r="U41" s="155"/>
      <c r="V41" s="155"/>
      <c r="W41" s="155"/>
      <c r="X41" s="155"/>
      <c r="Y41" s="155"/>
    </row>
    <row r="42" spans="2:25" x14ac:dyDescent="0.3">
      <c r="B42" s="155"/>
      <c r="C42" s="155"/>
      <c r="D42" s="155"/>
      <c r="E42" s="155"/>
      <c r="F42" s="155"/>
      <c r="G42" s="155"/>
      <c r="H42" s="155"/>
      <c r="I42" s="155"/>
      <c r="J42" s="155"/>
      <c r="K42" s="155"/>
      <c r="L42" s="155"/>
      <c r="M42" s="155"/>
      <c r="N42" s="155"/>
      <c r="O42" s="155"/>
      <c r="P42" s="155"/>
      <c r="Q42" s="155"/>
      <c r="R42" s="155"/>
      <c r="S42" s="155"/>
      <c r="T42" s="155"/>
      <c r="U42" s="155"/>
      <c r="V42" s="155"/>
      <c r="W42" s="155"/>
      <c r="X42" s="155"/>
      <c r="Y42" s="155"/>
    </row>
    <row r="43" spans="2:25" x14ac:dyDescent="0.3">
      <c r="B43" s="155"/>
      <c r="C43" s="155"/>
      <c r="D43" s="155"/>
      <c r="E43" s="155"/>
      <c r="F43" s="155"/>
      <c r="G43" s="155"/>
      <c r="H43" s="155"/>
      <c r="I43" s="155"/>
      <c r="J43" s="155"/>
      <c r="K43" s="155"/>
      <c r="L43" s="155"/>
      <c r="M43" s="155"/>
      <c r="N43" s="155"/>
      <c r="O43" s="155"/>
      <c r="P43" s="155"/>
      <c r="Q43" s="155"/>
      <c r="R43" s="155"/>
      <c r="S43" s="155"/>
      <c r="T43" s="155"/>
      <c r="U43" s="155"/>
      <c r="V43" s="155"/>
      <c r="W43" s="155"/>
      <c r="X43" s="155"/>
      <c r="Y43" s="155"/>
    </row>
    <row r="44" spans="2:25" x14ac:dyDescent="0.3">
      <c r="B44" s="155"/>
      <c r="C44" s="155"/>
      <c r="D44" s="155"/>
      <c r="E44" s="155"/>
      <c r="F44" s="155"/>
      <c r="G44" s="155"/>
      <c r="H44" s="155"/>
      <c r="I44" s="155"/>
      <c r="J44" s="155"/>
      <c r="K44" s="155"/>
      <c r="L44" s="155"/>
      <c r="M44" s="155"/>
      <c r="N44" s="155"/>
      <c r="O44" s="155"/>
      <c r="P44" s="155"/>
      <c r="Q44" s="155"/>
      <c r="R44" s="155"/>
      <c r="S44" s="155"/>
      <c r="T44" s="155"/>
      <c r="U44" s="155"/>
      <c r="V44" s="155"/>
      <c r="W44" s="155"/>
      <c r="X44" s="155"/>
      <c r="Y44" s="155"/>
    </row>
    <row r="45" spans="2:25" x14ac:dyDescent="0.3">
      <c r="B45" s="155"/>
      <c r="C45" s="155"/>
      <c r="D45" s="155"/>
      <c r="E45" s="155"/>
      <c r="F45" s="155"/>
      <c r="G45" s="155"/>
      <c r="H45" s="155"/>
      <c r="I45" s="155"/>
      <c r="J45" s="155"/>
      <c r="K45" s="155"/>
      <c r="L45" s="155"/>
      <c r="M45" s="155"/>
      <c r="N45" s="155"/>
      <c r="O45" s="155"/>
      <c r="P45" s="155"/>
      <c r="Q45" s="155"/>
      <c r="R45" s="155"/>
      <c r="S45" s="155"/>
      <c r="T45" s="155"/>
      <c r="U45" s="155"/>
      <c r="V45" s="155"/>
      <c r="W45" s="155"/>
      <c r="X45" s="155"/>
      <c r="Y45" s="155"/>
    </row>
    <row r="46" spans="2:25" x14ac:dyDescent="0.3">
      <c r="B46" s="155"/>
      <c r="C46" s="155"/>
      <c r="D46" s="155"/>
      <c r="E46" s="155"/>
      <c r="F46" s="155"/>
      <c r="G46" s="155"/>
      <c r="H46" s="155"/>
      <c r="I46" s="155"/>
      <c r="J46" s="155"/>
      <c r="K46" s="155"/>
      <c r="L46" s="155"/>
      <c r="M46" s="155"/>
      <c r="N46" s="155"/>
      <c r="O46" s="155"/>
      <c r="P46" s="155"/>
      <c r="Q46" s="155"/>
      <c r="R46" s="155"/>
      <c r="S46" s="155"/>
      <c r="T46" s="155"/>
      <c r="U46" s="155"/>
      <c r="V46" s="155"/>
      <c r="W46" s="155"/>
      <c r="X46" s="155"/>
      <c r="Y46" s="155"/>
    </row>
    <row r="47" spans="2:25" x14ac:dyDescent="0.3">
      <c r="B47" s="155"/>
      <c r="C47" s="155"/>
      <c r="D47" s="155"/>
      <c r="E47" s="155"/>
      <c r="F47" s="155"/>
      <c r="G47" s="155"/>
      <c r="H47" s="155"/>
      <c r="I47" s="155"/>
      <c r="J47" s="155"/>
      <c r="K47" s="155"/>
      <c r="L47" s="155"/>
      <c r="M47" s="155"/>
      <c r="N47" s="155"/>
      <c r="O47" s="155"/>
      <c r="P47" s="155"/>
      <c r="Q47" s="155"/>
      <c r="R47" s="155"/>
      <c r="S47" s="155"/>
      <c r="T47" s="155"/>
      <c r="U47" s="155"/>
      <c r="V47" s="155"/>
      <c r="W47" s="155"/>
      <c r="X47" s="155"/>
      <c r="Y47" s="155"/>
    </row>
    <row r="48" spans="2:25" x14ac:dyDescent="0.3">
      <c r="B48" s="155"/>
      <c r="C48" s="155"/>
      <c r="D48" s="155"/>
      <c r="E48" s="155"/>
      <c r="F48" s="155"/>
      <c r="G48" s="155"/>
      <c r="H48" s="155"/>
      <c r="I48" s="155"/>
      <c r="J48" s="155"/>
      <c r="K48" s="155"/>
      <c r="L48" s="155"/>
      <c r="M48" s="155"/>
      <c r="N48" s="155"/>
      <c r="O48" s="155"/>
      <c r="P48" s="155"/>
      <c r="Q48" s="155"/>
      <c r="R48" s="155"/>
      <c r="S48" s="155"/>
      <c r="T48" s="155"/>
      <c r="U48" s="155"/>
      <c r="V48" s="155"/>
      <c r="W48" s="155"/>
      <c r="X48" s="155"/>
      <c r="Y48" s="155"/>
    </row>
    <row r="49" spans="2:25" x14ac:dyDescent="0.3">
      <c r="B49" s="155"/>
      <c r="C49" s="155"/>
      <c r="D49" s="155"/>
      <c r="E49" s="155"/>
      <c r="F49" s="155"/>
      <c r="G49" s="155"/>
      <c r="H49" s="155"/>
      <c r="I49" s="155"/>
      <c r="J49" s="155"/>
      <c r="K49" s="155"/>
      <c r="L49" s="155"/>
      <c r="M49" s="155"/>
      <c r="N49" s="155"/>
      <c r="O49" s="155"/>
      <c r="P49" s="155"/>
      <c r="Q49" s="155"/>
      <c r="R49" s="155"/>
      <c r="S49" s="155"/>
      <c r="T49" s="155"/>
      <c r="U49" s="155"/>
      <c r="V49" s="155"/>
      <c r="W49" s="155"/>
      <c r="X49" s="155"/>
      <c r="Y49" s="155"/>
    </row>
    <row r="50" spans="2:25" x14ac:dyDescent="0.3">
      <c r="B50" s="155"/>
      <c r="C50" s="155"/>
      <c r="D50" s="155"/>
      <c r="E50" s="155"/>
      <c r="F50" s="155"/>
      <c r="G50" s="155"/>
      <c r="H50" s="155"/>
      <c r="I50" s="155"/>
      <c r="J50" s="155"/>
      <c r="K50" s="155"/>
      <c r="L50" s="155"/>
      <c r="M50" s="155"/>
      <c r="N50" s="155"/>
      <c r="O50" s="155"/>
      <c r="P50" s="155"/>
      <c r="Q50" s="155"/>
      <c r="R50" s="155"/>
      <c r="S50" s="155"/>
      <c r="T50" s="155"/>
      <c r="U50" s="155"/>
      <c r="V50" s="155"/>
      <c r="W50" s="155"/>
      <c r="X50" s="155"/>
      <c r="Y50" s="155"/>
    </row>
    <row r="51" spans="2:25" x14ac:dyDescent="0.3">
      <c r="B51" s="155"/>
      <c r="C51" s="155"/>
      <c r="D51" s="155"/>
      <c r="E51" s="155"/>
      <c r="F51" s="155"/>
      <c r="G51" s="155"/>
      <c r="H51" s="155"/>
      <c r="I51" s="155"/>
      <c r="J51" s="155"/>
      <c r="K51" s="155"/>
      <c r="L51" s="155"/>
      <c r="M51" s="155"/>
      <c r="N51" s="155"/>
      <c r="O51" s="155"/>
      <c r="P51" s="155"/>
      <c r="Q51" s="155"/>
      <c r="R51" s="155"/>
      <c r="S51" s="155"/>
      <c r="T51" s="155"/>
      <c r="U51" s="155"/>
      <c r="V51" s="155"/>
      <c r="W51" s="155"/>
      <c r="X51" s="155"/>
      <c r="Y51" s="155"/>
    </row>
    <row r="52" spans="2:25" x14ac:dyDescent="0.3">
      <c r="B52" s="155"/>
      <c r="C52" s="155"/>
      <c r="D52" s="155"/>
      <c r="E52" s="155"/>
      <c r="F52" s="155"/>
      <c r="G52" s="155"/>
      <c r="H52" s="155"/>
      <c r="I52" s="155"/>
      <c r="J52" s="155"/>
      <c r="K52" s="155"/>
      <c r="L52" s="155"/>
      <c r="M52" s="155"/>
      <c r="N52" s="155"/>
      <c r="O52" s="155"/>
      <c r="P52" s="155"/>
      <c r="Q52" s="155"/>
      <c r="R52" s="155"/>
      <c r="S52" s="155"/>
      <c r="T52" s="155"/>
      <c r="U52" s="155"/>
      <c r="V52" s="155"/>
      <c r="W52" s="155"/>
      <c r="X52" s="155"/>
      <c r="Y52" s="155"/>
    </row>
  </sheetData>
  <mergeCells count="14">
    <mergeCell ref="B1:AC1"/>
    <mergeCell ref="B2:AC4"/>
    <mergeCell ref="B6:C8"/>
    <mergeCell ref="I7:L7"/>
    <mergeCell ref="U7:X7"/>
    <mergeCell ref="E7:H7"/>
    <mergeCell ref="T6:AC6"/>
    <mergeCell ref="D6:S6"/>
    <mergeCell ref="B15:B16"/>
    <mergeCell ref="K15:L15"/>
    <mergeCell ref="C15:F15"/>
    <mergeCell ref="Y7:AB7"/>
    <mergeCell ref="M7:P7"/>
    <mergeCell ref="Q7:R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FF00"/>
  </sheetPr>
  <dimension ref="B1:AF19"/>
  <sheetViews>
    <sheetView topLeftCell="I1" workbookViewId="0">
      <selection activeCell="V12" sqref="V12"/>
    </sheetView>
  </sheetViews>
  <sheetFormatPr defaultColWidth="11.5546875" defaultRowHeight="14.4" x14ac:dyDescent="0.3"/>
  <sheetData>
    <row r="1" spans="2:32" x14ac:dyDescent="0.3">
      <c r="B1" s="1094" t="s">
        <v>1481</v>
      </c>
      <c r="C1" s="1094"/>
      <c r="D1" s="1094"/>
      <c r="E1" s="1094"/>
      <c r="F1" s="1094"/>
      <c r="G1" s="1094"/>
      <c r="H1" s="1094"/>
      <c r="I1" s="1094"/>
      <c r="J1" s="1094"/>
      <c r="K1" s="1094"/>
      <c r="L1" s="1094"/>
      <c r="M1" s="1094"/>
      <c r="N1" s="1094"/>
      <c r="O1" s="1094"/>
      <c r="P1" s="1094"/>
      <c r="Q1" s="1094"/>
      <c r="R1" s="1094"/>
      <c r="S1" s="1094"/>
      <c r="T1" s="1094"/>
      <c r="U1" s="1094"/>
      <c r="V1" s="1094"/>
      <c r="W1" s="1094"/>
      <c r="X1" s="1094"/>
      <c r="Y1" s="1094"/>
      <c r="Z1" s="1094"/>
      <c r="AA1" s="1094"/>
      <c r="AB1" s="1094"/>
      <c r="AC1" s="1094"/>
    </row>
    <row r="2" spans="2:32" x14ac:dyDescent="0.3">
      <c r="B2" s="1122" t="s">
        <v>1484</v>
      </c>
      <c r="C2" s="1122"/>
      <c r="D2" s="1122"/>
      <c r="E2" s="1122"/>
      <c r="F2" s="1122"/>
      <c r="G2" s="1122"/>
      <c r="H2" s="1122"/>
      <c r="I2" s="1122"/>
      <c r="J2" s="1122"/>
      <c r="K2" s="1122"/>
      <c r="L2" s="1122"/>
      <c r="M2" s="1122"/>
      <c r="N2" s="1122"/>
      <c r="O2" s="1122"/>
      <c r="P2" s="1122"/>
      <c r="Q2" s="1122"/>
      <c r="R2" s="1122"/>
      <c r="S2" s="1122"/>
      <c r="T2" s="1122"/>
      <c r="U2" s="1122"/>
      <c r="V2" s="1122"/>
      <c r="W2" s="1122"/>
      <c r="X2" s="1122"/>
      <c r="Y2" s="1122"/>
      <c r="Z2" s="1122"/>
      <c r="AA2" s="1122"/>
      <c r="AB2" s="1122"/>
      <c r="AC2" s="1122"/>
    </row>
    <row r="3" spans="2:32" x14ac:dyDescent="0.3">
      <c r="B3" s="1122"/>
      <c r="C3" s="1122"/>
      <c r="D3" s="1122"/>
      <c r="E3" s="1122"/>
      <c r="F3" s="1122"/>
      <c r="G3" s="1122"/>
      <c r="H3" s="1122"/>
      <c r="I3" s="1122"/>
      <c r="J3" s="1122"/>
      <c r="K3" s="1122"/>
      <c r="L3" s="1122"/>
      <c r="M3" s="1122"/>
      <c r="N3" s="1122"/>
      <c r="O3" s="1122"/>
      <c r="P3" s="1122"/>
      <c r="Q3" s="1122"/>
      <c r="R3" s="1122"/>
      <c r="S3" s="1122"/>
      <c r="T3" s="1122"/>
      <c r="U3" s="1122"/>
      <c r="V3" s="1122"/>
      <c r="W3" s="1122"/>
      <c r="X3" s="1122"/>
      <c r="Y3" s="1122"/>
      <c r="Z3" s="1122"/>
      <c r="AA3" s="1122"/>
      <c r="AB3" s="1122"/>
      <c r="AC3" s="1122"/>
    </row>
    <row r="4" spans="2:32" x14ac:dyDescent="0.3">
      <c r="B4" s="1122"/>
      <c r="C4" s="1122"/>
      <c r="D4" s="1122"/>
      <c r="E4" s="1122"/>
      <c r="F4" s="1122"/>
      <c r="G4" s="1122"/>
      <c r="H4" s="1122"/>
      <c r="I4" s="1122"/>
      <c r="J4" s="1122"/>
      <c r="K4" s="1122"/>
      <c r="L4" s="1122"/>
      <c r="M4" s="1122"/>
      <c r="N4" s="1122"/>
      <c r="O4" s="1122"/>
      <c r="P4" s="1122"/>
      <c r="Q4" s="1122"/>
      <c r="R4" s="1122"/>
      <c r="S4" s="1122"/>
      <c r="T4" s="1122"/>
      <c r="U4" s="1122"/>
      <c r="V4" s="1122"/>
      <c r="W4" s="1122"/>
      <c r="X4" s="1122"/>
      <c r="Y4" s="1122"/>
      <c r="Z4" s="1122"/>
      <c r="AA4" s="1122"/>
      <c r="AB4" s="1122"/>
      <c r="AC4" s="1122"/>
    </row>
    <row r="5" spans="2:32" x14ac:dyDescent="0.3">
      <c r="B5" s="354"/>
      <c r="C5" s="155"/>
      <c r="D5" s="155"/>
      <c r="E5" s="155"/>
      <c r="F5" s="155"/>
      <c r="G5" s="155"/>
      <c r="H5" s="155"/>
      <c r="I5" s="155"/>
      <c r="J5" s="155"/>
      <c r="K5" s="155"/>
      <c r="L5" s="155"/>
      <c r="M5" s="155"/>
      <c r="N5" s="155"/>
      <c r="O5" s="155"/>
      <c r="P5" s="155"/>
      <c r="Q5" s="155"/>
      <c r="R5" s="155"/>
      <c r="S5" s="155"/>
      <c r="T5" s="155"/>
      <c r="U5" s="155"/>
      <c r="V5" s="155"/>
      <c r="W5" s="155"/>
      <c r="X5" s="155"/>
      <c r="Y5" s="155"/>
    </row>
    <row r="6" spans="2:32" x14ac:dyDescent="0.3">
      <c r="B6" s="1123" t="s">
        <v>1812</v>
      </c>
      <c r="C6" s="1106"/>
      <c r="D6" s="1104" t="s">
        <v>325</v>
      </c>
      <c r="E6" s="1105"/>
      <c r="F6" s="1105"/>
      <c r="G6" s="1105"/>
      <c r="H6" s="1105"/>
      <c r="I6" s="1105"/>
      <c r="J6" s="1105"/>
      <c r="K6" s="1105"/>
      <c r="L6" s="1105"/>
      <c r="M6" s="1105"/>
      <c r="N6" s="1105"/>
      <c r="O6" s="1105"/>
      <c r="P6" s="1105"/>
      <c r="Q6" s="1106"/>
      <c r="R6" s="1106"/>
      <c r="S6" s="147"/>
      <c r="T6" s="1132" t="s">
        <v>326</v>
      </c>
      <c r="U6" s="1132"/>
      <c r="V6" s="1132"/>
      <c r="W6" s="1132"/>
      <c r="X6" s="1132"/>
      <c r="Y6" s="1132"/>
      <c r="Z6" s="1132"/>
      <c r="AA6" s="1132"/>
      <c r="AB6" s="1132"/>
      <c r="AC6" s="1132"/>
      <c r="AD6" s="1132"/>
      <c r="AE6" s="1132"/>
      <c r="AF6" s="1133"/>
    </row>
    <row r="7" spans="2:32" x14ac:dyDescent="0.3">
      <c r="B7" s="1124"/>
      <c r="C7" s="1125"/>
      <c r="D7" s="153">
        <v>2018</v>
      </c>
      <c r="E7" s="1143">
        <v>2019</v>
      </c>
      <c r="F7" s="1144"/>
      <c r="G7" s="1144"/>
      <c r="H7" s="1151"/>
      <c r="I7" s="1143">
        <v>2020</v>
      </c>
      <c r="J7" s="1144"/>
      <c r="K7" s="1144"/>
      <c r="L7" s="1144"/>
      <c r="M7" s="1143">
        <v>2021</v>
      </c>
      <c r="N7" s="1144"/>
      <c r="O7" s="1144"/>
      <c r="P7" s="1144"/>
      <c r="Q7" s="1129">
        <v>2022</v>
      </c>
      <c r="R7" s="1130"/>
      <c r="S7" s="253"/>
      <c r="T7" s="288"/>
      <c r="U7" s="1126">
        <v>2023</v>
      </c>
      <c r="V7" s="1127"/>
      <c r="W7" s="1127"/>
      <c r="X7" s="1127"/>
      <c r="Y7" s="1126">
        <v>2024</v>
      </c>
      <c r="Z7" s="1127"/>
      <c r="AA7" s="1127"/>
      <c r="AB7" s="1128"/>
      <c r="AC7" s="1126">
        <v>2025</v>
      </c>
      <c r="AD7" s="1127"/>
      <c r="AE7" s="1127"/>
      <c r="AF7" s="1128"/>
    </row>
    <row r="8" spans="2:32" x14ac:dyDescent="0.3">
      <c r="B8" s="1135"/>
      <c r="C8" s="1136"/>
      <c r="D8" s="153" t="s">
        <v>327</v>
      </c>
      <c r="E8" s="153" t="s">
        <v>328</v>
      </c>
      <c r="F8" s="152" t="s">
        <v>329</v>
      </c>
      <c r="G8" s="152" t="s">
        <v>238</v>
      </c>
      <c r="H8" s="204" t="s">
        <v>327</v>
      </c>
      <c r="I8" s="152" t="s">
        <v>328</v>
      </c>
      <c r="J8" s="152" t="s">
        <v>329</v>
      </c>
      <c r="K8" s="152" t="s">
        <v>238</v>
      </c>
      <c r="L8" s="152" t="s">
        <v>327</v>
      </c>
      <c r="M8" s="153" t="s">
        <v>328</v>
      </c>
      <c r="N8" s="152" t="s">
        <v>329</v>
      </c>
      <c r="O8" s="152" t="s">
        <v>238</v>
      </c>
      <c r="P8" s="152" t="s">
        <v>327</v>
      </c>
      <c r="Q8" s="174" t="s">
        <v>328</v>
      </c>
      <c r="R8" s="176" t="s">
        <v>329</v>
      </c>
      <c r="S8" s="156" t="s">
        <v>238</v>
      </c>
      <c r="T8" s="276" t="s">
        <v>327</v>
      </c>
      <c r="U8" s="274" t="s">
        <v>328</v>
      </c>
      <c r="V8" s="275" t="s">
        <v>329</v>
      </c>
      <c r="W8" s="275" t="s">
        <v>238</v>
      </c>
      <c r="X8" s="275" t="s">
        <v>327</v>
      </c>
      <c r="Y8" s="274" t="s">
        <v>328</v>
      </c>
      <c r="Z8" s="270" t="s">
        <v>329</v>
      </c>
      <c r="AA8" s="275" t="s">
        <v>238</v>
      </c>
      <c r="AB8" s="276" t="s">
        <v>327</v>
      </c>
      <c r="AC8" s="278" t="s">
        <v>328</v>
      </c>
      <c r="AD8" s="275" t="s">
        <v>329</v>
      </c>
      <c r="AE8" s="275" t="s">
        <v>238</v>
      </c>
      <c r="AF8" s="276" t="s">
        <v>327</v>
      </c>
    </row>
    <row r="9" spans="2:32" x14ac:dyDescent="0.3">
      <c r="B9" s="436" t="s">
        <v>1483</v>
      </c>
      <c r="C9" s="627"/>
      <c r="D9" s="628"/>
      <c r="E9" s="627"/>
      <c r="F9" s="627"/>
      <c r="G9" s="627"/>
      <c r="H9" s="627"/>
      <c r="I9" s="627"/>
      <c r="J9" s="629"/>
      <c r="K9" s="629"/>
      <c r="L9" s="629"/>
      <c r="M9" s="629"/>
      <c r="N9" s="629"/>
      <c r="O9" s="629"/>
      <c r="P9" s="629"/>
      <c r="Q9" s="629"/>
      <c r="R9" s="625">
        <v>0</v>
      </c>
      <c r="S9" s="626">
        <v>0</v>
      </c>
      <c r="T9" s="630">
        <v>0</v>
      </c>
      <c r="U9" s="630">
        <v>0</v>
      </c>
      <c r="V9" s="630">
        <v>0</v>
      </c>
      <c r="W9" s="630">
        <v>-7.7999999999999999E-4</v>
      </c>
      <c r="X9" s="630">
        <v>-7.7999999999999999E-4</v>
      </c>
      <c r="Y9" s="630">
        <v>-9.5E-4</v>
      </c>
      <c r="Z9" s="630">
        <v>-9.5E-4</v>
      </c>
      <c r="AA9" s="630">
        <v>-9.5E-4</v>
      </c>
      <c r="AB9" s="630">
        <v>-9.5E-4</v>
      </c>
      <c r="AC9" s="630">
        <v>-9.3999999999999997E-4</v>
      </c>
      <c r="AD9" s="630">
        <v>-9.3999999999999997E-4</v>
      </c>
      <c r="AE9" s="630">
        <v>-9.3999999999999997E-4</v>
      </c>
      <c r="AF9" s="631">
        <v>-9.3999999999999997E-4</v>
      </c>
    </row>
    <row r="10" spans="2:32" x14ac:dyDescent="0.3">
      <c r="B10" s="36" t="s">
        <v>1482</v>
      </c>
      <c r="C10" s="258"/>
      <c r="D10" s="545"/>
      <c r="E10" s="258"/>
      <c r="F10" s="258"/>
      <c r="G10" s="258"/>
      <c r="H10" s="258"/>
      <c r="I10" s="258"/>
      <c r="J10" s="610"/>
      <c r="K10" s="610"/>
      <c r="L10" s="610"/>
      <c r="M10" s="610"/>
      <c r="N10" s="610"/>
      <c r="O10" s="610"/>
      <c r="P10" s="610"/>
      <c r="Q10" s="610"/>
      <c r="R10" s="130"/>
      <c r="S10" s="88"/>
      <c r="T10" s="130"/>
      <c r="U10" s="130">
        <v>26095</v>
      </c>
      <c r="V10" s="130">
        <v>26404</v>
      </c>
      <c r="W10" s="130">
        <v>26686</v>
      </c>
      <c r="X10" s="130">
        <v>26931</v>
      </c>
      <c r="Y10" s="130">
        <v>27174</v>
      </c>
      <c r="Z10" s="130">
        <v>27411</v>
      </c>
      <c r="AA10" s="130">
        <v>27647</v>
      </c>
      <c r="AB10" s="130">
        <v>27893</v>
      </c>
      <c r="AC10" s="130">
        <v>28143</v>
      </c>
      <c r="AD10" s="130">
        <v>28400</v>
      </c>
      <c r="AE10" s="130">
        <v>28649</v>
      </c>
      <c r="AF10" s="88">
        <v>28910</v>
      </c>
    </row>
    <row r="11" spans="2:32" x14ac:dyDescent="0.3">
      <c r="B11" s="36" t="s">
        <v>360</v>
      </c>
      <c r="C11" s="490"/>
      <c r="D11" s="489"/>
      <c r="E11" s="490"/>
      <c r="F11" s="490"/>
      <c r="G11" s="490"/>
      <c r="H11" s="490"/>
      <c r="I11" s="490"/>
      <c r="J11" s="622"/>
      <c r="K11" s="622"/>
      <c r="L11" s="622"/>
      <c r="M11" s="622"/>
      <c r="N11" s="622"/>
      <c r="O11" s="622"/>
      <c r="P11" s="622"/>
      <c r="Q11" s="622"/>
      <c r="R11" s="206">
        <f>R9*R10</f>
        <v>0</v>
      </c>
      <c r="S11" s="624">
        <f t="shared" ref="S11:T11" si="0">S9*S10</f>
        <v>0</v>
      </c>
      <c r="T11" s="206">
        <f t="shared" si="0"/>
        <v>0</v>
      </c>
      <c r="U11" s="632">
        <f>U9*U10*-1</f>
        <v>0</v>
      </c>
      <c r="V11" s="632">
        <f t="shared" ref="V11:AF11" si="1">V9*V10*-1</f>
        <v>0</v>
      </c>
      <c r="W11" s="632">
        <f t="shared" si="1"/>
        <v>20.815079999999998</v>
      </c>
      <c r="X11" s="632">
        <f t="shared" si="1"/>
        <v>21.006180000000001</v>
      </c>
      <c r="Y11" s="632">
        <f t="shared" si="1"/>
        <v>25.815300000000001</v>
      </c>
      <c r="Z11" s="632">
        <f t="shared" si="1"/>
        <v>26.04045</v>
      </c>
      <c r="AA11" s="632">
        <f t="shared" si="1"/>
        <v>26.26465</v>
      </c>
      <c r="AB11" s="632">
        <f t="shared" si="1"/>
        <v>26.498349999999999</v>
      </c>
      <c r="AC11" s="632">
        <f t="shared" si="1"/>
        <v>26.454419999999999</v>
      </c>
      <c r="AD11" s="632">
        <f t="shared" si="1"/>
        <v>26.695999999999998</v>
      </c>
      <c r="AE11" s="632">
        <f t="shared" si="1"/>
        <v>26.930059999999997</v>
      </c>
      <c r="AF11" s="632">
        <f t="shared" si="1"/>
        <v>27.1754</v>
      </c>
    </row>
    <row r="12" spans="2:32" x14ac:dyDescent="0.3">
      <c r="B12" s="15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36"/>
      <c r="AA12" s="36"/>
      <c r="AB12" s="36"/>
      <c r="AC12" s="36"/>
    </row>
    <row r="14" spans="2:32" x14ac:dyDescent="0.3">
      <c r="B14" s="1123" t="s">
        <v>1811</v>
      </c>
      <c r="C14" s="1106"/>
      <c r="D14" s="1104" t="s">
        <v>325</v>
      </c>
      <c r="E14" s="1105"/>
      <c r="F14" s="1105"/>
      <c r="G14" s="1105"/>
      <c r="H14" s="1105"/>
      <c r="I14" s="1105"/>
      <c r="J14" s="1105"/>
      <c r="K14" s="1105"/>
      <c r="L14" s="1105"/>
      <c r="M14" s="1105"/>
      <c r="N14" s="1105"/>
      <c r="O14" s="1105"/>
      <c r="P14" s="1105"/>
      <c r="Q14" s="1106"/>
      <c r="R14" s="1106"/>
      <c r="S14" s="147"/>
      <c r="T14" s="1132" t="s">
        <v>326</v>
      </c>
      <c r="U14" s="1132"/>
      <c r="V14" s="1132"/>
      <c r="W14" s="1132"/>
      <c r="X14" s="1132"/>
      <c r="Y14" s="1132"/>
      <c r="Z14" s="1132"/>
      <c r="AA14" s="1132"/>
      <c r="AB14" s="1132"/>
      <c r="AC14" s="1132"/>
      <c r="AD14" s="1132"/>
      <c r="AE14" s="1132"/>
      <c r="AF14" s="1133"/>
    </row>
    <row r="15" spans="2:32" x14ac:dyDescent="0.3">
      <c r="B15" s="1124"/>
      <c r="C15" s="1125"/>
      <c r="D15" s="153">
        <v>2018</v>
      </c>
      <c r="E15" s="1143">
        <v>2019</v>
      </c>
      <c r="F15" s="1144"/>
      <c r="G15" s="1144"/>
      <c r="H15" s="1151"/>
      <c r="I15" s="1143">
        <v>2020</v>
      </c>
      <c r="J15" s="1144"/>
      <c r="K15" s="1144"/>
      <c r="L15" s="1144"/>
      <c r="M15" s="1143">
        <v>2021</v>
      </c>
      <c r="N15" s="1144"/>
      <c r="O15" s="1144"/>
      <c r="P15" s="1144"/>
      <c r="Q15" s="1129">
        <v>2022</v>
      </c>
      <c r="R15" s="1130"/>
      <c r="S15" s="253"/>
      <c r="T15" s="288"/>
      <c r="U15" s="1126">
        <v>2023</v>
      </c>
      <c r="V15" s="1127"/>
      <c r="W15" s="1127"/>
      <c r="X15" s="1127"/>
      <c r="Y15" s="1126">
        <v>2024</v>
      </c>
      <c r="Z15" s="1127"/>
      <c r="AA15" s="1127"/>
      <c r="AB15" s="1128"/>
      <c r="AC15" s="1126">
        <v>2025</v>
      </c>
      <c r="AD15" s="1127"/>
      <c r="AE15" s="1127"/>
      <c r="AF15" s="1128"/>
    </row>
    <row r="16" spans="2:32" x14ac:dyDescent="0.3">
      <c r="B16" s="1135"/>
      <c r="C16" s="1136"/>
      <c r="D16" s="153" t="s">
        <v>327</v>
      </c>
      <c r="E16" s="153" t="s">
        <v>328</v>
      </c>
      <c r="F16" s="152" t="s">
        <v>329</v>
      </c>
      <c r="G16" s="152" t="s">
        <v>238</v>
      </c>
      <c r="H16" s="204" t="s">
        <v>327</v>
      </c>
      <c r="I16" s="152" t="s">
        <v>328</v>
      </c>
      <c r="J16" s="152" t="s">
        <v>329</v>
      </c>
      <c r="K16" s="152" t="s">
        <v>238</v>
      </c>
      <c r="L16" s="152" t="s">
        <v>327</v>
      </c>
      <c r="M16" s="153" t="s">
        <v>328</v>
      </c>
      <c r="N16" s="152" t="s">
        <v>329</v>
      </c>
      <c r="O16" s="152" t="s">
        <v>238</v>
      </c>
      <c r="P16" s="152" t="s">
        <v>327</v>
      </c>
      <c r="Q16" s="174" t="s">
        <v>328</v>
      </c>
      <c r="R16" s="176" t="s">
        <v>329</v>
      </c>
      <c r="S16" s="156" t="s">
        <v>238</v>
      </c>
      <c r="T16" s="276" t="s">
        <v>327</v>
      </c>
      <c r="U16" s="274" t="s">
        <v>328</v>
      </c>
      <c r="V16" s="275" t="s">
        <v>329</v>
      </c>
      <c r="W16" s="275" t="s">
        <v>238</v>
      </c>
      <c r="X16" s="275" t="s">
        <v>327</v>
      </c>
      <c r="Y16" s="274" t="s">
        <v>328</v>
      </c>
      <c r="Z16" s="270" t="s">
        <v>329</v>
      </c>
      <c r="AA16" s="275" t="s">
        <v>238</v>
      </c>
      <c r="AB16" s="276" t="s">
        <v>327</v>
      </c>
      <c r="AC16" s="278" t="s">
        <v>328</v>
      </c>
      <c r="AD16" s="275" t="s">
        <v>329</v>
      </c>
      <c r="AE16" s="275" t="s">
        <v>238</v>
      </c>
      <c r="AF16" s="276" t="s">
        <v>327</v>
      </c>
    </row>
    <row r="17" spans="2:32" x14ac:dyDescent="0.3">
      <c r="B17" s="436" t="s">
        <v>1483</v>
      </c>
      <c r="C17" s="627"/>
      <c r="D17" s="628"/>
      <c r="E17" s="627"/>
      <c r="F17" s="627"/>
      <c r="G17" s="627"/>
      <c r="H17" s="627"/>
      <c r="I17" s="627"/>
      <c r="J17" s="629"/>
      <c r="K17" s="629"/>
      <c r="L17" s="629"/>
      <c r="M17" s="629"/>
      <c r="N17" s="629"/>
      <c r="O17" s="629"/>
      <c r="P17" s="629"/>
      <c r="Q17" s="629"/>
      <c r="R17" s="625">
        <v>0</v>
      </c>
      <c r="S17" s="626">
        <v>0</v>
      </c>
      <c r="T17" s="630">
        <v>0</v>
      </c>
      <c r="U17" s="630">
        <v>-7.7999999999999999E-4</v>
      </c>
      <c r="V17" s="630">
        <v>-7.7999999999999999E-4</v>
      </c>
      <c r="W17" s="630">
        <v>-7.7999999999999999E-4</v>
      </c>
      <c r="X17" s="630">
        <v>-7.7999999999999999E-4</v>
      </c>
      <c r="Y17" s="630">
        <v>-9.5E-4</v>
      </c>
      <c r="Z17" s="630">
        <v>-9.5E-4</v>
      </c>
      <c r="AA17" s="630">
        <v>-9.5E-4</v>
      </c>
      <c r="AB17" s="630">
        <v>-9.5E-4</v>
      </c>
      <c r="AC17" s="630">
        <v>-9.3999999999999997E-4</v>
      </c>
      <c r="AD17" s="630">
        <v>-9.3999999999999997E-4</v>
      </c>
      <c r="AE17" s="630">
        <v>-9.3999999999999997E-4</v>
      </c>
      <c r="AF17" s="631">
        <v>-9.3999999999999997E-4</v>
      </c>
    </row>
    <row r="18" spans="2:32" x14ac:dyDescent="0.3">
      <c r="B18" s="36" t="s">
        <v>1482</v>
      </c>
      <c r="C18" s="258"/>
      <c r="D18" s="545"/>
      <c r="E18" s="258"/>
      <c r="F18" s="258"/>
      <c r="G18" s="258"/>
      <c r="H18" s="258"/>
      <c r="I18" s="258"/>
      <c r="J18" s="610"/>
      <c r="K18" s="610"/>
      <c r="L18" s="610"/>
      <c r="M18" s="610"/>
      <c r="N18" s="610"/>
      <c r="O18" s="610"/>
      <c r="P18" s="610"/>
      <c r="Q18" s="610"/>
      <c r="R18" s="130"/>
      <c r="S18" s="88"/>
      <c r="T18" s="130"/>
      <c r="U18" s="130">
        <v>26095</v>
      </c>
      <c r="V18" s="130">
        <v>26404</v>
      </c>
      <c r="W18" s="130">
        <v>26686</v>
      </c>
      <c r="X18" s="130">
        <v>26931</v>
      </c>
      <c r="Y18" s="130">
        <v>27174</v>
      </c>
      <c r="Z18" s="130">
        <v>27411</v>
      </c>
      <c r="AA18" s="130">
        <v>27647</v>
      </c>
      <c r="AB18" s="130">
        <v>27893</v>
      </c>
      <c r="AC18" s="130">
        <v>28143</v>
      </c>
      <c r="AD18" s="130">
        <v>28400</v>
      </c>
      <c r="AE18" s="130">
        <v>28649</v>
      </c>
      <c r="AF18" s="88">
        <v>28910</v>
      </c>
    </row>
    <row r="19" spans="2:32" x14ac:dyDescent="0.3">
      <c r="B19" s="36" t="s">
        <v>360</v>
      </c>
      <c r="C19" s="490"/>
      <c r="D19" s="489"/>
      <c r="E19" s="490"/>
      <c r="F19" s="490"/>
      <c r="G19" s="490"/>
      <c r="H19" s="490"/>
      <c r="I19" s="490"/>
      <c r="J19" s="622"/>
      <c r="K19" s="622"/>
      <c r="L19" s="622"/>
      <c r="M19" s="622"/>
      <c r="N19" s="622"/>
      <c r="O19" s="622"/>
      <c r="P19" s="622"/>
      <c r="Q19" s="622"/>
      <c r="R19" s="206">
        <f>R17*R18</f>
        <v>0</v>
      </c>
      <c r="S19" s="624">
        <f t="shared" ref="S19:T19" si="2">S17*S18</f>
        <v>0</v>
      </c>
      <c r="T19" s="206">
        <f t="shared" si="2"/>
        <v>0</v>
      </c>
      <c r="U19" s="632">
        <f>U17*U18*-1</f>
        <v>20.354099999999999</v>
      </c>
      <c r="V19" s="632">
        <f t="shared" ref="V19:AF19" si="3">V17*V18*-1</f>
        <v>20.595119999999998</v>
      </c>
      <c r="W19" s="632">
        <f t="shared" si="3"/>
        <v>20.815079999999998</v>
      </c>
      <c r="X19" s="632">
        <f t="shared" si="3"/>
        <v>21.006180000000001</v>
      </c>
      <c r="Y19" s="632">
        <f t="shared" si="3"/>
        <v>25.815300000000001</v>
      </c>
      <c r="Z19" s="632">
        <f t="shared" si="3"/>
        <v>26.04045</v>
      </c>
      <c r="AA19" s="632">
        <f t="shared" si="3"/>
        <v>26.26465</v>
      </c>
      <c r="AB19" s="632">
        <f t="shared" si="3"/>
        <v>26.498349999999999</v>
      </c>
      <c r="AC19" s="632">
        <f t="shared" si="3"/>
        <v>26.454419999999999</v>
      </c>
      <c r="AD19" s="632">
        <f t="shared" si="3"/>
        <v>26.695999999999998</v>
      </c>
      <c r="AE19" s="632">
        <f t="shared" si="3"/>
        <v>26.930059999999997</v>
      </c>
      <c r="AF19" s="632">
        <f t="shared" si="3"/>
        <v>27.1754</v>
      </c>
    </row>
  </sheetData>
  <mergeCells count="22">
    <mergeCell ref="Y7:AB7"/>
    <mergeCell ref="AC7:AF7"/>
    <mergeCell ref="B1:AC1"/>
    <mergeCell ref="B2:AC4"/>
    <mergeCell ref="B6:C8"/>
    <mergeCell ref="D6:R6"/>
    <mergeCell ref="E7:H7"/>
    <mergeCell ref="I7:L7"/>
    <mergeCell ref="M7:P7"/>
    <mergeCell ref="Q7:R7"/>
    <mergeCell ref="U7:X7"/>
    <mergeCell ref="T6:AF6"/>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FF00"/>
  </sheetPr>
  <dimension ref="B1:CW91"/>
  <sheetViews>
    <sheetView topLeftCell="A19" zoomScale="70" zoomScaleNormal="70" workbookViewId="0">
      <selection activeCell="Q37" sqref="Q37"/>
    </sheetView>
  </sheetViews>
  <sheetFormatPr defaultColWidth="11.5546875" defaultRowHeight="14.4" x14ac:dyDescent="0.3"/>
  <cols>
    <col min="2" max="2" width="49.33203125" customWidth="1"/>
    <col min="6" max="6" width="12.21875" customWidth="1"/>
    <col min="7" max="7" width="10.44140625" customWidth="1"/>
    <col min="9" max="9" width="12" customWidth="1"/>
  </cols>
  <sheetData>
    <row r="1" spans="2:29" ht="18" customHeight="1" x14ac:dyDescent="0.3">
      <c r="B1" s="1195" t="s">
        <v>526</v>
      </c>
      <c r="C1" s="1195"/>
      <c r="D1" s="1195"/>
      <c r="E1" s="1195"/>
      <c r="F1" s="1195"/>
      <c r="G1" s="1195"/>
      <c r="H1" s="1195"/>
      <c r="I1" s="1195"/>
      <c r="J1" s="1195"/>
      <c r="K1" s="1195"/>
      <c r="L1" s="1195"/>
      <c r="M1" s="1195"/>
      <c r="N1" s="1195"/>
      <c r="O1" s="1195"/>
      <c r="P1" s="1195"/>
      <c r="Q1" s="1195"/>
      <c r="R1" s="1195"/>
      <c r="S1" s="1195"/>
      <c r="T1" s="1195"/>
      <c r="U1" s="1195"/>
      <c r="V1" s="1195"/>
      <c r="W1" s="1195"/>
      <c r="X1" s="1195"/>
      <c r="Y1" s="1195"/>
      <c r="Z1" s="1195"/>
      <c r="AA1" s="1195"/>
      <c r="AB1" s="1195"/>
      <c r="AC1" s="1195"/>
    </row>
    <row r="2" spans="2:29" ht="34.5" customHeight="1" x14ac:dyDescent="0.3">
      <c r="B2" s="1122" t="s">
        <v>934</v>
      </c>
      <c r="C2" s="1093"/>
      <c r="D2" s="1093"/>
      <c r="E2" s="1093"/>
      <c r="F2" s="1093"/>
      <c r="G2" s="1093"/>
      <c r="H2" s="1093"/>
      <c r="I2" s="1093"/>
      <c r="J2" s="1093"/>
      <c r="K2" s="1093"/>
      <c r="L2" s="1093"/>
      <c r="M2" s="1093"/>
      <c r="N2" s="1093"/>
      <c r="O2" s="1093"/>
      <c r="P2" s="1093"/>
      <c r="Q2" s="1093"/>
      <c r="R2" s="1093"/>
      <c r="S2" s="1093"/>
      <c r="T2" s="1093"/>
      <c r="U2" s="1093"/>
      <c r="V2" s="1093"/>
      <c r="W2" s="1093"/>
      <c r="X2" s="1093"/>
      <c r="Y2" s="1093"/>
      <c r="Z2" s="1093"/>
      <c r="AA2" s="1093"/>
      <c r="AB2" s="1093"/>
      <c r="AC2" s="1093"/>
    </row>
    <row r="3" spans="2:29" ht="3" customHeight="1" x14ac:dyDescent="0.3">
      <c r="B3" s="1093"/>
      <c r="C3" s="1093"/>
      <c r="D3" s="1093"/>
      <c r="E3" s="1093"/>
      <c r="F3" s="1093"/>
      <c r="G3" s="1093"/>
      <c r="H3" s="1093"/>
      <c r="I3" s="1093"/>
      <c r="J3" s="1093"/>
      <c r="K3" s="1093"/>
      <c r="L3" s="1093"/>
      <c r="M3" s="1093"/>
      <c r="N3" s="1093"/>
      <c r="O3" s="1093"/>
      <c r="P3" s="1093"/>
      <c r="Q3" s="1093"/>
      <c r="R3" s="1093"/>
      <c r="S3" s="1093"/>
      <c r="T3" s="1093"/>
      <c r="U3" s="1093"/>
      <c r="V3" s="1093"/>
      <c r="W3" s="1093"/>
      <c r="X3" s="1093"/>
      <c r="Y3" s="1093"/>
      <c r="Z3" s="1093"/>
      <c r="AA3" s="1093"/>
      <c r="AB3" s="1093"/>
      <c r="AC3" s="1093"/>
    </row>
    <row r="4" spans="2:29" ht="10.199999999999999" customHeight="1" x14ac:dyDescent="0.3">
      <c r="B4" s="1093"/>
      <c r="C4" s="1093"/>
      <c r="D4" s="1093"/>
      <c r="E4" s="1093"/>
      <c r="F4" s="1093"/>
      <c r="G4" s="1093"/>
      <c r="H4" s="1093"/>
      <c r="I4" s="1093"/>
      <c r="J4" s="1093"/>
      <c r="K4" s="1093"/>
      <c r="L4" s="1093"/>
      <c r="M4" s="1093"/>
      <c r="N4" s="1093"/>
      <c r="O4" s="1093"/>
      <c r="P4" s="1093"/>
      <c r="Q4" s="1093"/>
      <c r="R4" s="1093"/>
      <c r="S4" s="1093"/>
      <c r="T4" s="1093"/>
      <c r="U4" s="1093"/>
      <c r="V4" s="1093"/>
      <c r="W4" s="1093"/>
      <c r="X4" s="1093"/>
      <c r="Y4" s="1093"/>
      <c r="Z4" s="1093"/>
      <c r="AA4" s="1093"/>
      <c r="AB4" s="1093"/>
      <c r="AC4" s="1093"/>
    </row>
    <row r="5" spans="2:29" ht="14.25" customHeight="1" x14ac:dyDescent="0.3">
      <c r="B5" s="1093"/>
      <c r="C5" s="1093"/>
      <c r="D5" s="1093"/>
      <c r="E5" s="1093"/>
      <c r="F5" s="1093"/>
      <c r="G5" s="1093"/>
      <c r="H5" s="1093"/>
      <c r="I5" s="1093"/>
      <c r="J5" s="1093"/>
      <c r="K5" s="1093"/>
      <c r="L5" s="1093"/>
      <c r="M5" s="1093"/>
      <c r="N5" s="1093"/>
      <c r="O5" s="1093"/>
      <c r="P5" s="1093"/>
      <c r="Q5" s="1093"/>
      <c r="R5" s="1093"/>
      <c r="S5" s="1093"/>
      <c r="T5" s="1093"/>
      <c r="U5" s="1093"/>
      <c r="V5" s="1093"/>
      <c r="W5" s="1093"/>
      <c r="X5" s="1093"/>
      <c r="Y5" s="1093"/>
      <c r="Z5" s="1093"/>
      <c r="AA5" s="1093"/>
      <c r="AB5" s="1093"/>
      <c r="AC5" s="1093"/>
    </row>
    <row r="6" spans="2:29" ht="14.25" customHeight="1" x14ac:dyDescent="0.3">
      <c r="B6" s="1093"/>
      <c r="C6" s="1093"/>
      <c r="D6" s="1093"/>
      <c r="E6" s="1093"/>
      <c r="F6" s="1093"/>
      <c r="G6" s="1093"/>
      <c r="H6" s="1093"/>
      <c r="I6" s="1093"/>
      <c r="J6" s="1093"/>
      <c r="K6" s="1093"/>
      <c r="L6" s="1093"/>
      <c r="M6" s="1093"/>
      <c r="N6" s="1093"/>
      <c r="O6" s="1093"/>
      <c r="P6" s="1093"/>
      <c r="Q6" s="1093"/>
      <c r="R6" s="1093"/>
      <c r="S6" s="1093"/>
      <c r="T6" s="1093"/>
      <c r="U6" s="1093"/>
      <c r="V6" s="1093"/>
      <c r="W6" s="1093"/>
      <c r="X6" s="1093"/>
      <c r="Y6" s="1093"/>
      <c r="Z6" s="1093"/>
      <c r="AA6" s="1093"/>
      <c r="AB6" s="1093"/>
      <c r="AC6" s="1093"/>
    </row>
    <row r="7" spans="2:29" x14ac:dyDescent="0.3">
      <c r="B7" s="673" t="s">
        <v>381</v>
      </c>
      <c r="C7" s="268"/>
      <c r="D7" s="268"/>
      <c r="E7" s="268"/>
      <c r="F7" s="268"/>
      <c r="G7" s="268"/>
      <c r="H7" s="269"/>
      <c r="I7" s="269"/>
      <c r="J7" s="269"/>
      <c r="K7" s="269"/>
      <c r="L7" s="269"/>
      <c r="M7" s="269"/>
      <c r="N7" s="269"/>
      <c r="O7" s="269"/>
      <c r="P7" s="269"/>
      <c r="Q7" s="269"/>
      <c r="R7" s="269"/>
      <c r="S7" s="269"/>
      <c r="T7" s="269"/>
      <c r="U7" s="269"/>
    </row>
    <row r="8" spans="2:29" ht="14.7" customHeight="1" x14ac:dyDescent="0.3">
      <c r="B8" s="1123" t="s">
        <v>352</v>
      </c>
      <c r="C8" s="1107"/>
      <c r="D8" s="1104" t="s">
        <v>325</v>
      </c>
      <c r="E8" s="1105"/>
      <c r="F8" s="1105"/>
      <c r="G8" s="1105"/>
      <c r="H8" s="1105"/>
      <c r="I8" s="1105"/>
      <c r="J8" s="1105"/>
      <c r="K8" s="1105"/>
      <c r="L8" s="1105"/>
      <c r="M8" s="1105"/>
      <c r="N8" s="1105"/>
      <c r="O8" s="1105"/>
      <c r="P8" s="1105"/>
      <c r="Q8" s="1105"/>
      <c r="R8" s="1105"/>
      <c r="S8" s="1105"/>
      <c r="T8" s="1132" t="s">
        <v>326</v>
      </c>
      <c r="U8" s="1132"/>
      <c r="V8" s="1132"/>
      <c r="W8" s="1132"/>
      <c r="X8" s="1132"/>
      <c r="Y8" s="1132"/>
      <c r="Z8" s="1132"/>
      <c r="AA8" s="1132"/>
      <c r="AB8" s="1132"/>
      <c r="AC8" s="1133"/>
    </row>
    <row r="9" spans="2:29" ht="14.7" customHeight="1" x14ac:dyDescent="0.3">
      <c r="B9" s="1124"/>
      <c r="C9" s="1161"/>
      <c r="D9" s="142">
        <v>2018</v>
      </c>
      <c r="E9" s="1095">
        <v>2019</v>
      </c>
      <c r="F9" s="1096"/>
      <c r="G9" s="1096"/>
      <c r="H9" s="1103"/>
      <c r="I9" s="1095">
        <v>2020</v>
      </c>
      <c r="J9" s="1096"/>
      <c r="K9" s="1096"/>
      <c r="L9" s="1096"/>
      <c r="M9" s="1095">
        <v>2021</v>
      </c>
      <c r="N9" s="1096"/>
      <c r="O9" s="1096"/>
      <c r="P9" s="1096"/>
      <c r="Q9" s="1129">
        <v>2022</v>
      </c>
      <c r="R9" s="1130"/>
      <c r="S9" s="253"/>
      <c r="T9" s="288"/>
      <c r="U9" s="1126">
        <v>2023</v>
      </c>
      <c r="V9" s="1127"/>
      <c r="W9" s="1127"/>
      <c r="X9" s="1127"/>
      <c r="Y9" s="1126">
        <v>2024</v>
      </c>
      <c r="Z9" s="1127"/>
      <c r="AA9" s="1127"/>
      <c r="AB9" s="1128"/>
      <c r="AC9" s="259">
        <v>2025</v>
      </c>
    </row>
    <row r="10" spans="2:29" x14ac:dyDescent="0.3">
      <c r="B10" s="1124"/>
      <c r="C10" s="1161"/>
      <c r="D10" s="153" t="s">
        <v>327</v>
      </c>
      <c r="E10" s="153" t="s">
        <v>328</v>
      </c>
      <c r="F10" s="152" t="s">
        <v>329</v>
      </c>
      <c r="G10" s="152" t="s">
        <v>238</v>
      </c>
      <c r="H10" s="204" t="s">
        <v>327</v>
      </c>
      <c r="I10" s="152" t="s">
        <v>328</v>
      </c>
      <c r="J10" s="152" t="s">
        <v>329</v>
      </c>
      <c r="K10" s="152" t="s">
        <v>238</v>
      </c>
      <c r="L10" s="152" t="s">
        <v>327</v>
      </c>
      <c r="M10" s="153" t="s">
        <v>328</v>
      </c>
      <c r="N10" s="152" t="s">
        <v>329</v>
      </c>
      <c r="O10" s="152" t="s">
        <v>238</v>
      </c>
      <c r="P10" s="152" t="s">
        <v>327</v>
      </c>
      <c r="Q10" s="153" t="s">
        <v>328</v>
      </c>
      <c r="R10" s="152" t="s">
        <v>329</v>
      </c>
      <c r="S10" s="204" t="s">
        <v>238</v>
      </c>
      <c r="T10" s="369" t="s">
        <v>327</v>
      </c>
      <c r="U10" s="356" t="s">
        <v>328</v>
      </c>
      <c r="V10" s="357" t="s">
        <v>329</v>
      </c>
      <c r="W10" s="357" t="s">
        <v>238</v>
      </c>
      <c r="X10" s="357" t="s">
        <v>327</v>
      </c>
      <c r="Y10" s="356" t="s">
        <v>328</v>
      </c>
      <c r="Z10" s="250" t="s">
        <v>329</v>
      </c>
      <c r="AA10" s="357" t="s">
        <v>238</v>
      </c>
      <c r="AB10" s="369" t="s">
        <v>327</v>
      </c>
      <c r="AC10" s="384" t="s">
        <v>328</v>
      </c>
    </row>
    <row r="11" spans="2:29" x14ac:dyDescent="0.3">
      <c r="B11" s="1192" t="s">
        <v>527</v>
      </c>
      <c r="C11" s="1193"/>
      <c r="D11" s="633"/>
      <c r="E11" s="634"/>
      <c r="F11" s="634"/>
      <c r="G11" s="634"/>
      <c r="H11" s="283"/>
      <c r="I11" s="283"/>
      <c r="J11" s="283"/>
      <c r="K11" s="283"/>
      <c r="L11" s="283"/>
      <c r="M11" s="550"/>
      <c r="N11" s="550"/>
      <c r="O11" s="550"/>
      <c r="P11" s="283"/>
      <c r="Q11" s="283"/>
      <c r="R11" s="283"/>
      <c r="S11" s="643"/>
      <c r="T11" s="242"/>
      <c r="U11" s="243"/>
      <c r="V11" s="243"/>
      <c r="W11" s="243"/>
      <c r="X11" s="243"/>
      <c r="Y11" s="243"/>
      <c r="Z11" s="243"/>
      <c r="AA11" s="243"/>
      <c r="AB11" s="243"/>
      <c r="AC11" s="244"/>
    </row>
    <row r="12" spans="2:29" ht="16.95" customHeight="1" x14ac:dyDescent="0.3">
      <c r="B12" s="449" t="s">
        <v>528</v>
      </c>
      <c r="C12" s="155" t="s">
        <v>529</v>
      </c>
      <c r="D12" s="568">
        <f>'Haver Pivoted'!GO31</f>
        <v>2224.3000000000002</v>
      </c>
      <c r="E12" s="479">
        <f>'Haver Pivoted'!GP31</f>
        <v>2303.4</v>
      </c>
      <c r="F12" s="479">
        <f>'Haver Pivoted'!GQ31</f>
        <v>2319.4</v>
      </c>
      <c r="G12" s="479">
        <f>'Haver Pivoted'!GR31</f>
        <v>2333.8000000000002</v>
      </c>
      <c r="H12" s="479">
        <f>'Haver Pivoted'!GS31</f>
        <v>2346.4</v>
      </c>
      <c r="I12" s="479">
        <f>'Haver Pivoted'!GT31</f>
        <v>2407.5</v>
      </c>
      <c r="J12" s="479">
        <f>'Haver Pivoted'!GU31</f>
        <v>4698.7</v>
      </c>
      <c r="K12" s="479">
        <f>'Haver Pivoted'!GV31</f>
        <v>3492.4</v>
      </c>
      <c r="L12" s="479">
        <f>'Haver Pivoted'!GW31</f>
        <v>2881.6</v>
      </c>
      <c r="M12" s="479">
        <f>'Haver Pivoted'!GX31</f>
        <v>5094.8</v>
      </c>
      <c r="N12" s="479">
        <f>'Haver Pivoted'!GY31</f>
        <v>3395.6</v>
      </c>
      <c r="O12" s="479">
        <f>'Haver Pivoted'!GZ31</f>
        <v>3146.3</v>
      </c>
      <c r="P12" s="479">
        <f>'Haver Pivoted'!HA31</f>
        <v>2937.4</v>
      </c>
      <c r="Q12" s="479">
        <f>'Haver Pivoted'!HB31</f>
        <v>2863</v>
      </c>
      <c r="R12" s="479">
        <f>'Haver Pivoted'!HC31</f>
        <v>2846.5</v>
      </c>
      <c r="S12" s="423">
        <f>'Haver Pivoted'!HD31</f>
        <v>2841.4</v>
      </c>
      <c r="T12" s="652">
        <f t="shared" ref="T12:AC12" si="0">SUM(T14:T25)-T24</f>
        <v>2810.8252994609857</v>
      </c>
      <c r="U12" s="433">
        <f>SUM(U14:U25)-U24</f>
        <v>2883.8305922902809</v>
      </c>
      <c r="V12" s="433">
        <f t="shared" si="0"/>
        <v>2913.9856572669041</v>
      </c>
      <c r="W12" s="433">
        <f t="shared" si="0"/>
        <v>2945.0689390492726</v>
      </c>
      <c r="X12" s="433">
        <f t="shared" si="0"/>
        <v>2968.8831360216986</v>
      </c>
      <c r="Y12" s="433">
        <f t="shared" si="0"/>
        <v>3039.1308316959125</v>
      </c>
      <c r="Z12" s="433">
        <f t="shared" si="0"/>
        <v>3073.517764579286</v>
      </c>
      <c r="AA12" s="433">
        <f t="shared" si="0"/>
        <v>3107.0034386879615</v>
      </c>
      <c r="AB12" s="433">
        <f t="shared" si="0"/>
        <v>3139.4833777875365</v>
      </c>
      <c r="AC12" s="687">
        <f t="shared" si="0"/>
        <v>3200.1882245058068</v>
      </c>
    </row>
    <row r="13" spans="2:29" x14ac:dyDescent="0.3">
      <c r="B13" s="449"/>
      <c r="C13" s="155"/>
      <c r="D13" s="568"/>
      <c r="E13" s="479"/>
      <c r="F13" s="479"/>
      <c r="G13" s="479"/>
      <c r="H13" s="479"/>
      <c r="I13" s="479"/>
      <c r="J13" s="479"/>
      <c r="K13" s="479"/>
      <c r="L13" s="479"/>
      <c r="M13" s="479"/>
      <c r="N13" s="479"/>
      <c r="O13" s="479"/>
      <c r="P13" s="155"/>
      <c r="Q13" s="139"/>
      <c r="R13" s="139"/>
      <c r="S13" s="154"/>
      <c r="T13" s="356"/>
      <c r="U13" s="357"/>
      <c r="V13" s="357"/>
      <c r="W13" s="357"/>
      <c r="X13" s="357"/>
      <c r="Y13" s="357"/>
      <c r="Z13" s="357"/>
      <c r="AA13" s="357"/>
      <c r="AB13" s="357"/>
      <c r="AC13" s="369"/>
    </row>
    <row r="14" spans="2:29" ht="35.700000000000003" customHeight="1" x14ac:dyDescent="0.3">
      <c r="B14" s="271" t="s">
        <v>530</v>
      </c>
      <c r="C14" s="155"/>
      <c r="D14" s="568">
        <f>'Unemployment Insurance'!D20+'Unemployment Insurance'!D19</f>
        <v>27.8</v>
      </c>
      <c r="E14" s="479">
        <f>'Unemployment Insurance'!E20+'Unemployment Insurance'!E19</f>
        <v>29.4</v>
      </c>
      <c r="F14" s="479">
        <f>'Unemployment Insurance'!F20+'Unemployment Insurance'!F19</f>
        <v>26.9</v>
      </c>
      <c r="G14" s="479">
        <f>'Unemployment Insurance'!G20+'Unemployment Insurance'!G19</f>
        <v>26.4</v>
      </c>
      <c r="H14" s="479">
        <f>'Unemployment Insurance'!H20+'Unemployment Insurance'!H19</f>
        <v>27.7</v>
      </c>
      <c r="I14" s="479">
        <f>'Unemployment Insurance'!I20+'Unemployment Insurance'!I19</f>
        <v>40.700000000000003</v>
      </c>
      <c r="J14" s="479">
        <f>'Unemployment Insurance'!J20+'Unemployment Insurance'!J19</f>
        <v>1007.5</v>
      </c>
      <c r="K14" s="479">
        <f>'Unemployment Insurance'!K20+'Unemployment Insurance'!K19</f>
        <v>792.89999999999986</v>
      </c>
      <c r="L14" s="479">
        <f>'Unemployment Insurance'!L20+'Unemployment Insurance'!L19</f>
        <v>308.5</v>
      </c>
      <c r="M14" s="479">
        <f>'Unemployment Insurance'!M20+'Unemployment Insurance'!M19</f>
        <v>556.20000000000005</v>
      </c>
      <c r="N14" s="479">
        <f>'Unemployment Insurance'!N20+'Unemployment Insurance'!N19</f>
        <v>448.6</v>
      </c>
      <c r="O14" s="479">
        <f>'Unemployment Insurance'!O20+'Unemployment Insurance'!O19</f>
        <v>245.1</v>
      </c>
      <c r="P14" s="479">
        <f>'Unemployment Insurance'!P20+'Unemployment Insurance'!P19</f>
        <v>33.799999999999997</v>
      </c>
      <c r="Q14" s="479">
        <f>'Unemployment Insurance'!Q20+'Unemployment Insurance'!Q19</f>
        <v>23.6</v>
      </c>
      <c r="R14" s="479">
        <f>'Unemployment Insurance'!R20+'Unemployment Insurance'!R19</f>
        <v>18.600000000000001</v>
      </c>
      <c r="S14" s="427">
        <f>'Unemployment Insurance'!S20+'Unemployment Insurance'!S19</f>
        <v>18.5</v>
      </c>
      <c r="T14" s="652">
        <f>'Unemployment Insurance'!T20+'Unemployment Insurance'!T19</f>
        <v>18.420560747663554</v>
      </c>
      <c r="U14" s="433">
        <f>'Unemployment Insurance'!U20+'Unemployment Insurance'!U19</f>
        <v>18.067289719626174</v>
      </c>
      <c r="V14" s="433">
        <f>'Unemployment Insurance'!V20+'Unemployment Insurance'!V19</f>
        <v>17.764485981308418</v>
      </c>
      <c r="W14" s="433">
        <f>'Unemployment Insurance'!W20+'Unemployment Insurance'!W19</f>
        <v>17.820000000000007</v>
      </c>
      <c r="X14" s="433">
        <f>'Unemployment Insurance'!X20+'Unemployment Insurance'!X19</f>
        <v>17.920934579439262</v>
      </c>
      <c r="Y14" s="433">
        <f>'Unemployment Insurance'!Y20+'Unemployment Insurance'!Y19</f>
        <v>18.279252336448607</v>
      </c>
      <c r="Z14" s="433">
        <f>'Unemployment Insurance'!Z20+'Unemployment Insurance'!Z19</f>
        <v>20.045607476635524</v>
      </c>
      <c r="AA14" s="433">
        <f>'Unemployment Insurance'!AA20+'Unemployment Insurance'!AA19</f>
        <v>20.292897196261695</v>
      </c>
      <c r="AB14" s="433">
        <f>'Unemployment Insurance'!AB20+'Unemployment Insurance'!AB19</f>
        <v>20.600747663551413</v>
      </c>
      <c r="AC14" s="687">
        <f>'Unemployment Insurance'!AC20+'Unemployment Insurance'!AC19</f>
        <v>20.898504672897207</v>
      </c>
    </row>
    <row r="15" spans="2:29" ht="17.7" customHeight="1" x14ac:dyDescent="0.3">
      <c r="B15" s="271" t="s">
        <v>55</v>
      </c>
      <c r="C15" s="155"/>
      <c r="D15" s="568">
        <f>Medicare!D10</f>
        <v>755.3</v>
      </c>
      <c r="E15" s="479">
        <f>Medicare!E10</f>
        <v>772.6</v>
      </c>
      <c r="F15" s="479">
        <f>Medicare!F10</f>
        <v>785.8</v>
      </c>
      <c r="G15" s="479">
        <f>Medicare!G10</f>
        <v>793.7</v>
      </c>
      <c r="H15" s="479">
        <f>Medicare!H10</f>
        <v>796.3</v>
      </c>
      <c r="I15" s="479">
        <f>Medicare!I10</f>
        <v>795.3</v>
      </c>
      <c r="J15" s="479">
        <f>Medicare!J10</f>
        <v>808</v>
      </c>
      <c r="K15" s="479">
        <f>Medicare!K10</f>
        <v>822.1</v>
      </c>
      <c r="L15" s="479">
        <f>Medicare!L10</f>
        <v>837.5</v>
      </c>
      <c r="M15" s="479">
        <f>Medicare!M10</f>
        <v>857.6</v>
      </c>
      <c r="N15" s="479">
        <f>Medicare!N10</f>
        <v>875.4</v>
      </c>
      <c r="O15" s="479">
        <f>Medicare!O10</f>
        <v>889.5</v>
      </c>
      <c r="P15" s="479">
        <f>Medicare!P10</f>
        <v>900</v>
      </c>
      <c r="Q15" s="479">
        <f>Medicare!Q10</f>
        <v>908</v>
      </c>
      <c r="R15" s="479">
        <f>Medicare!R10</f>
        <v>911.8</v>
      </c>
      <c r="S15" s="427">
        <f>Medicare!S10</f>
        <v>920.3</v>
      </c>
      <c r="T15" s="652">
        <f>Medicare!T10</f>
        <v>942.65830121332203</v>
      </c>
      <c r="U15" s="433">
        <f>Medicare!U10</f>
        <v>965.55978794565488</v>
      </c>
      <c r="V15" s="433">
        <f>Medicare!V10</f>
        <v>989.017656660596</v>
      </c>
      <c r="W15" s="433">
        <f>Medicare!W10</f>
        <v>1013.0454244242726</v>
      </c>
      <c r="X15" s="433">
        <f>Medicare!X10</f>
        <v>1037.4736868172592</v>
      </c>
      <c r="Y15" s="433">
        <f>Medicare!Y10</f>
        <v>1062.4910047344636</v>
      </c>
      <c r="Z15" s="433">
        <f>Medicare!Z10</f>
        <v>1088.11158247765</v>
      </c>
      <c r="AA15" s="433">
        <f>Medicare!AA10</f>
        <v>1114.3499668666996</v>
      </c>
      <c r="AB15" s="433">
        <f>Medicare!AB10</f>
        <v>1141.2210554989849</v>
      </c>
      <c r="AC15" s="687">
        <f>Medicare!AC10</f>
        <v>1168.7401052079097</v>
      </c>
    </row>
    <row r="16" spans="2:29" ht="18" customHeight="1" x14ac:dyDescent="0.3">
      <c r="B16" s="449" t="s">
        <v>531</v>
      </c>
      <c r="C16" s="155"/>
      <c r="D16" s="284"/>
      <c r="E16" s="139"/>
      <c r="F16" s="139"/>
      <c r="G16" s="139"/>
      <c r="H16" s="479">
        <f>'Rebate Checks'!H10 +'Rebate Checks'!H11</f>
        <v>0</v>
      </c>
      <c r="I16" s="479">
        <f>'Rebate Checks'!I10 +'Rebate Checks'!I11</f>
        <v>0</v>
      </c>
      <c r="J16" s="479">
        <f>'Rebate Checks'!J10 +'Rebate Checks'!J11</f>
        <v>1078.0999999999999</v>
      </c>
      <c r="K16" s="479">
        <f>'Rebate Checks'!K10 +'Rebate Checks'!K11</f>
        <v>15.6</v>
      </c>
      <c r="L16" s="479">
        <f>'Rebate Checks'!L10 +'Rebate Checks'!L11</f>
        <v>5</v>
      </c>
      <c r="M16" s="479">
        <f>'Rebate Checks'!M10 +'Rebate Checks'!M11</f>
        <v>1933.6999999999998</v>
      </c>
      <c r="N16" s="479">
        <f>'Rebate Checks'!N10 +'Rebate Checks'!N11</f>
        <v>290.10000000000002</v>
      </c>
      <c r="O16" s="479">
        <f>'Rebate Checks'!O10 +'Rebate Checks'!O11</f>
        <v>38.9</v>
      </c>
      <c r="P16" s="479">
        <f>'Rebate Checks'!P10 +'Rebate Checks'!P11</f>
        <v>14.2</v>
      </c>
      <c r="Q16" s="479">
        <f>'Rebate Checks'!Q10 +'Rebate Checks'!Q11</f>
        <v>0</v>
      </c>
      <c r="R16" s="479">
        <f>'Rebate Checks'!Q10 +'Rebate Checks'!R11</f>
        <v>0</v>
      </c>
      <c r="S16" s="427">
        <f>'Rebate Checks'!S10 +'Rebate Checks'!S11</f>
        <v>0</v>
      </c>
      <c r="T16" s="652">
        <f>'Rebate Checks'!T10 +'Rebate Checks'!T11</f>
        <v>0</v>
      </c>
      <c r="U16" s="433">
        <f>'Rebate Checks'!U10 +'Rebate Checks'!U11</f>
        <v>0</v>
      </c>
      <c r="V16" s="433">
        <f>'Rebate Checks'!V10 +'Rebate Checks'!V11</f>
        <v>0</v>
      </c>
      <c r="W16" s="433">
        <f>'Rebate Checks'!W10 +'Rebate Checks'!W11</f>
        <v>0</v>
      </c>
      <c r="X16" s="433">
        <f>'Rebate Checks'!X10 +'Rebate Checks'!X11</f>
        <v>0</v>
      </c>
      <c r="Y16" s="433">
        <f>'Rebate Checks'!Y10 +'Rebate Checks'!Y11</f>
        <v>0</v>
      </c>
      <c r="Z16" s="433">
        <f>'Rebate Checks'!Z10 +'Rebate Checks'!Z11</f>
        <v>0</v>
      </c>
      <c r="AA16" s="433">
        <f>'Rebate Checks'!AA10 +'Rebate Checks'!AA11</f>
        <v>0</v>
      </c>
      <c r="AB16" s="433">
        <f>'Rebate Checks'!AB10 +'Rebate Checks'!AB11</f>
        <v>0</v>
      </c>
      <c r="AC16" s="687">
        <f>'Rebate Checks'!AC10 +'Rebate Checks'!AC11</f>
        <v>0</v>
      </c>
    </row>
    <row r="17" spans="2:101" ht="19.95" customHeight="1" x14ac:dyDescent="0.3">
      <c r="B17" s="272" t="s">
        <v>534</v>
      </c>
      <c r="C17" s="258"/>
      <c r="D17" s="644"/>
      <c r="E17" s="610"/>
      <c r="F17" s="610"/>
      <c r="G17" s="610"/>
      <c r="H17" s="535"/>
      <c r="I17" s="535"/>
      <c r="J17" s="535"/>
      <c r="K17" s="535"/>
      <c r="L17" s="535"/>
      <c r="M17" s="535">
        <f>'ARP Quarterly'!C5</f>
        <v>0</v>
      </c>
      <c r="N17" s="535">
        <f>'ARP Quarterly'!D5</f>
        <v>33.921840000000024</v>
      </c>
      <c r="O17" s="535">
        <f>'ARP Quarterly'!E5</f>
        <v>44.966160000000031</v>
      </c>
      <c r="P17" s="535">
        <f>'ARP Quarterly'!F5</f>
        <v>52.756999999999998</v>
      </c>
      <c r="Q17" s="535">
        <f>'ARP Quarterly'!G5</f>
        <v>52.756999999999998</v>
      </c>
      <c r="R17" s="535">
        <f>'ARP Quarterly'!H5</f>
        <v>52.756999999999998</v>
      </c>
      <c r="S17" s="577">
        <f>'ARP Quarterly'!I5</f>
        <v>52.756999999999998</v>
      </c>
      <c r="T17" s="653">
        <f>'ARP Quarterly'!J5</f>
        <v>12</v>
      </c>
      <c r="U17" s="552">
        <f>'ARP Quarterly'!K5</f>
        <v>12</v>
      </c>
      <c r="V17" s="552">
        <f>'ARP Quarterly'!L5</f>
        <v>12</v>
      </c>
      <c r="W17" s="552">
        <f>'ARP Quarterly'!M5</f>
        <v>12</v>
      </c>
      <c r="X17" s="552">
        <f>'ARP Quarterly'!N5</f>
        <v>4.2219999999999995</v>
      </c>
      <c r="Y17" s="552">
        <f>'ARP Quarterly'!O5</f>
        <v>4.2219999999999995</v>
      </c>
      <c r="Z17" s="552">
        <f>'ARP Quarterly'!P5</f>
        <v>4.2219999999999995</v>
      </c>
      <c r="AA17" s="552">
        <f>'ARP Quarterly'!Q5</f>
        <v>4.2219999999999995</v>
      </c>
      <c r="AB17" s="552">
        <f>'ARP Quarterly'!R5</f>
        <v>2.3719999999999999</v>
      </c>
      <c r="AC17" s="667">
        <f>'ARP Quarterly'!S5</f>
        <v>2.3719999999999999</v>
      </c>
    </row>
    <row r="18" spans="2:101" ht="22.2" customHeight="1" x14ac:dyDescent="0.3">
      <c r="B18" s="271" t="s">
        <v>218</v>
      </c>
      <c r="C18" s="674"/>
      <c r="D18" s="282"/>
      <c r="E18" s="150"/>
      <c r="F18" s="150"/>
      <c r="G18" s="150"/>
      <c r="H18" s="150"/>
      <c r="I18" s="150"/>
      <c r="J18" s="150"/>
      <c r="K18" s="150"/>
      <c r="L18" s="150"/>
      <c r="M18" s="479">
        <f>'ARP Quarterly'!C4</f>
        <v>0</v>
      </c>
      <c r="N18" s="479">
        <f>'ARP Quarterly'!D4</f>
        <v>0</v>
      </c>
      <c r="O18" s="479">
        <f>'ARP Quarterly'!E4</f>
        <v>3.1040000000000418</v>
      </c>
      <c r="P18" s="479">
        <f>'ARP Quarterly'!F4</f>
        <v>19.719000000000005</v>
      </c>
      <c r="Q18" s="479">
        <f>'ARP Quarterly'!G4</f>
        <v>19.719000000000005</v>
      </c>
      <c r="R18" s="479">
        <f>'ARP Quarterly'!H4</f>
        <v>19.719000000000005</v>
      </c>
      <c r="S18" s="427">
        <f>'ARP Quarterly'!I4</f>
        <v>19.719000000000005</v>
      </c>
      <c r="T18" s="652">
        <f>'ARP Quarterly'!J4</f>
        <v>1.4159999999999999</v>
      </c>
      <c r="U18" s="433">
        <f>'ARP Quarterly'!K4</f>
        <v>1.4159999999999999</v>
      </c>
      <c r="V18" s="433">
        <f>'ARP Quarterly'!L4</f>
        <v>1.4159999999999999</v>
      </c>
      <c r="W18" s="433">
        <f>'ARP Quarterly'!M4</f>
        <v>1.4159999999999999</v>
      </c>
      <c r="X18" s="433">
        <f>'ARP Quarterly'!N4</f>
        <v>1.4790000000000001</v>
      </c>
      <c r="Y18" s="433">
        <f>'ARP Quarterly'!O4</f>
        <v>1.4790000000000001</v>
      </c>
      <c r="Z18" s="433">
        <f>'ARP Quarterly'!P4</f>
        <v>1.4790000000000001</v>
      </c>
      <c r="AA18" s="433">
        <f>'ARP Quarterly'!Q4</f>
        <v>1.4790000000000001</v>
      </c>
      <c r="AB18" s="433">
        <f>'ARP Quarterly'!R4</f>
        <v>1.63</v>
      </c>
      <c r="AC18" s="687">
        <f>'ARP Quarterly'!S4</f>
        <v>1.63</v>
      </c>
      <c r="AE18" s="674"/>
      <c r="AF18" s="674"/>
      <c r="AG18" s="674"/>
      <c r="AH18" s="674"/>
      <c r="AI18" s="674"/>
      <c r="AJ18" s="674"/>
      <c r="AK18" s="674"/>
      <c r="AL18" s="674"/>
      <c r="AM18" s="674"/>
      <c r="AN18" s="674"/>
      <c r="AO18" s="674"/>
      <c r="AP18" s="674"/>
      <c r="AQ18" s="674"/>
      <c r="AR18" s="674"/>
      <c r="AS18" s="674"/>
      <c r="AT18" s="674"/>
      <c r="AU18" s="674"/>
      <c r="AV18" s="674"/>
      <c r="AW18" s="674"/>
      <c r="AX18" s="674"/>
      <c r="AY18" s="674"/>
      <c r="AZ18" s="674"/>
      <c r="BA18" s="674"/>
      <c r="BB18" s="674"/>
      <c r="BC18" s="674"/>
      <c r="BD18" s="674"/>
      <c r="BE18" s="674"/>
      <c r="BF18" s="674"/>
      <c r="BG18" s="674"/>
      <c r="BH18" s="674"/>
      <c r="BI18" s="674"/>
      <c r="BJ18" s="674"/>
      <c r="BK18" s="674"/>
      <c r="BL18" s="674"/>
      <c r="BM18" s="674"/>
      <c r="BN18" s="674"/>
      <c r="BO18" s="674"/>
      <c r="BP18" s="674"/>
      <c r="BQ18" s="674"/>
      <c r="BR18" s="674"/>
      <c r="BS18" s="674"/>
      <c r="BT18" s="674"/>
      <c r="BU18" s="674"/>
      <c r="BV18" s="674"/>
      <c r="BW18" s="674"/>
      <c r="BX18" s="674"/>
      <c r="BY18" s="674"/>
      <c r="BZ18" s="674"/>
      <c r="CA18" s="674"/>
      <c r="CB18" s="674"/>
      <c r="CC18" s="674"/>
      <c r="CD18" s="674"/>
      <c r="CE18" s="674"/>
      <c r="CF18" s="674"/>
      <c r="CG18" s="674"/>
      <c r="CH18" s="674"/>
      <c r="CI18" s="674"/>
      <c r="CJ18" s="674"/>
      <c r="CK18" s="674"/>
      <c r="CL18" s="674"/>
      <c r="CM18" s="674"/>
      <c r="CN18" s="674"/>
      <c r="CO18" s="674"/>
      <c r="CP18" s="674"/>
      <c r="CQ18" s="674"/>
      <c r="CR18" s="674"/>
      <c r="CS18" s="674"/>
      <c r="CT18" s="674"/>
      <c r="CU18" s="674"/>
      <c r="CV18" s="674"/>
      <c r="CW18" s="674"/>
    </row>
    <row r="19" spans="2:101" ht="19.5" customHeight="1" x14ac:dyDescent="0.3">
      <c r="B19" s="271" t="s">
        <v>49</v>
      </c>
      <c r="C19" s="674"/>
      <c r="D19" s="282">
        <f>'Provider Relief'!D11</f>
        <v>0</v>
      </c>
      <c r="E19" s="150">
        <f>'Provider Relief'!E11</f>
        <v>0</v>
      </c>
      <c r="F19" s="150">
        <f>'Provider Relief'!F11</f>
        <v>0</v>
      </c>
      <c r="G19" s="150">
        <f>'Provider Relief'!G11</f>
        <v>0</v>
      </c>
      <c r="H19" s="150">
        <f>'Provider Relief'!H11</f>
        <v>0</v>
      </c>
      <c r="I19" s="150">
        <f>'Provider Relief'!I11</f>
        <v>0</v>
      </c>
      <c r="J19" s="150">
        <f>'Provider Relief'!J11</f>
        <v>160.9</v>
      </c>
      <c r="K19" s="150">
        <f>'Provider Relief'!K11</f>
        <v>58.4</v>
      </c>
      <c r="L19" s="150">
        <f>'Provider Relief'!L11</f>
        <v>34.5</v>
      </c>
      <c r="M19" s="150">
        <f>'Provider Relief'!M11</f>
        <v>21.4</v>
      </c>
      <c r="N19" s="150">
        <f>'Provider Relief'!N11</f>
        <v>13.3</v>
      </c>
      <c r="O19" s="150">
        <f>'Provider Relief'!O11</f>
        <v>18.7</v>
      </c>
      <c r="P19" s="150">
        <f>'Provider Relief'!P11</f>
        <v>32.200000000000003</v>
      </c>
      <c r="Q19" s="150">
        <f>'Provider Relief'!Q11</f>
        <v>26.9</v>
      </c>
      <c r="R19" s="150">
        <f>'Provider Relief'!R11</f>
        <v>20</v>
      </c>
      <c r="S19" s="300">
        <f>'Provider Relief'!S11</f>
        <v>8.1</v>
      </c>
      <c r="T19" s="654">
        <f>'Provider Relief'!T11</f>
        <v>0</v>
      </c>
      <c r="U19" s="655">
        <f>'Provider Relief'!U11</f>
        <v>0</v>
      </c>
      <c r="V19" s="655">
        <f>'Provider Relief'!V11</f>
        <v>0</v>
      </c>
      <c r="W19" s="655">
        <f>'Provider Relief'!W11</f>
        <v>0</v>
      </c>
      <c r="X19" s="655">
        <f>'Provider Relief'!X11</f>
        <v>0</v>
      </c>
      <c r="Y19" s="655">
        <f>'Provider Relief'!Y11</f>
        <v>0</v>
      </c>
      <c r="Z19" s="655">
        <f>'Provider Relief'!Z11</f>
        <v>0</v>
      </c>
      <c r="AA19" s="655">
        <f>'Provider Relief'!AA11</f>
        <v>0</v>
      </c>
      <c r="AB19" s="655">
        <f>'Provider Relief'!AB11</f>
        <v>0</v>
      </c>
      <c r="AC19" s="675">
        <f>'Provider Relief'!AC11</f>
        <v>0</v>
      </c>
      <c r="AE19" s="674"/>
      <c r="AF19" s="674"/>
      <c r="AG19" s="674"/>
      <c r="AH19" s="674"/>
      <c r="AI19" s="674"/>
      <c r="AJ19" s="674"/>
      <c r="AK19" s="674"/>
      <c r="AL19" s="674"/>
      <c r="AM19" s="674"/>
      <c r="AN19" s="674"/>
      <c r="AO19" s="674"/>
      <c r="AP19" s="674"/>
      <c r="AQ19" s="674"/>
      <c r="AR19" s="674"/>
      <c r="AS19" s="674"/>
      <c r="AT19" s="674"/>
      <c r="AU19" s="674"/>
      <c r="AV19" s="674"/>
      <c r="AW19" s="674"/>
      <c r="AX19" s="674"/>
      <c r="AY19" s="674"/>
      <c r="AZ19" s="674"/>
      <c r="BA19" s="674"/>
      <c r="BB19" s="674"/>
      <c r="BC19" s="674"/>
      <c r="BD19" s="674"/>
      <c r="BE19" s="674"/>
      <c r="BF19" s="674"/>
      <c r="BG19" s="674"/>
      <c r="BH19" s="674"/>
      <c r="BI19" s="674"/>
      <c r="BJ19" s="674"/>
      <c r="BK19" s="674"/>
      <c r="BL19" s="674"/>
      <c r="BM19" s="674"/>
      <c r="BN19" s="674"/>
      <c r="BO19" s="674"/>
      <c r="BP19" s="674"/>
      <c r="BQ19" s="674"/>
      <c r="BR19" s="674"/>
      <c r="BS19" s="674"/>
      <c r="BT19" s="674"/>
      <c r="BU19" s="674"/>
      <c r="BV19" s="674"/>
      <c r="BW19" s="674"/>
      <c r="BX19" s="674"/>
      <c r="BY19" s="674"/>
      <c r="BZ19" s="674"/>
      <c r="CA19" s="674"/>
      <c r="CB19" s="674"/>
      <c r="CC19" s="674"/>
      <c r="CD19" s="674"/>
      <c r="CE19" s="674"/>
      <c r="CF19" s="674"/>
      <c r="CG19" s="674"/>
      <c r="CH19" s="674"/>
      <c r="CI19" s="674"/>
      <c r="CJ19" s="674"/>
      <c r="CK19" s="674"/>
      <c r="CL19" s="674"/>
      <c r="CM19" s="674"/>
      <c r="CN19" s="674"/>
      <c r="CO19" s="674"/>
      <c r="CP19" s="674"/>
      <c r="CQ19" s="674"/>
      <c r="CR19" s="674"/>
      <c r="CS19" s="674"/>
      <c r="CT19" s="674"/>
      <c r="CU19" s="674"/>
      <c r="CV19" s="674"/>
      <c r="CW19" s="674"/>
    </row>
    <row r="20" spans="2:101" ht="36.450000000000003" customHeight="1" x14ac:dyDescent="0.3">
      <c r="B20" s="271" t="s">
        <v>1541</v>
      </c>
      <c r="C20" s="155"/>
      <c r="D20" s="284">
        <f>D63</f>
        <v>0</v>
      </c>
      <c r="E20" s="139">
        <f t="shared" ref="E20:AC20" si="1">E63</f>
        <v>0</v>
      </c>
      <c r="F20" s="139">
        <f t="shared" si="1"/>
        <v>0</v>
      </c>
      <c r="G20" s="139">
        <f t="shared" si="1"/>
        <v>0</v>
      </c>
      <c r="H20" s="139">
        <f t="shared" si="1"/>
        <v>0</v>
      </c>
      <c r="I20" s="479">
        <f t="shared" si="1"/>
        <v>5.0234999999999914</v>
      </c>
      <c r="J20" s="479">
        <f t="shared" si="1"/>
        <v>45.406499999999987</v>
      </c>
      <c r="K20" s="479">
        <f t="shared" si="1"/>
        <v>50.178499999999993</v>
      </c>
      <c r="L20" s="479">
        <f t="shared" si="1"/>
        <v>60.014499999999991</v>
      </c>
      <c r="M20" s="479">
        <f t="shared" si="1"/>
        <v>86.04249999999999</v>
      </c>
      <c r="N20" s="479">
        <f t="shared" si="1"/>
        <v>100.69149999999999</v>
      </c>
      <c r="O20" s="479">
        <f t="shared" si="1"/>
        <v>95.460499999999996</v>
      </c>
      <c r="P20" s="479">
        <f t="shared" si="1"/>
        <v>100.72550000000001</v>
      </c>
      <c r="Q20" s="479">
        <f t="shared" si="1"/>
        <v>80.643499999999989</v>
      </c>
      <c r="R20" s="479">
        <f t="shared" si="1"/>
        <v>63.702499999999993</v>
      </c>
      <c r="S20" s="427">
        <f t="shared" si="1"/>
        <v>58.451499999999989</v>
      </c>
      <c r="T20" s="652">
        <f t="shared" si="1"/>
        <v>65.757937499999983</v>
      </c>
      <c r="U20" s="433">
        <f t="shared" si="1"/>
        <v>62.470040624999982</v>
      </c>
      <c r="V20" s="433">
        <f t="shared" si="1"/>
        <v>62.470040624999982</v>
      </c>
      <c r="W20" s="433">
        <f t="shared" si="1"/>
        <v>62.470040624999982</v>
      </c>
      <c r="X20" s="433">
        <f t="shared" si="1"/>
        <v>62.470040624999982</v>
      </c>
      <c r="Y20" s="433">
        <f t="shared" si="1"/>
        <v>62.470040624999982</v>
      </c>
      <c r="Z20" s="433">
        <f t="shared" si="1"/>
        <v>62.470040624999982</v>
      </c>
      <c r="AA20" s="433">
        <f t="shared" si="1"/>
        <v>62.470040624999982</v>
      </c>
      <c r="AB20" s="433">
        <f t="shared" si="1"/>
        <v>62.470040624999982</v>
      </c>
      <c r="AC20" s="687">
        <f t="shared" si="1"/>
        <v>62.470040624999982</v>
      </c>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55"/>
      <c r="BA20" s="155"/>
      <c r="BB20" s="155"/>
      <c r="BC20" s="155"/>
      <c r="BD20" s="155"/>
      <c r="BE20" s="155"/>
      <c r="BF20" s="155"/>
      <c r="BG20" s="155"/>
      <c r="BH20" s="155"/>
      <c r="BI20" s="155"/>
      <c r="BJ20" s="155"/>
      <c r="BK20" s="155"/>
      <c r="BL20" s="155"/>
      <c r="BM20" s="155"/>
      <c r="BN20" s="155"/>
      <c r="BO20" s="155"/>
      <c r="BP20" s="155"/>
      <c r="BQ20" s="155"/>
      <c r="BR20" s="155"/>
      <c r="BS20" s="155"/>
      <c r="BT20" s="155"/>
      <c r="BU20" s="155"/>
      <c r="BV20" s="155"/>
      <c r="BW20" s="155"/>
      <c r="BX20" s="155"/>
      <c r="BY20" s="155"/>
      <c r="BZ20" s="155"/>
      <c r="CA20" s="155"/>
      <c r="CB20" s="155"/>
      <c r="CC20" s="155"/>
      <c r="CD20" s="155"/>
      <c r="CE20" s="155"/>
      <c r="CF20" s="155"/>
      <c r="CG20" s="155"/>
      <c r="CH20" s="155"/>
      <c r="CI20" s="155"/>
      <c r="CJ20" s="155"/>
      <c r="CK20" s="155"/>
      <c r="CL20" s="155"/>
      <c r="CM20" s="155"/>
      <c r="CN20" s="155"/>
      <c r="CO20" s="155"/>
      <c r="CP20" s="155"/>
      <c r="CQ20" s="155"/>
      <c r="CR20" s="155"/>
      <c r="CS20" s="155"/>
      <c r="CT20" s="155"/>
      <c r="CU20" s="155"/>
      <c r="CV20" s="155"/>
    </row>
    <row r="21" spans="2:101" ht="15.45" customHeight="1" x14ac:dyDescent="0.3">
      <c r="B21" s="271" t="s">
        <v>865</v>
      </c>
      <c r="C21" s="155" t="s">
        <v>894</v>
      </c>
      <c r="D21" s="282">
        <v>30</v>
      </c>
      <c r="E21" s="150">
        <v>30</v>
      </c>
      <c r="F21" s="150">
        <v>30</v>
      </c>
      <c r="G21" s="150">
        <v>30</v>
      </c>
      <c r="H21" s="150">
        <v>30</v>
      </c>
      <c r="I21" s="150">
        <v>30</v>
      </c>
      <c r="J21" s="150">
        <v>30</v>
      </c>
      <c r="K21" s="148">
        <v>30.2</v>
      </c>
      <c r="L21" s="148">
        <v>30.2</v>
      </c>
      <c r="M21" s="148">
        <f>'Haver Pivoted'!GX89</f>
        <v>34.4</v>
      </c>
      <c r="N21" s="148">
        <f>'Haver Pivoted'!GY89</f>
        <v>34.4</v>
      </c>
      <c r="O21" s="148">
        <f>'Haver Pivoted'!GZ89</f>
        <v>218.933333333333</v>
      </c>
      <c r="P21" s="148">
        <f>'Haver Pivoted'!HA89</f>
        <v>223.13333333333301</v>
      </c>
      <c r="Q21" s="148">
        <f>'Haver Pivoted'!HB89</f>
        <v>94.3</v>
      </c>
      <c r="R21" s="148">
        <f>'Haver Pivoted'!HC89</f>
        <v>94.3</v>
      </c>
      <c r="S21" s="638">
        <f>'Haver Pivoted'!HD89</f>
        <v>94.3</v>
      </c>
      <c r="T21" s="652">
        <f t="shared" ref="T21" si="2">S21</f>
        <v>94.3</v>
      </c>
      <c r="U21" s="433">
        <v>34</v>
      </c>
      <c r="V21" s="433">
        <v>34</v>
      </c>
      <c r="W21" s="433">
        <v>34</v>
      </c>
      <c r="X21" s="433">
        <v>34</v>
      </c>
      <c r="Y21" s="433">
        <v>34</v>
      </c>
      <c r="Z21" s="433">
        <v>34</v>
      </c>
      <c r="AA21" s="433">
        <v>34</v>
      </c>
      <c r="AB21" s="433">
        <v>34</v>
      </c>
      <c r="AC21" s="687">
        <v>34</v>
      </c>
    </row>
    <row r="22" spans="2:101" ht="21.45" customHeight="1" x14ac:dyDescent="0.3">
      <c r="B22" s="271" t="s">
        <v>532</v>
      </c>
      <c r="C22" s="155"/>
      <c r="D22" s="284"/>
      <c r="E22" s="139"/>
      <c r="F22" s="139"/>
      <c r="G22" s="139"/>
      <c r="H22" s="479"/>
      <c r="I22" s="479"/>
      <c r="J22" s="479">
        <f>PPP!J53</f>
        <v>57.2</v>
      </c>
      <c r="K22" s="479">
        <f>PPP!K53</f>
        <v>81.2</v>
      </c>
      <c r="L22" s="479">
        <f>PPP!L53</f>
        <v>24.4</v>
      </c>
      <c r="M22" s="479">
        <f>PPP!M53</f>
        <v>11.7</v>
      </c>
      <c r="N22" s="479">
        <f>PPP!N53</f>
        <v>28.5</v>
      </c>
      <c r="O22" s="479">
        <f>PPP!O53</f>
        <v>18.8</v>
      </c>
      <c r="P22" s="479">
        <f>PPP!P53</f>
        <v>1.6</v>
      </c>
      <c r="Q22" s="479">
        <f>PPP!Q53</f>
        <v>0</v>
      </c>
      <c r="R22" s="479">
        <f>PPP!Q61</f>
        <v>0</v>
      </c>
      <c r="S22" s="427">
        <f>PPP!S53</f>
        <v>0</v>
      </c>
      <c r="T22" s="652">
        <f>PPP!T53</f>
        <v>0</v>
      </c>
      <c r="U22" s="433">
        <f>PPP!U53</f>
        <v>0</v>
      </c>
      <c r="V22" s="433">
        <f>PPP!V53</f>
        <v>0</v>
      </c>
      <c r="W22" s="433">
        <f>PPP!W53</f>
        <v>0</v>
      </c>
      <c r="X22" s="433">
        <f>PPP!X53</f>
        <v>0</v>
      </c>
      <c r="Y22" s="433">
        <f>PPP!Y53</f>
        <v>0</v>
      </c>
      <c r="Z22" s="433">
        <f>PPP!Z53</f>
        <v>0</v>
      </c>
      <c r="AA22" s="433">
        <f>PPP!AA53</f>
        <v>0</v>
      </c>
      <c r="AB22" s="433">
        <f>PPP!AB53</f>
        <v>0</v>
      </c>
      <c r="AC22" s="687">
        <f>PPP!AC53</f>
        <v>0</v>
      </c>
    </row>
    <row r="23" spans="2:101" ht="21.45" customHeight="1" x14ac:dyDescent="0.3">
      <c r="B23" s="449" t="s">
        <v>866</v>
      </c>
      <c r="C23" s="155"/>
      <c r="D23" s="568">
        <f t="shared" ref="D23:AC23" si="3">D79</f>
        <v>0</v>
      </c>
      <c r="E23" s="479">
        <f t="shared" si="3"/>
        <v>0</v>
      </c>
      <c r="F23" s="479">
        <f t="shared" si="3"/>
        <v>0</v>
      </c>
      <c r="G23" s="479">
        <f t="shared" si="3"/>
        <v>0</v>
      </c>
      <c r="H23" s="479">
        <f t="shared" si="3"/>
        <v>0</v>
      </c>
      <c r="I23" s="479">
        <f t="shared" si="3"/>
        <v>-5.0235000000002401</v>
      </c>
      <c r="J23" s="479">
        <f t="shared" si="3"/>
        <v>-36.906500000000278</v>
      </c>
      <c r="K23" s="479">
        <f t="shared" si="3"/>
        <v>86.321499999999787</v>
      </c>
      <c r="L23" s="479">
        <f t="shared" si="3"/>
        <v>18.985499999999547</v>
      </c>
      <c r="M23" s="479">
        <f t="shared" si="3"/>
        <v>6.8144999999999527</v>
      </c>
      <c r="N23" s="479">
        <f t="shared" si="3"/>
        <v>-23.256340000000137</v>
      </c>
      <c r="O23" s="479">
        <f t="shared" si="3"/>
        <v>-28.106993333332866</v>
      </c>
      <c r="P23" s="479">
        <f t="shared" si="3"/>
        <v>-48.677833333332956</v>
      </c>
      <c r="Q23" s="479">
        <f t="shared" si="3"/>
        <v>-29.785220000000209</v>
      </c>
      <c r="R23" s="479">
        <f t="shared" si="3"/>
        <v>-28.244220000000269</v>
      </c>
      <c r="S23" s="427">
        <f t="shared" si="3"/>
        <v>-31.593219999999974</v>
      </c>
      <c r="T23" s="652">
        <f t="shared" si="3"/>
        <v>-31.593219999999974</v>
      </c>
      <c r="U23" s="433">
        <f t="shared" si="3"/>
        <v>-31.593219999999974</v>
      </c>
      <c r="V23" s="433">
        <f t="shared" si="3"/>
        <v>-31.593219999999974</v>
      </c>
      <c r="W23" s="433">
        <f t="shared" si="3"/>
        <v>-31.593219999999974</v>
      </c>
      <c r="X23" s="433">
        <f t="shared" si="3"/>
        <v>-31.593219999999974</v>
      </c>
      <c r="Y23" s="433">
        <f t="shared" si="3"/>
        <v>-31.593219999999974</v>
      </c>
      <c r="Z23" s="433">
        <f t="shared" si="3"/>
        <v>-31.593219999999974</v>
      </c>
      <c r="AA23" s="433">
        <f t="shared" si="3"/>
        <v>-31.593219999999974</v>
      </c>
      <c r="AB23" s="433">
        <f t="shared" si="3"/>
        <v>-31.593219999999974</v>
      </c>
      <c r="AC23" s="687">
        <f t="shared" si="3"/>
        <v>-31.593219999999974</v>
      </c>
    </row>
    <row r="24" spans="2:101" ht="21" customHeight="1" x14ac:dyDescent="0.3">
      <c r="B24" s="272" t="s">
        <v>863</v>
      </c>
      <c r="C24" s="258"/>
      <c r="D24" s="644">
        <f t="shared" ref="D24:AC24" si="4">D18+D19</f>
        <v>0</v>
      </c>
      <c r="E24" s="610">
        <f t="shared" si="4"/>
        <v>0</v>
      </c>
      <c r="F24" s="610">
        <f t="shared" si="4"/>
        <v>0</v>
      </c>
      <c r="G24" s="610">
        <f t="shared" si="4"/>
        <v>0</v>
      </c>
      <c r="H24" s="610">
        <f t="shared" si="4"/>
        <v>0</v>
      </c>
      <c r="I24" s="610">
        <f t="shared" si="4"/>
        <v>0</v>
      </c>
      <c r="J24" s="610">
        <f t="shared" si="4"/>
        <v>160.9</v>
      </c>
      <c r="K24" s="610">
        <f t="shared" si="4"/>
        <v>58.4</v>
      </c>
      <c r="L24" s="610">
        <f t="shared" si="4"/>
        <v>34.5</v>
      </c>
      <c r="M24" s="610">
        <f t="shared" si="4"/>
        <v>21.4</v>
      </c>
      <c r="N24" s="610">
        <f t="shared" si="4"/>
        <v>13.3</v>
      </c>
      <c r="O24" s="610">
        <f t="shared" si="4"/>
        <v>21.804000000000041</v>
      </c>
      <c r="P24" s="535">
        <f>P18+P19</f>
        <v>51.919000000000011</v>
      </c>
      <c r="Q24" s="610">
        <f t="shared" si="4"/>
        <v>46.619</v>
      </c>
      <c r="R24" s="610">
        <f t="shared" si="4"/>
        <v>39.719000000000008</v>
      </c>
      <c r="S24" s="645">
        <f t="shared" si="4"/>
        <v>27.819000000000003</v>
      </c>
      <c r="T24" s="611">
        <f t="shared" si="4"/>
        <v>1.4159999999999999</v>
      </c>
      <c r="U24" s="612">
        <f t="shared" si="4"/>
        <v>1.4159999999999999</v>
      </c>
      <c r="V24" s="612">
        <f t="shared" si="4"/>
        <v>1.4159999999999999</v>
      </c>
      <c r="W24" s="612">
        <f t="shared" si="4"/>
        <v>1.4159999999999999</v>
      </c>
      <c r="X24" s="612">
        <f t="shared" si="4"/>
        <v>1.4790000000000001</v>
      </c>
      <c r="Y24" s="612">
        <f t="shared" si="4"/>
        <v>1.4790000000000001</v>
      </c>
      <c r="Z24" s="612">
        <f t="shared" si="4"/>
        <v>1.4790000000000001</v>
      </c>
      <c r="AA24" s="612">
        <f t="shared" si="4"/>
        <v>1.4790000000000001</v>
      </c>
      <c r="AB24" s="612">
        <f t="shared" si="4"/>
        <v>1.63</v>
      </c>
      <c r="AC24" s="623">
        <f t="shared" si="4"/>
        <v>1.63</v>
      </c>
    </row>
    <row r="25" spans="2:101" ht="44.7" customHeight="1" x14ac:dyDescent="0.3">
      <c r="B25" s="271" t="s">
        <v>871</v>
      </c>
      <c r="C25" s="155"/>
      <c r="D25" s="568">
        <f t="shared" ref="D25:AC25" si="5">D77</f>
        <v>1411.2</v>
      </c>
      <c r="E25" s="479">
        <f t="shared" si="5"/>
        <v>1471.4</v>
      </c>
      <c r="F25" s="479">
        <f t="shared" si="5"/>
        <v>1476.7</v>
      </c>
      <c r="G25" s="479">
        <f t="shared" si="5"/>
        <v>1483.7</v>
      </c>
      <c r="H25" s="479">
        <f t="shared" si="5"/>
        <v>1492.4000000000003</v>
      </c>
      <c r="I25" s="479">
        <f t="shared" si="5"/>
        <v>1541.5000000000002</v>
      </c>
      <c r="J25" s="479">
        <f t="shared" si="5"/>
        <v>1548.5000000000002</v>
      </c>
      <c r="K25" s="479">
        <f t="shared" si="5"/>
        <v>1555.5000000000002</v>
      </c>
      <c r="L25" s="479">
        <f t="shared" si="5"/>
        <v>1562.5000000000002</v>
      </c>
      <c r="M25" s="479">
        <f t="shared" si="5"/>
        <v>1586.9430000000002</v>
      </c>
      <c r="N25" s="479">
        <f t="shared" si="5"/>
        <v>1593.9430000000002</v>
      </c>
      <c r="O25" s="479">
        <f t="shared" si="5"/>
        <v>1600.9430000000002</v>
      </c>
      <c r="P25" s="479">
        <f>P77</f>
        <v>1607.9430000000002</v>
      </c>
      <c r="Q25" s="479">
        <f t="shared" si="5"/>
        <v>1686.8657200000002</v>
      </c>
      <c r="R25" s="479">
        <f t="shared" si="5"/>
        <v>1693.8657200000002</v>
      </c>
      <c r="S25" s="427">
        <f t="shared" si="5"/>
        <v>1700.8657200000002</v>
      </c>
      <c r="T25" s="652">
        <f t="shared" si="5"/>
        <v>1707.8657200000002</v>
      </c>
      <c r="U25" s="433">
        <f t="shared" si="5"/>
        <v>1821.9106940000001</v>
      </c>
      <c r="V25" s="433">
        <f t="shared" si="5"/>
        <v>1828.9106940000001</v>
      </c>
      <c r="W25" s="433">
        <f t="shared" si="5"/>
        <v>1835.9106940000001</v>
      </c>
      <c r="X25" s="433">
        <f t="shared" si="5"/>
        <v>1842.9106940000001</v>
      </c>
      <c r="Y25" s="433">
        <f t="shared" si="5"/>
        <v>1887.7827540000001</v>
      </c>
      <c r="Z25" s="433">
        <f t="shared" si="5"/>
        <v>1894.7827540000001</v>
      </c>
      <c r="AA25" s="433">
        <f t="shared" si="5"/>
        <v>1901.7827540000001</v>
      </c>
      <c r="AB25" s="433">
        <f t="shared" si="5"/>
        <v>1908.7827540000001</v>
      </c>
      <c r="AC25" s="687">
        <f t="shared" si="5"/>
        <v>1941.6707940000001</v>
      </c>
    </row>
    <row r="26" spans="2:101" ht="44.7" customHeight="1" x14ac:dyDescent="0.3">
      <c r="B26" s="401" t="s">
        <v>883</v>
      </c>
      <c r="D26" s="568"/>
      <c r="E26" s="479"/>
      <c r="F26" s="479"/>
      <c r="G26" s="479"/>
      <c r="H26" s="479"/>
      <c r="I26" s="479"/>
      <c r="J26" s="479"/>
      <c r="K26" s="479"/>
      <c r="L26" s="479"/>
      <c r="M26" s="479"/>
      <c r="N26" s="479"/>
      <c r="O26" s="479"/>
      <c r="P26" s="479"/>
      <c r="Q26" s="479">
        <v>-2.5</v>
      </c>
      <c r="R26" s="479">
        <v>-2.5</v>
      </c>
      <c r="S26" s="427">
        <v>-2.5</v>
      </c>
      <c r="T26" s="652">
        <v>-6</v>
      </c>
      <c r="U26" s="433">
        <v>-6</v>
      </c>
      <c r="V26" s="433">
        <v>-6</v>
      </c>
      <c r="W26" s="433">
        <v>-6</v>
      </c>
      <c r="X26" s="433">
        <v>-4.3</v>
      </c>
      <c r="Y26" s="433">
        <v>-4.3</v>
      </c>
      <c r="Z26" s="433">
        <v>-4.3</v>
      </c>
      <c r="AA26" s="433">
        <v>-4.3</v>
      </c>
      <c r="AB26" s="433">
        <v>-4.8</v>
      </c>
      <c r="AC26" s="687">
        <v>-4.8</v>
      </c>
    </row>
    <row r="27" spans="2:101" ht="44.7" customHeight="1" x14ac:dyDescent="0.3">
      <c r="B27" s="401" t="s">
        <v>1282</v>
      </c>
      <c r="D27" s="568"/>
      <c r="E27" s="479"/>
      <c r="F27" s="479"/>
      <c r="G27" s="479"/>
      <c r="H27" s="479"/>
      <c r="I27" s="479"/>
      <c r="J27" s="479"/>
      <c r="K27" s="479"/>
      <c r="L27" s="479"/>
      <c r="M27" s="479"/>
      <c r="N27" s="479"/>
      <c r="O27" s="479"/>
      <c r="P27" s="479"/>
      <c r="Q27" s="479"/>
      <c r="R27" s="479"/>
      <c r="S27" s="646">
        <f>'IRA and CHIPS'!E191</f>
        <v>-0.622</v>
      </c>
      <c r="T27" s="656">
        <f>'IRA and CHIPS'!F191</f>
        <v>21.89</v>
      </c>
      <c r="U27" s="657">
        <f>'IRA and CHIPS'!G191</f>
        <v>21.89</v>
      </c>
      <c r="V27" s="657">
        <f>'IRA and CHIPS'!H191</f>
        <v>21.89</v>
      </c>
      <c r="W27" s="657">
        <f>'IRA and CHIPS'!I191</f>
        <v>21.89</v>
      </c>
      <c r="X27" s="657">
        <f>'IRA and CHIPS'!J191</f>
        <v>15.439</v>
      </c>
      <c r="Y27" s="657">
        <f>'IRA and CHIPS'!K191</f>
        <v>15.439</v>
      </c>
      <c r="Z27" s="657">
        <f>'IRA and CHIPS'!L191</f>
        <v>15.439</v>
      </c>
      <c r="AA27" s="657">
        <f>'IRA and CHIPS'!M191</f>
        <v>15.439</v>
      </c>
      <c r="AB27" s="657">
        <f>'IRA and CHIPS'!N191</f>
        <v>16.966999999999999</v>
      </c>
      <c r="AC27" s="658">
        <f>'IRA and CHIPS'!O191</f>
        <v>16.966999999999999</v>
      </c>
    </row>
    <row r="28" spans="2:101" ht="31.2" customHeight="1" x14ac:dyDescent="0.3">
      <c r="B28" s="545" t="s">
        <v>867</v>
      </c>
      <c r="C28" s="258"/>
      <c r="D28" s="647">
        <f>D25+SUM(D20:D23) + D26</f>
        <v>1441.2</v>
      </c>
      <c r="E28" s="648">
        <f t="shared" ref="E28:O28" si="6">E25+SUM(E20:E23) + E26</f>
        <v>1501.4</v>
      </c>
      <c r="F28" s="648">
        <f t="shared" si="6"/>
        <v>1506.7</v>
      </c>
      <c r="G28" s="648">
        <f t="shared" si="6"/>
        <v>1513.7</v>
      </c>
      <c r="H28" s="648">
        <f t="shared" si="6"/>
        <v>1522.4000000000003</v>
      </c>
      <c r="I28" s="648">
        <f t="shared" si="6"/>
        <v>1571.5</v>
      </c>
      <c r="J28" s="648">
        <f t="shared" si="6"/>
        <v>1644.1999999999998</v>
      </c>
      <c r="K28" s="648">
        <f>K25+SUM(K20:K23) + K26</f>
        <v>1803.4</v>
      </c>
      <c r="L28" s="648">
        <f t="shared" si="6"/>
        <v>1696.0999999999997</v>
      </c>
      <c r="M28" s="648">
        <f t="shared" si="6"/>
        <v>1725.9</v>
      </c>
      <c r="N28" s="648">
        <f t="shared" si="6"/>
        <v>1734.2781600000001</v>
      </c>
      <c r="O28" s="648">
        <f t="shared" si="6"/>
        <v>1906.0298400000004</v>
      </c>
      <c r="P28" s="648">
        <f>P25+SUM(P20:P23) + P26</f>
        <v>1884.7240000000002</v>
      </c>
      <c r="Q28" s="648">
        <f>Q25+SUM(Q20:Q23) + Q26</f>
        <v>1829.5239999999999</v>
      </c>
      <c r="R28" s="648">
        <f t="shared" ref="R28" si="7">R25+SUM(R20:R23) + R26</f>
        <v>1821.124</v>
      </c>
      <c r="S28" s="649">
        <f>S25+SUM(S20:S23) + S26+S27</f>
        <v>1818.9020000000003</v>
      </c>
      <c r="T28" s="662">
        <f t="shared" ref="T28:AC28" si="8">T25+SUM(T20:T23) + T26+T27</f>
        <v>1852.2204375000003</v>
      </c>
      <c r="U28" s="663">
        <f t="shared" si="8"/>
        <v>1902.6775146250002</v>
      </c>
      <c r="V28" s="663">
        <f t="shared" si="8"/>
        <v>1909.6775146250002</v>
      </c>
      <c r="W28" s="663">
        <f t="shared" si="8"/>
        <v>1916.6775146250002</v>
      </c>
      <c r="X28" s="663">
        <f t="shared" si="8"/>
        <v>1918.9265146250002</v>
      </c>
      <c r="Y28" s="663">
        <f t="shared" si="8"/>
        <v>1963.7985746250001</v>
      </c>
      <c r="Z28" s="663">
        <f t="shared" si="8"/>
        <v>1970.7985746250001</v>
      </c>
      <c r="AA28" s="663">
        <f t="shared" si="8"/>
        <v>1977.7985746250001</v>
      </c>
      <c r="AB28" s="663">
        <f t="shared" si="8"/>
        <v>1985.8265746250001</v>
      </c>
      <c r="AC28" s="664">
        <f t="shared" si="8"/>
        <v>2018.7146146250002</v>
      </c>
    </row>
    <row r="29" spans="2:101" ht="31.2" customHeight="1" x14ac:dyDescent="0.3">
      <c r="B29" s="1192" t="s">
        <v>535</v>
      </c>
      <c r="C29" s="1193"/>
      <c r="D29" s="567"/>
      <c r="E29" s="535"/>
      <c r="F29" s="535"/>
      <c r="G29" s="535"/>
      <c r="H29" s="535"/>
      <c r="I29" s="535"/>
      <c r="J29" s="535"/>
      <c r="K29" s="535"/>
      <c r="L29" s="535"/>
      <c r="M29" s="535"/>
      <c r="N29" s="535"/>
      <c r="O29" s="535"/>
      <c r="P29" s="535"/>
      <c r="Q29" s="535"/>
      <c r="R29" s="535"/>
      <c r="S29" s="577"/>
      <c r="T29" s="653"/>
      <c r="U29" s="552"/>
      <c r="V29" s="552"/>
      <c r="W29" s="552"/>
      <c r="X29" s="552"/>
      <c r="Y29" s="552"/>
      <c r="Z29" s="552"/>
      <c r="AA29" s="552"/>
      <c r="AB29" s="552"/>
      <c r="AC29" s="667"/>
    </row>
    <row r="30" spans="2:101" x14ac:dyDescent="0.3">
      <c r="B30" s="449" t="s">
        <v>873</v>
      </c>
      <c r="C30" s="155" t="s">
        <v>536</v>
      </c>
      <c r="D30" s="284">
        <f>'Haver Pivoted'!GO37</f>
        <v>734.3</v>
      </c>
      <c r="E30" s="139">
        <f>'Haver Pivoted'!GP37</f>
        <v>745.2</v>
      </c>
      <c r="F30" s="139">
        <f>'Haver Pivoted'!GQ37</f>
        <v>763.2</v>
      </c>
      <c r="G30" s="139">
        <f>'Haver Pivoted'!GR37</f>
        <v>773.5</v>
      </c>
      <c r="H30" s="139">
        <f>'Haver Pivoted'!GS37</f>
        <v>773.8</v>
      </c>
      <c r="I30" s="139">
        <f>'Haver Pivoted'!GT37</f>
        <v>762.4</v>
      </c>
      <c r="J30" s="139">
        <f>'Haver Pivoted'!GU37</f>
        <v>813.3</v>
      </c>
      <c r="K30" s="139">
        <f>'Haver Pivoted'!GV37</f>
        <v>851.9</v>
      </c>
      <c r="L30" s="139">
        <f>'Haver Pivoted'!GW37</f>
        <v>840.6</v>
      </c>
      <c r="M30" s="139">
        <f>'Haver Pivoted'!GX37</f>
        <v>868</v>
      </c>
      <c r="N30" s="139">
        <f>'Haver Pivoted'!GY37</f>
        <v>910.1</v>
      </c>
      <c r="O30" s="139">
        <f>'Haver Pivoted'!GZ37</f>
        <v>918.1</v>
      </c>
      <c r="P30" s="139">
        <f>'Haver Pivoted'!HA37</f>
        <v>915.2</v>
      </c>
      <c r="Q30" s="139">
        <f>'Haver Pivoted'!HB37</f>
        <v>934.7</v>
      </c>
      <c r="R30" s="139">
        <f>'Haver Pivoted'!HC37</f>
        <v>962.7</v>
      </c>
      <c r="S30" s="635">
        <f>'Haver Pivoted'!HD37</f>
        <v>986.8</v>
      </c>
      <c r="T30" s="659"/>
      <c r="U30" s="660"/>
      <c r="V30" s="660"/>
      <c r="W30" s="660"/>
      <c r="X30" s="660"/>
      <c r="Y30" s="660"/>
      <c r="Z30" s="660"/>
      <c r="AA30" s="660"/>
      <c r="AB30" s="660"/>
      <c r="AC30" s="688"/>
    </row>
    <row r="31" spans="2:101" x14ac:dyDescent="0.3">
      <c r="B31" s="178" t="s">
        <v>209</v>
      </c>
      <c r="C31" s="155"/>
      <c r="D31" s="568">
        <f>Medicaid!D32</f>
        <v>589.5</v>
      </c>
      <c r="E31" s="479">
        <f>Medicaid!E32</f>
        <v>598.70000000000005</v>
      </c>
      <c r="F31" s="479">
        <f>Medicaid!F32</f>
        <v>614.4</v>
      </c>
      <c r="G31" s="479">
        <f>Medicaid!G32</f>
        <v>622.4</v>
      </c>
      <c r="H31" s="479">
        <f>Medicaid!H32</f>
        <v>620.70000000000005</v>
      </c>
      <c r="I31" s="479">
        <f>Medicaid!I32</f>
        <v>606.6</v>
      </c>
      <c r="J31" s="479">
        <f>Medicaid!J32</f>
        <v>654.70000000000005</v>
      </c>
      <c r="K31" s="479">
        <f>Medicaid!K32</f>
        <v>690.7</v>
      </c>
      <c r="L31" s="479">
        <f>Medicaid!L32</f>
        <v>678.3</v>
      </c>
      <c r="M31" s="479">
        <f>Medicaid!M32</f>
        <v>704.4</v>
      </c>
      <c r="N31" s="479">
        <f>Medicaid!N32</f>
        <v>744.8</v>
      </c>
      <c r="O31" s="479">
        <f>Medicaid!O32</f>
        <v>748.2</v>
      </c>
      <c r="P31" s="479">
        <f>Medicaid!P32</f>
        <v>745</v>
      </c>
      <c r="Q31" s="479">
        <f>Medicaid!Q32</f>
        <v>763.1</v>
      </c>
      <c r="R31" s="479">
        <f>Medicaid!R32</f>
        <v>789.5</v>
      </c>
      <c r="S31" s="636">
        <f>Medicaid!S32</f>
        <v>790</v>
      </c>
      <c r="T31" s="652">
        <f>Medicaid!T32</f>
        <v>790.0916083556474</v>
      </c>
      <c r="U31" s="433">
        <f>Medicaid!U32</f>
        <v>796.18392309385763</v>
      </c>
      <c r="V31" s="433">
        <f>Medicaid!V32</f>
        <v>802.32321504139009</v>
      </c>
      <c r="W31" s="433">
        <f>Medicaid!W32</f>
        <v>808.50984643465085</v>
      </c>
      <c r="X31" s="433">
        <f>Medicaid!X32</f>
        <v>799.5788595530172</v>
      </c>
      <c r="Y31" s="433">
        <f>Medicaid!Y32</f>
        <v>790.74652641942589</v>
      </c>
      <c r="Z31" s="433">
        <f>Medicaid!Z32</f>
        <v>782.01175728174405</v>
      </c>
      <c r="AA31" s="433">
        <f>Medicaid!AA32</f>
        <v>773.3734744254931</v>
      </c>
      <c r="AB31" s="433">
        <f>Medicaid!AB32</f>
        <v>764.83061204087801</v>
      </c>
      <c r="AC31" s="687">
        <f>Medicaid!AC32</f>
        <v>756.38211609128541</v>
      </c>
    </row>
    <row r="32" spans="2:101" ht="14.55" customHeight="1" x14ac:dyDescent="0.3">
      <c r="B32" s="545" t="s">
        <v>874</v>
      </c>
      <c r="C32" s="258"/>
      <c r="D32" s="567">
        <f>D30-D31</f>
        <v>144.79999999999995</v>
      </c>
      <c r="E32" s="535">
        <f t="shared" ref="E32:O32" si="9">E30-E31</f>
        <v>146.5</v>
      </c>
      <c r="F32" s="535">
        <f t="shared" si="9"/>
        <v>148.80000000000007</v>
      </c>
      <c r="G32" s="535">
        <f t="shared" si="9"/>
        <v>151.10000000000002</v>
      </c>
      <c r="H32" s="535">
        <f t="shared" si="9"/>
        <v>153.09999999999991</v>
      </c>
      <c r="I32" s="535">
        <f t="shared" si="9"/>
        <v>155.79999999999995</v>
      </c>
      <c r="J32" s="535">
        <f t="shared" si="9"/>
        <v>158.59999999999991</v>
      </c>
      <c r="K32" s="535">
        <f t="shared" si="9"/>
        <v>161.19999999999993</v>
      </c>
      <c r="L32" s="535">
        <f t="shared" si="9"/>
        <v>162.30000000000007</v>
      </c>
      <c r="M32" s="535">
        <f t="shared" si="9"/>
        <v>163.60000000000002</v>
      </c>
      <c r="N32" s="535">
        <f t="shared" si="9"/>
        <v>165.30000000000007</v>
      </c>
      <c r="O32" s="535">
        <f t="shared" si="9"/>
        <v>169.89999999999998</v>
      </c>
      <c r="P32" s="535">
        <f>P30-P31</f>
        <v>170.20000000000005</v>
      </c>
      <c r="Q32" s="535">
        <f>Q30-Q31</f>
        <v>171.60000000000002</v>
      </c>
      <c r="R32" s="535">
        <f>R30-R31</f>
        <v>173.20000000000005</v>
      </c>
      <c r="S32" s="639">
        <f>S30-S31</f>
        <v>196.79999999999995</v>
      </c>
      <c r="T32" s="653">
        <f>S32*(1+AVERAGE($F$34:$I$34))+T33</f>
        <v>177.85179962461578</v>
      </c>
      <c r="U32" s="552">
        <f t="shared" ref="U32:AC32" si="10">T32*(1+AVERAGE($F$34:$I$34))</f>
        <v>180.60976738544733</v>
      </c>
      <c r="V32" s="552">
        <f t="shared" si="10"/>
        <v>183.41050326100046</v>
      </c>
      <c r="W32" s="552">
        <f t="shared" si="10"/>
        <v>186.25467046121651</v>
      </c>
      <c r="X32" s="552">
        <f t="shared" si="10"/>
        <v>189.14294248050757</v>
      </c>
      <c r="Y32" s="552">
        <f t="shared" si="10"/>
        <v>192.07600325723899</v>
      </c>
      <c r="Z32" s="552">
        <f t="shared" si="10"/>
        <v>195.05454733568487</v>
      </c>
      <c r="AA32" s="552">
        <f t="shared" si="10"/>
        <v>198.07928003049508</v>
      </c>
      <c r="AB32" s="552">
        <f t="shared" si="10"/>
        <v>201.15091759371273</v>
      </c>
      <c r="AC32" s="667">
        <f t="shared" si="10"/>
        <v>204.27018738438153</v>
      </c>
    </row>
    <row r="33" spans="2:29" ht="14.55" customHeight="1" x14ac:dyDescent="0.3">
      <c r="B33" s="545" t="s">
        <v>1809</v>
      </c>
      <c r="C33" s="258"/>
      <c r="D33" s="567"/>
      <c r="E33" s="535"/>
      <c r="F33" s="535"/>
      <c r="G33" s="535"/>
      <c r="H33" s="535"/>
      <c r="I33" s="535"/>
      <c r="J33" s="535"/>
      <c r="K33" s="535"/>
      <c r="L33" s="535"/>
      <c r="M33" s="535"/>
      <c r="N33" s="535"/>
      <c r="O33" s="535"/>
      <c r="P33" s="535"/>
      <c r="Q33" s="535"/>
      <c r="R33" s="535"/>
      <c r="S33" s="639"/>
      <c r="T33" s="653">
        <v>-22</v>
      </c>
      <c r="U33" s="552"/>
      <c r="V33" s="552"/>
      <c r="W33" s="552"/>
      <c r="X33" s="552"/>
      <c r="Y33" s="552"/>
      <c r="Z33" s="552"/>
      <c r="AA33" s="552"/>
      <c r="AB33" s="552"/>
      <c r="AC33" s="667"/>
    </row>
    <row r="34" spans="2:29" x14ac:dyDescent="0.3">
      <c r="B34" s="603" t="s">
        <v>875</v>
      </c>
      <c r="C34" s="265"/>
      <c r="D34" s="571"/>
      <c r="E34" s="543">
        <f>E32/D32-1</f>
        <v>1.1740331491713052E-2</v>
      </c>
      <c r="F34" s="543">
        <f t="shared" ref="F34:N34" si="11">F32/E32-1</f>
        <v>1.5699658703072217E-2</v>
      </c>
      <c r="G34" s="543">
        <f t="shared" si="11"/>
        <v>1.5456989247311537E-2</v>
      </c>
      <c r="H34" s="543">
        <f t="shared" si="11"/>
        <v>1.3236267372600086E-2</v>
      </c>
      <c r="I34" s="543">
        <f t="shared" si="11"/>
        <v>1.7635532331809589E-2</v>
      </c>
      <c r="J34" s="543">
        <f t="shared" si="11"/>
        <v>1.7971758664954818E-2</v>
      </c>
      <c r="K34" s="543">
        <f t="shared" si="11"/>
        <v>1.639344262295106E-2</v>
      </c>
      <c r="L34" s="543">
        <f t="shared" si="11"/>
        <v>6.823821339951186E-3</v>
      </c>
      <c r="M34" s="543">
        <f t="shared" si="11"/>
        <v>8.0098582871224178E-3</v>
      </c>
      <c r="N34" s="543">
        <f t="shared" si="11"/>
        <v>1.0391198044010119E-2</v>
      </c>
      <c r="O34" s="543">
        <f>O32/N32-1</f>
        <v>2.7828191167573513E-2</v>
      </c>
      <c r="P34" s="543">
        <f t="shared" ref="P34:S34" si="12">P32/O32-1</f>
        <v>1.7657445556213958E-3</v>
      </c>
      <c r="Q34" s="543">
        <f t="shared" si="12"/>
        <v>8.2256169212688857E-3</v>
      </c>
      <c r="R34" s="543">
        <f t="shared" si="12"/>
        <v>9.3240093240094524E-3</v>
      </c>
      <c r="S34" s="533">
        <f t="shared" si="12"/>
        <v>0.13625866050808266</v>
      </c>
      <c r="T34" s="661"/>
      <c r="U34" s="562"/>
      <c r="V34" s="562"/>
      <c r="W34" s="562"/>
      <c r="X34" s="562"/>
      <c r="Y34" s="562"/>
      <c r="Z34" s="562"/>
      <c r="AA34" s="562"/>
      <c r="AB34" s="562"/>
      <c r="AC34" s="563"/>
    </row>
    <row r="36" spans="2:29" x14ac:dyDescent="0.3">
      <c r="R36" s="541">
        <v>2846.5</v>
      </c>
      <c r="S36" s="541">
        <v>2837.9</v>
      </c>
      <c r="T36" s="541">
        <v>2806.9512609095837</v>
      </c>
      <c r="U36" s="541">
        <v>2880.0767188720565</v>
      </c>
      <c r="V36" s="541">
        <v>2910.230101605689</v>
      </c>
      <c r="W36" s="541">
        <v>2941.3136917992724</v>
      </c>
      <c r="X36" s="541">
        <v>2965.1284495193622</v>
      </c>
      <c r="Y36" s="541">
        <v>3035.3618458477818</v>
      </c>
      <c r="Z36" s="541">
        <v>3069.7585918152668</v>
      </c>
      <c r="AA36" s="541">
        <v>3103.2456397557185</v>
      </c>
      <c r="AB36" s="541">
        <v>3135.727289135667</v>
      </c>
      <c r="AC36" s="541">
        <v>3196.4229300595453</v>
      </c>
    </row>
    <row r="38" spans="2:29" x14ac:dyDescent="0.3">
      <c r="R38" s="541">
        <v>18.600000000000001</v>
      </c>
      <c r="S38" s="541">
        <v>18.600000000000001</v>
      </c>
      <c r="T38" s="541">
        <v>18.522897196261681</v>
      </c>
      <c r="U38" s="541">
        <v>18.167663551401869</v>
      </c>
      <c r="V38" s="541">
        <v>17.863177570093459</v>
      </c>
      <c r="W38" s="541">
        <v>17.919</v>
      </c>
      <c r="X38" s="541">
        <v>18.020495327102804</v>
      </c>
      <c r="Y38" s="541">
        <v>18.380803738317756</v>
      </c>
      <c r="Z38" s="541">
        <v>20.156971962616822</v>
      </c>
      <c r="AA38" s="541">
        <v>20.405635514018691</v>
      </c>
      <c r="AB38" s="541">
        <v>20.715196261682241</v>
      </c>
      <c r="AC38" s="541">
        <v>21.014607476635511</v>
      </c>
    </row>
    <row r="39" spans="2:29" x14ac:dyDescent="0.3">
      <c r="R39" s="541">
        <v>911.8</v>
      </c>
      <c r="S39" s="541">
        <v>920.3</v>
      </c>
      <c r="T39" s="541">
        <v>942.65830121332203</v>
      </c>
      <c r="U39" s="541">
        <v>965.55978794565488</v>
      </c>
      <c r="V39" s="541">
        <v>989.017656660596</v>
      </c>
      <c r="W39" s="541">
        <v>1013.0454244242726</v>
      </c>
      <c r="X39" s="541">
        <v>1037.4736868172592</v>
      </c>
      <c r="Y39" s="541">
        <v>1062.4910047344636</v>
      </c>
      <c r="Z39" s="541">
        <v>1088.11158247765</v>
      </c>
      <c r="AA39" s="541">
        <v>1114.3499668666996</v>
      </c>
      <c r="AB39" s="541">
        <v>1141.2210554989849</v>
      </c>
      <c r="AC39" s="541">
        <v>1168.7401052079097</v>
      </c>
    </row>
    <row r="40" spans="2:29" x14ac:dyDescent="0.3">
      <c r="R40" s="541">
        <v>0</v>
      </c>
      <c r="S40" s="541">
        <v>0</v>
      </c>
      <c r="T40" s="541">
        <v>0</v>
      </c>
      <c r="U40" s="541">
        <v>0</v>
      </c>
      <c r="V40" s="541">
        <v>0</v>
      </c>
      <c r="W40" s="541">
        <v>0</v>
      </c>
      <c r="X40" s="541">
        <v>0</v>
      </c>
      <c r="Y40" s="541">
        <v>0</v>
      </c>
      <c r="Z40" s="541">
        <v>0</v>
      </c>
      <c r="AA40" s="541">
        <v>0</v>
      </c>
      <c r="AB40" s="541">
        <v>0</v>
      </c>
      <c r="AC40" s="541">
        <v>0</v>
      </c>
    </row>
    <row r="41" spans="2:29" x14ac:dyDescent="0.3">
      <c r="R41" s="541">
        <v>52.756999999999998</v>
      </c>
      <c r="S41" s="541">
        <v>52.756999999999998</v>
      </c>
      <c r="T41" s="541">
        <v>12</v>
      </c>
      <c r="U41" s="541">
        <v>12</v>
      </c>
      <c r="V41" s="541">
        <v>12</v>
      </c>
      <c r="W41" s="541">
        <v>12</v>
      </c>
      <c r="X41" s="541">
        <v>4.2219999999999995</v>
      </c>
      <c r="Y41" s="541">
        <v>4.2219999999999995</v>
      </c>
      <c r="Z41" s="541">
        <v>4.2219999999999995</v>
      </c>
      <c r="AA41" s="541">
        <v>4.2219999999999995</v>
      </c>
      <c r="AB41" s="541">
        <v>2.3719999999999999</v>
      </c>
      <c r="AC41" s="541">
        <v>2.3719999999999999</v>
      </c>
    </row>
    <row r="42" spans="2:29" x14ac:dyDescent="0.3">
      <c r="R42" s="541">
        <v>19.719000000000005</v>
      </c>
      <c r="S42" s="541">
        <v>19.719000000000005</v>
      </c>
      <c r="T42" s="541">
        <v>1.4159999999999999</v>
      </c>
      <c r="U42" s="541">
        <v>1.4159999999999999</v>
      </c>
      <c r="V42" s="541">
        <v>1.4159999999999999</v>
      </c>
      <c r="W42" s="541">
        <v>1.4159999999999999</v>
      </c>
      <c r="X42" s="541">
        <v>1.4790000000000001</v>
      </c>
      <c r="Y42" s="541">
        <v>1.4790000000000001</v>
      </c>
      <c r="Z42" s="541">
        <v>1.4790000000000001</v>
      </c>
      <c r="AA42" s="541">
        <v>1.4790000000000001</v>
      </c>
      <c r="AB42" s="541">
        <v>1.63</v>
      </c>
      <c r="AC42" s="541">
        <v>1.63</v>
      </c>
    </row>
    <row r="43" spans="2:29" x14ac:dyDescent="0.3">
      <c r="R43">
        <v>20</v>
      </c>
      <c r="S43">
        <v>8.1</v>
      </c>
      <c r="T43">
        <v>0</v>
      </c>
      <c r="U43">
        <v>0</v>
      </c>
      <c r="V43">
        <v>0</v>
      </c>
      <c r="W43">
        <v>0</v>
      </c>
      <c r="X43">
        <v>0</v>
      </c>
      <c r="Y43">
        <v>0</v>
      </c>
      <c r="Z43">
        <v>0</v>
      </c>
      <c r="AA43">
        <v>0</v>
      </c>
      <c r="AB43">
        <v>0</v>
      </c>
      <c r="AC43">
        <v>0</v>
      </c>
    </row>
    <row r="44" spans="2:29" x14ac:dyDescent="0.3">
      <c r="R44" s="541">
        <v>63.702499999999993</v>
      </c>
      <c r="S44" s="541">
        <v>55.440499999999993</v>
      </c>
      <c r="T44" s="541">
        <v>62.370562499999991</v>
      </c>
      <c r="U44" s="541">
        <v>59.252034374999987</v>
      </c>
      <c r="V44" s="541">
        <v>59.252034374999987</v>
      </c>
      <c r="W44" s="541">
        <v>59.252034374999987</v>
      </c>
      <c r="X44" s="541">
        <v>59.252034374999987</v>
      </c>
      <c r="Y44" s="541">
        <v>59.252034374999987</v>
      </c>
      <c r="Z44" s="541">
        <v>59.252034374999987</v>
      </c>
      <c r="AA44" s="541">
        <v>59.252034374999987</v>
      </c>
      <c r="AB44" s="541">
        <v>59.252034374999987</v>
      </c>
      <c r="AC44" s="541">
        <v>59.252034374999987</v>
      </c>
    </row>
    <row r="45" spans="2:29" x14ac:dyDescent="0.3">
      <c r="R45" s="203">
        <v>94.3</v>
      </c>
      <c r="S45" s="203">
        <v>94.3</v>
      </c>
      <c r="T45" s="541">
        <v>94.3</v>
      </c>
      <c r="U45" s="541">
        <v>34</v>
      </c>
      <c r="V45" s="541">
        <v>34</v>
      </c>
      <c r="W45" s="541">
        <v>34</v>
      </c>
      <c r="X45" s="541">
        <v>34</v>
      </c>
      <c r="Y45" s="541">
        <v>34</v>
      </c>
      <c r="Z45" s="541">
        <v>34</v>
      </c>
      <c r="AA45" s="541">
        <v>34</v>
      </c>
      <c r="AB45" s="541">
        <v>34</v>
      </c>
      <c r="AC45" s="541">
        <v>34</v>
      </c>
    </row>
    <row r="46" spans="2:29" x14ac:dyDescent="0.3">
      <c r="R46" s="541">
        <v>0</v>
      </c>
      <c r="S46" s="541">
        <v>0</v>
      </c>
      <c r="T46" s="541">
        <v>0</v>
      </c>
      <c r="U46" s="541">
        <v>0</v>
      </c>
      <c r="V46" s="541">
        <v>0</v>
      </c>
      <c r="W46" s="541">
        <v>0</v>
      </c>
      <c r="X46" s="541">
        <v>0</v>
      </c>
      <c r="Y46" s="541">
        <v>0</v>
      </c>
      <c r="Z46" s="541">
        <v>0</v>
      </c>
      <c r="AA46" s="541">
        <v>0</v>
      </c>
      <c r="AB46" s="541">
        <v>0</v>
      </c>
      <c r="AC46" s="541">
        <v>0</v>
      </c>
    </row>
    <row r="47" spans="2:29" x14ac:dyDescent="0.3">
      <c r="R47" s="541">
        <v>-28.244220000000269</v>
      </c>
      <c r="S47" s="541">
        <v>-32.182220000000143</v>
      </c>
      <c r="T47" s="541">
        <v>-32.182220000000143</v>
      </c>
      <c r="U47" s="541">
        <v>-32.182220000000143</v>
      </c>
      <c r="V47" s="541">
        <v>-32.182220000000143</v>
      </c>
      <c r="W47" s="541">
        <v>-32.182220000000143</v>
      </c>
      <c r="X47" s="541">
        <v>-32.182220000000143</v>
      </c>
      <c r="Y47" s="541">
        <v>-32.182220000000143</v>
      </c>
      <c r="Z47" s="541">
        <v>-32.182220000000143</v>
      </c>
      <c r="AA47" s="541">
        <v>-32.182220000000143</v>
      </c>
      <c r="AB47" s="541">
        <v>-32.182220000000143</v>
      </c>
      <c r="AC47" s="541">
        <v>-32.182220000000143</v>
      </c>
    </row>
    <row r="48" spans="2:29" x14ac:dyDescent="0.3">
      <c r="R48">
        <v>39.719000000000008</v>
      </c>
      <c r="S48">
        <v>27.819000000000003</v>
      </c>
      <c r="T48">
        <v>1.4159999999999999</v>
      </c>
      <c r="U48">
        <v>1.4159999999999999</v>
      </c>
      <c r="V48">
        <v>1.4159999999999999</v>
      </c>
      <c r="W48">
        <v>1.4159999999999999</v>
      </c>
      <c r="X48">
        <v>1.4790000000000001</v>
      </c>
      <c r="Y48">
        <v>1.4790000000000001</v>
      </c>
      <c r="Z48">
        <v>1.4790000000000001</v>
      </c>
      <c r="AA48">
        <v>1.4790000000000001</v>
      </c>
      <c r="AB48">
        <v>1.63</v>
      </c>
      <c r="AC48">
        <v>1.63</v>
      </c>
    </row>
    <row r="49" spans="2:29" x14ac:dyDescent="0.3">
      <c r="C49" s="694" t="s">
        <v>1543</v>
      </c>
      <c r="D49" s="695">
        <v>2022</v>
      </c>
      <c r="E49" s="695">
        <v>2023</v>
      </c>
      <c r="F49" s="87">
        <v>2024</v>
      </c>
      <c r="R49" s="541">
        <v>1693.8657200000002</v>
      </c>
      <c r="S49" s="541">
        <v>1700.8657200000002</v>
      </c>
      <c r="T49" s="541">
        <v>1707.8657200000002</v>
      </c>
      <c r="U49" s="541">
        <v>1821.8634530000002</v>
      </c>
      <c r="V49" s="541">
        <v>1828.8634530000002</v>
      </c>
      <c r="W49" s="541">
        <v>1835.8634530000002</v>
      </c>
      <c r="X49" s="541">
        <v>1842.8634530000002</v>
      </c>
      <c r="Y49" s="541">
        <v>1887.7192230000001</v>
      </c>
      <c r="Z49" s="541">
        <v>1894.7192230000001</v>
      </c>
      <c r="AA49" s="541">
        <v>1901.7192230000001</v>
      </c>
      <c r="AB49" s="541">
        <v>1908.7192230000001</v>
      </c>
      <c r="AC49" s="541">
        <v>1941.596403</v>
      </c>
    </row>
    <row r="50" spans="2:29" x14ac:dyDescent="0.3">
      <c r="C50" s="48" t="s">
        <v>160</v>
      </c>
      <c r="D50" s="36">
        <v>159</v>
      </c>
      <c r="E50" s="36">
        <v>140</v>
      </c>
      <c r="F50" s="293">
        <v>110</v>
      </c>
      <c r="R50" s="541">
        <v>-2.5</v>
      </c>
      <c r="S50" s="541">
        <v>-2.5</v>
      </c>
      <c r="T50" s="541">
        <v>-6</v>
      </c>
      <c r="U50" s="541">
        <v>-6</v>
      </c>
      <c r="V50" s="541">
        <v>-6</v>
      </c>
      <c r="W50" s="541">
        <v>-6</v>
      </c>
      <c r="X50" s="541">
        <v>-4.3</v>
      </c>
      <c r="Y50" s="541">
        <v>-4.3</v>
      </c>
      <c r="Z50" s="541">
        <v>-4.3</v>
      </c>
      <c r="AA50" s="541">
        <v>-4.3</v>
      </c>
      <c r="AB50" s="541">
        <v>-4.8</v>
      </c>
      <c r="AC50" s="541">
        <v>-4.8</v>
      </c>
    </row>
    <row r="51" spans="2:29" x14ac:dyDescent="0.3">
      <c r="C51" s="48"/>
      <c r="D51" s="36"/>
      <c r="E51" s="36"/>
      <c r="F51" s="293"/>
      <c r="R51" s="541"/>
      <c r="S51" s="541">
        <v>-0.622</v>
      </c>
      <c r="T51" s="541">
        <v>21.89</v>
      </c>
      <c r="U51" s="541">
        <v>21.89</v>
      </c>
      <c r="V51" s="541">
        <v>21.89</v>
      </c>
      <c r="W51" s="541">
        <v>21.89</v>
      </c>
      <c r="X51" s="541">
        <v>15.439</v>
      </c>
      <c r="Y51" s="541">
        <v>15.439</v>
      </c>
      <c r="Z51" s="541">
        <v>15.439</v>
      </c>
      <c r="AA51" s="541">
        <v>15.439</v>
      </c>
      <c r="AB51" s="541">
        <v>16.966999999999999</v>
      </c>
      <c r="AC51" s="541">
        <v>16.966999999999999</v>
      </c>
    </row>
    <row r="52" spans="2:29" x14ac:dyDescent="0.3">
      <c r="C52" s="410"/>
      <c r="D52" s="37"/>
      <c r="E52" s="37"/>
      <c r="F52" s="295"/>
      <c r="G52" s="541"/>
      <c r="R52" s="541">
        <v>1821.124</v>
      </c>
      <c r="S52" s="541">
        <v>1815.3019999999999</v>
      </c>
      <c r="T52" s="541">
        <v>1848.2440625000002</v>
      </c>
      <c r="U52" s="541">
        <v>1898.8232673750001</v>
      </c>
      <c r="V52" s="541">
        <v>1905.8232673750001</v>
      </c>
      <c r="W52" s="541">
        <v>1912.8232673750001</v>
      </c>
      <c r="X52" s="541">
        <v>1915.0722673750001</v>
      </c>
      <c r="Y52" s="541">
        <v>1959.928037375</v>
      </c>
      <c r="Z52" s="541">
        <v>1966.928037375</v>
      </c>
      <c r="AA52" s="541">
        <v>1973.928037375</v>
      </c>
      <c r="AB52" s="541">
        <v>1981.9560373750001</v>
      </c>
      <c r="AC52" s="541">
        <v>2014.833217375</v>
      </c>
    </row>
    <row r="53" spans="2:29" x14ac:dyDescent="0.3">
      <c r="R53" s="541"/>
      <c r="S53" s="541"/>
      <c r="T53" s="541"/>
      <c r="U53" s="541"/>
      <c r="V53" s="541"/>
      <c r="W53" s="541"/>
      <c r="X53" s="541"/>
      <c r="Y53" s="541"/>
      <c r="Z53" s="541"/>
      <c r="AA53" s="541"/>
      <c r="AB53" s="541"/>
      <c r="AC53" s="541"/>
    </row>
    <row r="54" spans="2:29" x14ac:dyDescent="0.3">
      <c r="R54">
        <v>962.7</v>
      </c>
      <c r="S54" s="106">
        <v>974.3</v>
      </c>
    </row>
    <row r="55" spans="2:29" x14ac:dyDescent="0.3">
      <c r="R55" s="541">
        <v>789.5</v>
      </c>
      <c r="S55" s="637">
        <v>799.4</v>
      </c>
      <c r="T55" s="541">
        <v>813.9154697797394</v>
      </c>
      <c r="U55" s="541">
        <v>828.69451081657985</v>
      </c>
      <c r="V55" s="541">
        <v>843.74190902572923</v>
      </c>
      <c r="W55" s="541">
        <v>859.06253722483177</v>
      </c>
      <c r="X55" s="541">
        <v>849.71099575502819</v>
      </c>
      <c r="Y55" s="541">
        <v>840.46125284362051</v>
      </c>
      <c r="Z55" s="541">
        <v>831.31220033677926</v>
      </c>
      <c r="AA55" s="541">
        <v>822.26274214376235</v>
      </c>
      <c r="AB55" s="541">
        <v>813.31179410559946</v>
      </c>
      <c r="AC55" s="541">
        <v>804.45828386520543</v>
      </c>
    </row>
    <row r="56" spans="2:29" x14ac:dyDescent="0.3">
      <c r="R56" s="541">
        <v>173.20000000000005</v>
      </c>
      <c r="S56" s="541">
        <v>174.89999999999998</v>
      </c>
      <c r="T56" s="541">
        <v>177.61219387370579</v>
      </c>
      <c r="U56" s="541">
        <v>180.36644604134281</v>
      </c>
      <c r="V56" s="541">
        <v>183.16340870558193</v>
      </c>
      <c r="W56" s="541">
        <v>186.00374418287385</v>
      </c>
      <c r="X56" s="541">
        <v>188.88812506028458</v>
      </c>
      <c r="Y56" s="541">
        <v>191.81723435476303</v>
      </c>
      <c r="Z56" s="541">
        <v>194.79176567487843</v>
      </c>
      <c r="AA56" s="541">
        <v>197.81242338506567</v>
      </c>
      <c r="AB56" s="541">
        <v>200.87992277241776</v>
      </c>
      <c r="AC56" s="541">
        <v>203.99499021606471</v>
      </c>
    </row>
    <row r="57" spans="2:29" x14ac:dyDescent="0.3">
      <c r="P57" s="440"/>
      <c r="Q57" s="440"/>
      <c r="R57" s="549">
        <v>9.3240093240094524E-3</v>
      </c>
      <c r="S57" s="549">
        <v>9.8152424942259398E-3</v>
      </c>
      <c r="T57" s="440"/>
      <c r="U57" s="440"/>
      <c r="V57" s="440"/>
      <c r="W57" s="440"/>
      <c r="X57" s="440"/>
      <c r="Y57" s="440"/>
      <c r="Z57" s="440"/>
      <c r="AA57" s="440"/>
      <c r="AB57" s="440"/>
      <c r="AC57" s="440"/>
    </row>
    <row r="58" spans="2:29" x14ac:dyDescent="0.3">
      <c r="B58" s="180" t="s">
        <v>400</v>
      </c>
      <c r="D58" s="479"/>
      <c r="E58" s="479"/>
      <c r="F58" s="479"/>
      <c r="G58" s="479"/>
      <c r="H58" s="479"/>
      <c r="I58" s="479"/>
      <c r="J58" s="479"/>
      <c r="K58" s="479"/>
      <c r="L58" s="479"/>
      <c r="M58" s="479"/>
      <c r="N58" s="479"/>
      <c r="O58" s="479"/>
      <c r="P58" s="479"/>
      <c r="Q58" s="479"/>
      <c r="R58" s="479"/>
      <c r="S58" s="479"/>
      <c r="T58" s="479"/>
      <c r="U58" s="479"/>
      <c r="V58" s="479"/>
      <c r="W58" s="479"/>
      <c r="X58" s="479"/>
      <c r="Y58" s="479"/>
      <c r="Z58" s="479"/>
      <c r="AA58" s="479"/>
      <c r="AB58" s="479"/>
      <c r="AC58" s="479"/>
    </row>
    <row r="59" spans="2:29" ht="45.75" customHeight="1" x14ac:dyDescent="0.3">
      <c r="B59" s="1194" t="s">
        <v>539</v>
      </c>
      <c r="C59" s="1194"/>
      <c r="D59" s="1194"/>
      <c r="E59" s="1194"/>
      <c r="F59" s="1194"/>
      <c r="G59" s="1194"/>
      <c r="H59" s="1194"/>
      <c r="I59" s="1194"/>
      <c r="J59" s="1194"/>
      <c r="K59" s="1194"/>
      <c r="L59" s="1194"/>
      <c r="M59" s="1194"/>
      <c r="N59" s="1194"/>
      <c r="O59" s="1194"/>
      <c r="P59" s="1194"/>
      <c r="Q59" s="1194"/>
      <c r="R59" s="1194"/>
      <c r="S59" s="1194"/>
      <c r="T59" s="1194"/>
      <c r="U59" s="1194"/>
      <c r="V59" s="1194"/>
      <c r="W59" s="1194"/>
      <c r="X59" s="1194"/>
      <c r="Y59" s="1194"/>
      <c r="Z59" s="1194"/>
      <c r="AA59" s="1194"/>
      <c r="AB59" s="1194"/>
      <c r="AC59" s="1194"/>
    </row>
    <row r="60" spans="2:29" ht="14.7" customHeight="1" x14ac:dyDescent="0.3">
      <c r="B60" s="1124" t="s">
        <v>540</v>
      </c>
      <c r="C60" s="1125"/>
      <c r="D60" s="1104" t="s">
        <v>325</v>
      </c>
      <c r="E60" s="1105"/>
      <c r="F60" s="1105"/>
      <c r="G60" s="1105"/>
      <c r="H60" s="1105"/>
      <c r="I60" s="1105"/>
      <c r="J60" s="1105"/>
      <c r="K60" s="1105"/>
      <c r="L60" s="1105"/>
      <c r="M60" s="1105"/>
      <c r="N60" s="1105"/>
      <c r="O60" s="1105"/>
      <c r="P60" s="1105"/>
      <c r="Q60" s="1105"/>
      <c r="R60" s="1105"/>
      <c r="S60" s="1105"/>
      <c r="T60" s="1132" t="s">
        <v>326</v>
      </c>
      <c r="U60" s="1132"/>
      <c r="V60" s="1132"/>
      <c r="W60" s="1132"/>
      <c r="X60" s="1132"/>
      <c r="Y60" s="1132"/>
      <c r="Z60" s="1132"/>
      <c r="AA60" s="1132"/>
      <c r="AB60" s="1132"/>
      <c r="AC60" s="1133"/>
    </row>
    <row r="61" spans="2:29" x14ac:dyDescent="0.3">
      <c r="B61" s="1124"/>
      <c r="C61" s="1125"/>
      <c r="D61" s="142">
        <v>2018</v>
      </c>
      <c r="E61" s="1095">
        <v>2019</v>
      </c>
      <c r="F61" s="1096"/>
      <c r="G61" s="1096"/>
      <c r="H61" s="1103"/>
      <c r="I61" s="1095">
        <v>2020</v>
      </c>
      <c r="J61" s="1096"/>
      <c r="K61" s="1096"/>
      <c r="L61" s="1096"/>
      <c r="M61" s="1095">
        <v>2021</v>
      </c>
      <c r="N61" s="1096"/>
      <c r="O61" s="1096"/>
      <c r="P61" s="1096"/>
      <c r="Q61" s="1129">
        <v>2022</v>
      </c>
      <c r="R61" s="1130"/>
      <c r="S61" s="253"/>
      <c r="T61" s="288"/>
      <c r="U61" s="1126">
        <v>2023</v>
      </c>
      <c r="V61" s="1127"/>
      <c r="W61" s="1127"/>
      <c r="X61" s="1127"/>
      <c r="Y61" s="1126">
        <v>2024</v>
      </c>
      <c r="Z61" s="1127"/>
      <c r="AA61" s="1127"/>
      <c r="AB61" s="1128"/>
      <c r="AC61" s="259">
        <v>2025</v>
      </c>
    </row>
    <row r="62" spans="2:29" x14ac:dyDescent="0.3">
      <c r="B62" s="1135"/>
      <c r="C62" s="1136"/>
      <c r="D62" s="153" t="s">
        <v>327</v>
      </c>
      <c r="E62" s="153" t="s">
        <v>328</v>
      </c>
      <c r="F62" s="152" t="s">
        <v>329</v>
      </c>
      <c r="G62" s="152" t="s">
        <v>238</v>
      </c>
      <c r="H62" s="204" t="s">
        <v>327</v>
      </c>
      <c r="I62" s="152" t="s">
        <v>328</v>
      </c>
      <c r="J62" s="152" t="s">
        <v>329</v>
      </c>
      <c r="K62" s="152" t="s">
        <v>238</v>
      </c>
      <c r="L62" s="152" t="s">
        <v>327</v>
      </c>
      <c r="M62" s="153" t="s">
        <v>328</v>
      </c>
      <c r="N62" s="152" t="s">
        <v>329</v>
      </c>
      <c r="O62" s="152" t="s">
        <v>238</v>
      </c>
      <c r="P62" s="152" t="s">
        <v>327</v>
      </c>
      <c r="Q62" s="174" t="s">
        <v>328</v>
      </c>
      <c r="R62" s="176" t="s">
        <v>329</v>
      </c>
      <c r="S62" s="156" t="s">
        <v>238</v>
      </c>
      <c r="T62" s="369" t="s">
        <v>327</v>
      </c>
      <c r="U62" s="356" t="s">
        <v>328</v>
      </c>
      <c r="V62" s="357" t="s">
        <v>329</v>
      </c>
      <c r="W62" s="357" t="s">
        <v>238</v>
      </c>
      <c r="X62" s="357" t="s">
        <v>327</v>
      </c>
      <c r="Y62" s="356" t="s">
        <v>328</v>
      </c>
      <c r="Z62" s="250" t="s">
        <v>329</v>
      </c>
      <c r="AA62" s="357" t="s">
        <v>238</v>
      </c>
      <c r="AB62" s="369" t="s">
        <v>327</v>
      </c>
      <c r="AC62" s="384" t="s">
        <v>328</v>
      </c>
    </row>
    <row r="63" spans="2:29" x14ac:dyDescent="0.3">
      <c r="B63" s="178" t="s">
        <v>1542</v>
      </c>
      <c r="D63" s="287"/>
      <c r="E63" s="283"/>
      <c r="F63" s="283"/>
      <c r="G63" s="283"/>
      <c r="H63" s="283"/>
      <c r="I63" s="550">
        <f>(I64-AVERAGE($E64:$H64))</f>
        <v>5.0234999999999914</v>
      </c>
      <c r="J63" s="550">
        <f t="shared" ref="J63:N63" si="13">(J64-AVERAGE($E64:$H64))</f>
        <v>45.406499999999987</v>
      </c>
      <c r="K63" s="550">
        <f t="shared" si="13"/>
        <v>50.178499999999993</v>
      </c>
      <c r="L63" s="550">
        <f t="shared" si="13"/>
        <v>60.014499999999991</v>
      </c>
      <c r="M63" s="550">
        <f t="shared" si="13"/>
        <v>86.04249999999999</v>
      </c>
      <c r="N63" s="550">
        <f t="shared" si="13"/>
        <v>100.69149999999999</v>
      </c>
      <c r="O63" s="550">
        <f>(O64-AVERAGE($E64:$H64))</f>
        <v>95.460499999999996</v>
      </c>
      <c r="P63" s="550">
        <f>(P64-AVERAGE($E64:$H64))</f>
        <v>100.72550000000001</v>
      </c>
      <c r="Q63" s="479">
        <f>(Q64-AVERAGE($E64:$H64))</f>
        <v>80.643499999999989</v>
      </c>
      <c r="R63" s="479">
        <f>(R64-AVERAGE($E64:$H64))</f>
        <v>63.702499999999993</v>
      </c>
      <c r="S63" s="423">
        <f>(S64-AVERAGE($E64:$H64))</f>
        <v>58.451499999999989</v>
      </c>
      <c r="T63" s="666">
        <f>S63*1.125</f>
        <v>65.757937499999983</v>
      </c>
      <c r="U63" s="666">
        <f t="shared" ref="U63" si="14">T63*0.95</f>
        <v>62.470040624999982</v>
      </c>
      <c r="V63" s="666">
        <f>U63</f>
        <v>62.470040624999982</v>
      </c>
      <c r="W63" s="666">
        <f t="shared" ref="W63:AC63" si="15">V63</f>
        <v>62.470040624999982</v>
      </c>
      <c r="X63" s="666">
        <f t="shared" si="15"/>
        <v>62.470040624999982</v>
      </c>
      <c r="Y63" s="666">
        <f t="shared" si="15"/>
        <v>62.470040624999982</v>
      </c>
      <c r="Z63" s="666">
        <f t="shared" si="15"/>
        <v>62.470040624999982</v>
      </c>
      <c r="AA63" s="666">
        <f t="shared" si="15"/>
        <v>62.470040624999982</v>
      </c>
      <c r="AB63" s="666">
        <f t="shared" si="15"/>
        <v>62.470040624999982</v>
      </c>
      <c r="AC63" s="666">
        <f t="shared" si="15"/>
        <v>62.470040624999982</v>
      </c>
    </row>
    <row r="64" spans="2:29" x14ac:dyDescent="0.3">
      <c r="B64" s="178" t="s">
        <v>160</v>
      </c>
      <c r="C64" s="155" t="s">
        <v>541</v>
      </c>
      <c r="D64" s="284">
        <f>'Haver Pivoted'!GO66</f>
        <v>57.347000000000001</v>
      </c>
      <c r="E64" s="139">
        <f>'Haver Pivoted'!GP66</f>
        <v>56.009</v>
      </c>
      <c r="F64" s="139">
        <f>'Haver Pivoted'!GQ66</f>
        <v>54.273000000000003</v>
      </c>
      <c r="G64" s="139">
        <f>'Haver Pivoted'!GR66</f>
        <v>54.103999999999999</v>
      </c>
      <c r="H64" s="139">
        <f>'Haver Pivoted'!GS66</f>
        <v>54.46</v>
      </c>
      <c r="I64" s="139">
        <f>'Haver Pivoted'!GT66</f>
        <v>59.734999999999999</v>
      </c>
      <c r="J64" s="139">
        <f>'Haver Pivoted'!GU66</f>
        <v>100.11799999999999</v>
      </c>
      <c r="K64" s="139">
        <f>'Haver Pivoted'!GV66</f>
        <v>104.89</v>
      </c>
      <c r="L64" s="139">
        <f>'Haver Pivoted'!GW66</f>
        <v>114.726</v>
      </c>
      <c r="M64" s="139">
        <f>'Haver Pivoted'!GX66</f>
        <v>140.75399999999999</v>
      </c>
      <c r="N64" s="139">
        <f>'Haver Pivoted'!GY66</f>
        <v>155.40299999999999</v>
      </c>
      <c r="O64" s="139">
        <f>'Haver Pivoted'!GZ66</f>
        <v>150.172</v>
      </c>
      <c r="P64" s="139">
        <f>'Haver Pivoted'!HA66</f>
        <v>155.43700000000001</v>
      </c>
      <c r="Q64" s="139">
        <f>'Haver Pivoted'!HB66</f>
        <v>135.35499999999999</v>
      </c>
      <c r="R64" s="139">
        <f>'Haver Pivoted'!HC66</f>
        <v>118.414</v>
      </c>
      <c r="S64" s="204">
        <f>'Haver Pivoted'!HD66</f>
        <v>113.163</v>
      </c>
      <c r="T64" s="357"/>
      <c r="U64" s="357"/>
      <c r="V64" s="357"/>
      <c r="W64" s="357"/>
      <c r="X64" s="357"/>
      <c r="Y64" s="357"/>
      <c r="Z64" s="357"/>
      <c r="AA64" s="357"/>
      <c r="AB64" s="357"/>
      <c r="AC64" s="369"/>
    </row>
    <row r="65" spans="2:29" ht="28.95" customHeight="1" x14ac:dyDescent="0.3">
      <c r="B65" s="149" t="s">
        <v>542</v>
      </c>
      <c r="C65" s="265"/>
      <c r="D65" s="285"/>
      <c r="E65" s="157"/>
      <c r="F65" s="157"/>
      <c r="G65" s="157"/>
      <c r="H65" s="157"/>
      <c r="I65" s="157"/>
      <c r="J65" s="157">
        <f t="shared" ref="J65:S65" si="16">J64-$H64</f>
        <v>45.657999999999994</v>
      </c>
      <c r="K65" s="157">
        <f t="shared" si="16"/>
        <v>50.43</v>
      </c>
      <c r="L65" s="157">
        <f t="shared" si="16"/>
        <v>60.265999999999998</v>
      </c>
      <c r="M65" s="157">
        <f t="shared" si="16"/>
        <v>86.293999999999983</v>
      </c>
      <c r="N65" s="157">
        <f>N64-$H64</f>
        <v>100.94299999999998</v>
      </c>
      <c r="O65" s="157">
        <f>O64-$H64</f>
        <v>95.711999999999989</v>
      </c>
      <c r="P65" s="157">
        <f t="shared" si="16"/>
        <v>100.977</v>
      </c>
      <c r="Q65" s="157">
        <f t="shared" si="16"/>
        <v>80.894999999999982</v>
      </c>
      <c r="R65" s="157">
        <f t="shared" si="16"/>
        <v>63.954000000000001</v>
      </c>
      <c r="S65" s="156">
        <f t="shared" si="16"/>
        <v>58.702999999999996</v>
      </c>
      <c r="T65" s="275"/>
      <c r="U65" s="275"/>
      <c r="V65" s="275"/>
      <c r="W65" s="275"/>
      <c r="X65" s="275"/>
      <c r="Y65" s="275"/>
      <c r="Z65" s="275"/>
      <c r="AA65" s="275"/>
      <c r="AB65" s="275"/>
      <c r="AC65" s="276"/>
    </row>
    <row r="66" spans="2:29" ht="28.95" customHeight="1" x14ac:dyDescent="0.3">
      <c r="B66" s="155"/>
      <c r="C66" s="155"/>
      <c r="D66" s="139"/>
      <c r="E66" s="139"/>
      <c r="F66" s="139"/>
      <c r="G66" s="139"/>
      <c r="H66" s="139"/>
      <c r="I66" s="139"/>
      <c r="J66" s="139"/>
      <c r="K66" s="139"/>
      <c r="L66" s="139"/>
      <c r="M66" s="139"/>
      <c r="N66" s="139"/>
      <c r="O66" s="139"/>
      <c r="P66" s="139"/>
      <c r="Q66" s="139"/>
      <c r="R66" s="139"/>
      <c r="S66" s="139"/>
      <c r="T66" s="139"/>
      <c r="U66" s="139"/>
      <c r="V66" s="139"/>
      <c r="W66" s="139"/>
      <c r="X66" s="139"/>
      <c r="Y66" s="139"/>
      <c r="Z66" s="139"/>
      <c r="AA66" s="139"/>
      <c r="AB66" s="139"/>
      <c r="AC66" s="139"/>
    </row>
    <row r="67" spans="2:29" ht="28.95" customHeight="1" x14ac:dyDescent="0.3">
      <c r="B67" s="155"/>
      <c r="C67" s="155"/>
      <c r="D67" s="139"/>
      <c r="E67" s="139"/>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139"/>
    </row>
    <row r="68" spans="2:29" ht="28.95" customHeight="1" x14ac:dyDescent="0.3">
      <c r="B68" s="155"/>
      <c r="C68" s="155"/>
      <c r="D68" s="139"/>
      <c r="E68" s="139"/>
      <c r="F68" s="139"/>
      <c r="G68" s="139"/>
      <c r="H68" s="139"/>
      <c r="I68" s="139"/>
      <c r="J68" s="139"/>
      <c r="K68" s="139"/>
      <c r="L68" s="139"/>
      <c r="M68" s="139"/>
      <c r="N68" s="139"/>
      <c r="O68" s="139"/>
      <c r="P68" s="139"/>
      <c r="Q68" s="139"/>
      <c r="R68" s="139"/>
      <c r="S68" s="139"/>
      <c r="T68" s="139"/>
      <c r="U68" s="139"/>
      <c r="V68" s="139"/>
      <c r="W68" s="139"/>
      <c r="X68" s="139"/>
      <c r="Y68" s="139"/>
      <c r="Z68" s="139"/>
      <c r="AA68" s="139"/>
      <c r="AB68" s="139"/>
      <c r="AC68" s="139"/>
    </row>
    <row r="69" spans="2:29" ht="35.700000000000003" customHeight="1" x14ac:dyDescent="0.3"/>
    <row r="70" spans="2:29" x14ac:dyDescent="0.3">
      <c r="B70" s="180" t="s">
        <v>413</v>
      </c>
    </row>
    <row r="71" spans="2:29" x14ac:dyDescent="0.3">
      <c r="B71" s="1097" t="s">
        <v>872</v>
      </c>
      <c r="C71" s="1098"/>
      <c r="D71" s="1104" t="s">
        <v>325</v>
      </c>
      <c r="E71" s="1105"/>
      <c r="F71" s="1105"/>
      <c r="G71" s="1105"/>
      <c r="H71" s="1105"/>
      <c r="I71" s="1105"/>
      <c r="J71" s="1105"/>
      <c r="K71" s="1105"/>
      <c r="L71" s="1105"/>
      <c r="M71" s="1105"/>
      <c r="N71" s="1105"/>
      <c r="O71" s="1105"/>
      <c r="P71" s="1105"/>
      <c r="Q71" s="1105"/>
      <c r="R71" s="1105"/>
      <c r="S71" s="1105"/>
      <c r="T71" s="1132" t="s">
        <v>326</v>
      </c>
      <c r="U71" s="1132"/>
      <c r="V71" s="1132"/>
      <c r="W71" s="1132"/>
      <c r="X71" s="1132"/>
      <c r="Y71" s="1132"/>
      <c r="Z71" s="1132"/>
      <c r="AA71" s="1132"/>
      <c r="AB71" s="1132"/>
      <c r="AC71" s="1133"/>
    </row>
    <row r="72" spans="2:29" x14ac:dyDescent="0.3">
      <c r="B72" s="1099"/>
      <c r="C72" s="1100"/>
      <c r="D72" s="142">
        <v>2018</v>
      </c>
      <c r="E72" s="1095">
        <v>2019</v>
      </c>
      <c r="F72" s="1096"/>
      <c r="G72" s="1096"/>
      <c r="H72" s="1103"/>
      <c r="I72" s="1095">
        <v>2020</v>
      </c>
      <c r="J72" s="1096"/>
      <c r="K72" s="1096"/>
      <c r="L72" s="1096"/>
      <c r="M72" s="1095">
        <v>2021</v>
      </c>
      <c r="N72" s="1096"/>
      <c r="O72" s="1096"/>
      <c r="P72" s="1096"/>
      <c r="Q72" s="1129">
        <v>2022</v>
      </c>
      <c r="R72" s="1130"/>
      <c r="S72" s="253"/>
      <c r="T72" s="288"/>
      <c r="U72" s="1126">
        <v>2023</v>
      </c>
      <c r="V72" s="1127"/>
      <c r="W72" s="1127"/>
      <c r="X72" s="1127"/>
      <c r="Y72" s="1126">
        <v>2024</v>
      </c>
      <c r="Z72" s="1127"/>
      <c r="AA72" s="1127"/>
      <c r="AB72" s="1128"/>
      <c r="AC72" s="259">
        <v>2025</v>
      </c>
    </row>
    <row r="73" spans="2:29" x14ac:dyDescent="0.3">
      <c r="B73" s="1099"/>
      <c r="C73" s="1100"/>
      <c r="D73" s="153" t="s">
        <v>327</v>
      </c>
      <c r="E73" s="153" t="s">
        <v>328</v>
      </c>
      <c r="F73" s="152" t="s">
        <v>329</v>
      </c>
      <c r="G73" s="152" t="s">
        <v>238</v>
      </c>
      <c r="H73" s="204" t="s">
        <v>327</v>
      </c>
      <c r="I73" s="152" t="s">
        <v>328</v>
      </c>
      <c r="J73" s="152" t="s">
        <v>329</v>
      </c>
      <c r="K73" s="152" t="s">
        <v>238</v>
      </c>
      <c r="L73" s="152" t="s">
        <v>327</v>
      </c>
      <c r="M73" s="153" t="s">
        <v>328</v>
      </c>
      <c r="N73" s="152" t="s">
        <v>329</v>
      </c>
      <c r="O73" s="152" t="s">
        <v>238</v>
      </c>
      <c r="P73" s="152" t="s">
        <v>327</v>
      </c>
      <c r="Q73" s="174" t="s">
        <v>328</v>
      </c>
      <c r="R73" s="176" t="s">
        <v>329</v>
      </c>
      <c r="S73" s="156" t="s">
        <v>238</v>
      </c>
      <c r="T73" s="369" t="s">
        <v>327</v>
      </c>
      <c r="U73" s="356" t="s">
        <v>328</v>
      </c>
      <c r="V73" s="357" t="s">
        <v>329</v>
      </c>
      <c r="W73" s="357" t="s">
        <v>238</v>
      </c>
      <c r="X73" s="357" t="s">
        <v>327</v>
      </c>
      <c r="Y73" s="356" t="s">
        <v>328</v>
      </c>
      <c r="Z73" s="250" t="s">
        <v>329</v>
      </c>
      <c r="AA73" s="357" t="s">
        <v>238</v>
      </c>
      <c r="AB73" s="369" t="s">
        <v>327</v>
      </c>
      <c r="AC73" s="384" t="s">
        <v>328</v>
      </c>
    </row>
    <row r="74" spans="2:29" x14ac:dyDescent="0.3">
      <c r="B74" s="544" t="s">
        <v>528</v>
      </c>
      <c r="C74" s="439" t="s">
        <v>529</v>
      </c>
      <c r="D74" s="572">
        <f>'Haver Pivoted'!GO31</f>
        <v>2224.3000000000002</v>
      </c>
      <c r="E74" s="550">
        <f>'Haver Pivoted'!GP31</f>
        <v>2303.4</v>
      </c>
      <c r="F74" s="550">
        <f>'Haver Pivoted'!GQ31</f>
        <v>2319.4</v>
      </c>
      <c r="G74" s="550">
        <f>'Haver Pivoted'!GR31</f>
        <v>2333.8000000000002</v>
      </c>
      <c r="H74" s="550">
        <f>'Haver Pivoted'!GS31</f>
        <v>2346.4</v>
      </c>
      <c r="I74" s="550">
        <f>'Haver Pivoted'!GT31</f>
        <v>2407.5</v>
      </c>
      <c r="J74" s="550">
        <f>'Haver Pivoted'!GU31</f>
        <v>4698.7</v>
      </c>
      <c r="K74" s="550">
        <f>'Haver Pivoted'!GV31</f>
        <v>3492.4</v>
      </c>
      <c r="L74" s="550">
        <f>'Haver Pivoted'!GW31</f>
        <v>2881.6</v>
      </c>
      <c r="M74" s="550">
        <f>'Haver Pivoted'!GX31</f>
        <v>5094.8</v>
      </c>
      <c r="N74" s="550">
        <f>'Haver Pivoted'!GY31</f>
        <v>3395.6</v>
      </c>
      <c r="O74" s="550">
        <f>'Haver Pivoted'!GZ31</f>
        <v>3146.3</v>
      </c>
      <c r="P74" s="550">
        <f>'Haver Pivoted'!HA31</f>
        <v>2937.4</v>
      </c>
      <c r="Q74" s="479">
        <f>'Haver Pivoted'!HB31</f>
        <v>2863</v>
      </c>
      <c r="R74" s="479">
        <f>'Haver Pivoted'!HC31</f>
        <v>2846.5</v>
      </c>
      <c r="S74" s="423">
        <f>'Haver Pivoted'!HD31</f>
        <v>2841.4</v>
      </c>
      <c r="T74" s="665"/>
      <c r="U74" s="665"/>
      <c r="V74" s="665"/>
      <c r="W74" s="665"/>
      <c r="X74" s="665"/>
      <c r="Y74" s="665"/>
      <c r="Z74" s="665"/>
      <c r="AA74" s="665"/>
      <c r="AB74" s="665"/>
      <c r="AC74" s="288"/>
    </row>
    <row r="75" spans="2:29" ht="27.6" customHeight="1" x14ac:dyDescent="0.3">
      <c r="B75" s="186" t="s">
        <v>868</v>
      </c>
      <c r="C75" s="155"/>
      <c r="D75" s="605">
        <f t="shared" ref="D75:S75" si="17">SUM(D14:D22)</f>
        <v>813.09999999999991</v>
      </c>
      <c r="E75" s="273">
        <f t="shared" si="17"/>
        <v>832</v>
      </c>
      <c r="F75" s="273">
        <f t="shared" si="17"/>
        <v>842.69999999999993</v>
      </c>
      <c r="G75" s="273">
        <f t="shared" si="17"/>
        <v>850.1</v>
      </c>
      <c r="H75" s="273">
        <f t="shared" si="17"/>
        <v>854</v>
      </c>
      <c r="I75" s="273">
        <f t="shared" si="17"/>
        <v>871.02350000000001</v>
      </c>
      <c r="J75" s="273">
        <f t="shared" si="17"/>
        <v>3187.1064999999999</v>
      </c>
      <c r="K75" s="273">
        <f t="shared" si="17"/>
        <v>1850.5785000000001</v>
      </c>
      <c r="L75" s="273">
        <f t="shared" si="17"/>
        <v>1300.1145000000001</v>
      </c>
      <c r="M75" s="273">
        <f t="shared" si="17"/>
        <v>3501.0425</v>
      </c>
      <c r="N75" s="273">
        <f t="shared" si="17"/>
        <v>1824.9133399999998</v>
      </c>
      <c r="O75" s="273">
        <f t="shared" si="17"/>
        <v>1573.4639933333328</v>
      </c>
      <c r="P75" s="273">
        <f t="shared" si="17"/>
        <v>1378.1348333333328</v>
      </c>
      <c r="Q75" s="273">
        <f t="shared" si="17"/>
        <v>1205.9195</v>
      </c>
      <c r="R75" s="273">
        <f t="shared" si="17"/>
        <v>1180.8785</v>
      </c>
      <c r="S75" s="640">
        <f t="shared" si="17"/>
        <v>1172.1274999999998</v>
      </c>
      <c r="T75" s="660"/>
      <c r="U75" s="660"/>
      <c r="V75" s="660"/>
      <c r="W75" s="660"/>
      <c r="X75" s="660"/>
      <c r="Y75" s="660"/>
      <c r="Z75" s="660"/>
      <c r="AA75" s="660"/>
      <c r="AB75" s="660"/>
      <c r="AC75" s="688"/>
    </row>
    <row r="76" spans="2:29" ht="27.6" customHeight="1" x14ac:dyDescent="0.3">
      <c r="B76" s="186" t="s">
        <v>869</v>
      </c>
      <c r="C76" s="155"/>
      <c r="D76" s="605">
        <f>D74-D75</f>
        <v>1411.2000000000003</v>
      </c>
      <c r="E76" s="273">
        <f t="shared" ref="E76:O76" si="18">E74-E75</f>
        <v>1471.4</v>
      </c>
      <c r="F76" s="273">
        <f t="shared" si="18"/>
        <v>1476.7000000000003</v>
      </c>
      <c r="G76" s="273">
        <f t="shared" si="18"/>
        <v>1483.7000000000003</v>
      </c>
      <c r="H76" s="273">
        <f t="shared" si="18"/>
        <v>1492.4</v>
      </c>
      <c r="I76" s="273">
        <f t="shared" si="18"/>
        <v>1536.4765</v>
      </c>
      <c r="J76" s="273">
        <f t="shared" si="18"/>
        <v>1511.5934999999999</v>
      </c>
      <c r="K76" s="273">
        <f t="shared" si="18"/>
        <v>1641.8215</v>
      </c>
      <c r="L76" s="273">
        <f t="shared" si="18"/>
        <v>1581.4854999999998</v>
      </c>
      <c r="M76" s="273">
        <f t="shared" si="18"/>
        <v>1593.7575000000002</v>
      </c>
      <c r="N76" s="273">
        <f t="shared" si="18"/>
        <v>1570.6866600000001</v>
      </c>
      <c r="O76" s="273">
        <f t="shared" si="18"/>
        <v>1572.8360066666673</v>
      </c>
      <c r="P76" s="273">
        <f>P74-P75</f>
        <v>1559.2651666666673</v>
      </c>
      <c r="Q76" s="273">
        <f>Q74-Q75</f>
        <v>1657.0805</v>
      </c>
      <c r="R76" s="273">
        <f>R74-R75</f>
        <v>1665.6215</v>
      </c>
      <c r="S76" s="640">
        <f>S74-S75</f>
        <v>1669.2725000000003</v>
      </c>
      <c r="T76" s="660"/>
      <c r="U76" s="660"/>
      <c r="V76" s="660"/>
      <c r="W76" s="660"/>
      <c r="X76" s="660"/>
      <c r="Y76" s="660"/>
      <c r="Z76" s="660"/>
      <c r="AA76" s="660"/>
      <c r="AB76" s="660"/>
      <c r="AC76" s="688"/>
    </row>
    <row r="77" spans="2:29" ht="24" customHeight="1" x14ac:dyDescent="0.3">
      <c r="B77" s="178" t="s">
        <v>870</v>
      </c>
      <c r="C77" s="155"/>
      <c r="D77" s="605">
        <f t="shared" ref="D77:I77" si="19">D12-D14-D15-D21</f>
        <v>1411.2</v>
      </c>
      <c r="E77" s="273">
        <f t="shared" si="19"/>
        <v>1471.4</v>
      </c>
      <c r="F77" s="273">
        <f t="shared" si="19"/>
        <v>1476.7</v>
      </c>
      <c r="G77" s="273">
        <f t="shared" si="19"/>
        <v>1483.7</v>
      </c>
      <c r="H77" s="273">
        <f t="shared" si="19"/>
        <v>1492.4000000000003</v>
      </c>
      <c r="I77" s="273">
        <f t="shared" si="19"/>
        <v>1541.5000000000002</v>
      </c>
      <c r="J77" s="650">
        <f>I77+($H$77-$E$77)/3</f>
        <v>1548.5000000000002</v>
      </c>
      <c r="K77" s="650">
        <f>J77+($H$77-$E$77)/3</f>
        <v>1555.5000000000002</v>
      </c>
      <c r="L77" s="650">
        <f>K77+($H$77-$E$77)/3</f>
        <v>1562.5000000000002</v>
      </c>
      <c r="M77" s="651">
        <f>L77+($H$77-$E$77)/3 +(M78-L78)</f>
        <v>1586.9430000000002</v>
      </c>
      <c r="N77" s="650">
        <f>M77+($H$77-$E$77)/3</f>
        <v>1593.9430000000002</v>
      </c>
      <c r="O77" s="650">
        <f>N77+($H$77-$E$77)/3</f>
        <v>1600.9430000000002</v>
      </c>
      <c r="P77" s="650">
        <f>O77+($H$77-$E$77)/3</f>
        <v>1607.9430000000002</v>
      </c>
      <c r="Q77" s="651">
        <f>P77+($H$77-$E$77)/3 + 0.06*Q78</f>
        <v>1686.8657200000002</v>
      </c>
      <c r="R77" s="650">
        <f>Q77+($H$77-$E$77)/3</f>
        <v>1693.8657200000002</v>
      </c>
      <c r="S77" s="690">
        <f>R77+($H$77-$E$77)/3</f>
        <v>1700.8657200000002</v>
      </c>
      <c r="T77" s="676">
        <f>S77+($H$77-$E$77)/3</f>
        <v>1707.8657200000002</v>
      </c>
      <c r="U77" s="677">
        <f>T77+($H$77-$E$77)/3+0.087*U78</f>
        <v>1821.9106940000001</v>
      </c>
      <c r="V77" s="676">
        <f>U77+($H$77-$E$77)/3</f>
        <v>1828.9106940000001</v>
      </c>
      <c r="W77" s="676">
        <f>V77+($H$77-$E$77)/3</f>
        <v>1835.9106940000001</v>
      </c>
      <c r="X77" s="676">
        <f>W77+($H$77-$E$77)/3</f>
        <v>1842.9106940000001</v>
      </c>
      <c r="Y77" s="677">
        <f>X77+($H$77-$E$77)/3 + 0.03*Y78</f>
        <v>1887.7827540000001</v>
      </c>
      <c r="Z77" s="676">
        <f>Y77+($H$77-$E$77)/3</f>
        <v>1894.7827540000001</v>
      </c>
      <c r="AA77" s="676">
        <f>Z77+($H$77-$E$77)/3</f>
        <v>1901.7827540000001</v>
      </c>
      <c r="AB77" s="676">
        <f>AA77+($H$77-$E$77)/3</f>
        <v>1908.7827540000001</v>
      </c>
      <c r="AC77" s="678">
        <f>AB77+($H$77-$E$77)/3 + 0.02*AC78</f>
        <v>1941.6707940000001</v>
      </c>
    </row>
    <row r="78" spans="2:29" x14ac:dyDescent="0.3">
      <c r="B78" s="178" t="s">
        <v>537</v>
      </c>
      <c r="C78" s="155" t="s">
        <v>538</v>
      </c>
      <c r="D78" s="178">
        <f>'Haver Pivoted'!GO88/1000</f>
        <v>983.88599999999997</v>
      </c>
      <c r="E78" s="155">
        <f>'Haver Pivoted'!GP88/1000</f>
        <v>1019.2089999999999</v>
      </c>
      <c r="F78" s="155">
        <f>'Haver Pivoted'!GQ88/1000</f>
        <v>1026.6220000000001</v>
      </c>
      <c r="G78" s="155">
        <f>'Haver Pivoted'!GR88/1000</f>
        <v>1034.357</v>
      </c>
      <c r="H78" s="155">
        <f>'Haver Pivoted'!GS88/1000</f>
        <v>1042.7819999999999</v>
      </c>
      <c r="I78" s="155">
        <f>'Haver Pivoted'!GT88/1000</f>
        <v>1068.2280000000001</v>
      </c>
      <c r="J78" s="155">
        <f>'Haver Pivoted'!GU88/1000</f>
        <v>1074.912</v>
      </c>
      <c r="K78" s="155">
        <f>'Haver Pivoted'!GV88/1000</f>
        <v>1080.3399999999999</v>
      </c>
      <c r="L78" s="155">
        <f>'Haver Pivoted'!GW88/1000</f>
        <v>1088.2329999999999</v>
      </c>
      <c r="M78" s="155">
        <f>'Haver Pivoted'!GX88/1000</f>
        <v>1105.6759999999999</v>
      </c>
      <c r="N78" s="155">
        <f>'Haver Pivoted'!GY88/1000</f>
        <v>1109.3710000000001</v>
      </c>
      <c r="O78" s="155">
        <f>'Haver Pivoted'!GZ88/1000</f>
        <v>1116.8150000000001</v>
      </c>
      <c r="P78" s="155">
        <f>'Haver Pivoted'!HA88/1000</f>
        <v>1126.539</v>
      </c>
      <c r="Q78" s="155">
        <f>'Haver Pivoted'!HB88/1000</f>
        <v>1198.712</v>
      </c>
      <c r="R78" s="155">
        <f>'Haver Pivoted'!HC88/1000</f>
        <v>1206.8920000000001</v>
      </c>
      <c r="S78" s="641">
        <f>'Haver Pivoted'!HD88/1000</f>
        <v>1214.402</v>
      </c>
      <c r="T78" s="660">
        <f t="shared" ref="T78:AC78" si="20">S78+8</f>
        <v>1222.402</v>
      </c>
      <c r="U78" s="660">
        <f t="shared" si="20"/>
        <v>1230.402</v>
      </c>
      <c r="V78" s="660">
        <f t="shared" si="20"/>
        <v>1238.402</v>
      </c>
      <c r="W78" s="660">
        <f t="shared" si="20"/>
        <v>1246.402</v>
      </c>
      <c r="X78" s="660">
        <f t="shared" si="20"/>
        <v>1254.402</v>
      </c>
      <c r="Y78" s="660">
        <f t="shared" si="20"/>
        <v>1262.402</v>
      </c>
      <c r="Z78" s="660">
        <f t="shared" si="20"/>
        <v>1270.402</v>
      </c>
      <c r="AA78" s="660">
        <f t="shared" si="20"/>
        <v>1278.402</v>
      </c>
      <c r="AB78" s="660">
        <f t="shared" si="20"/>
        <v>1286.402</v>
      </c>
      <c r="AC78" s="688">
        <f t="shared" si="20"/>
        <v>1294.402</v>
      </c>
    </row>
    <row r="79" spans="2:29" ht="69" customHeight="1" x14ac:dyDescent="0.3">
      <c r="B79" s="689" t="s">
        <v>1537</v>
      </c>
      <c r="C79" s="265"/>
      <c r="D79" s="681">
        <f>D76-D77</f>
        <v>0</v>
      </c>
      <c r="E79" s="679">
        <f t="shared" ref="E79:O79" si="21">E76-E77</f>
        <v>0</v>
      </c>
      <c r="F79" s="679">
        <f t="shared" si="21"/>
        <v>0</v>
      </c>
      <c r="G79" s="679">
        <f t="shared" si="21"/>
        <v>0</v>
      </c>
      <c r="H79" s="679">
        <f t="shared" si="21"/>
        <v>0</v>
      </c>
      <c r="I79" s="679">
        <f t="shared" si="21"/>
        <v>-5.0235000000002401</v>
      </c>
      <c r="J79" s="679">
        <f t="shared" si="21"/>
        <v>-36.906500000000278</v>
      </c>
      <c r="K79" s="679">
        <f t="shared" si="21"/>
        <v>86.321499999999787</v>
      </c>
      <c r="L79" s="679">
        <f t="shared" si="21"/>
        <v>18.985499999999547</v>
      </c>
      <c r="M79" s="679">
        <f t="shared" si="21"/>
        <v>6.8144999999999527</v>
      </c>
      <c r="N79" s="679">
        <f t="shared" si="21"/>
        <v>-23.256340000000137</v>
      </c>
      <c r="O79" s="679">
        <f t="shared" si="21"/>
        <v>-28.106993333332866</v>
      </c>
      <c r="P79" s="679">
        <f>P76-P77</f>
        <v>-48.677833333332956</v>
      </c>
      <c r="Q79" s="679">
        <f>Q76-Q77</f>
        <v>-29.785220000000209</v>
      </c>
      <c r="R79" s="679">
        <f>R76-R77</f>
        <v>-28.244220000000269</v>
      </c>
      <c r="S79" s="642">
        <f>S76-S77</f>
        <v>-31.593219999999974</v>
      </c>
      <c r="T79" s="680">
        <f>S79</f>
        <v>-31.593219999999974</v>
      </c>
      <c r="U79" s="680">
        <f t="shared" ref="U79:AC79" si="22">T79</f>
        <v>-31.593219999999974</v>
      </c>
      <c r="V79" s="680">
        <f t="shared" si="22"/>
        <v>-31.593219999999974</v>
      </c>
      <c r="W79" s="680">
        <f t="shared" si="22"/>
        <v>-31.593219999999974</v>
      </c>
      <c r="X79" s="680">
        <f t="shared" si="22"/>
        <v>-31.593219999999974</v>
      </c>
      <c r="Y79" s="680">
        <f t="shared" si="22"/>
        <v>-31.593219999999974</v>
      </c>
      <c r="Z79" s="680">
        <f t="shared" si="22"/>
        <v>-31.593219999999974</v>
      </c>
      <c r="AA79" s="680">
        <f t="shared" si="22"/>
        <v>-31.593219999999974</v>
      </c>
      <c r="AB79" s="680">
        <f t="shared" si="22"/>
        <v>-31.593219999999974</v>
      </c>
      <c r="AC79" s="680">
        <f t="shared" si="22"/>
        <v>-31.593219999999974</v>
      </c>
    </row>
    <row r="80" spans="2:29" x14ac:dyDescent="0.3">
      <c r="B80" s="50" t="s">
        <v>1536</v>
      </c>
      <c r="D80" s="155"/>
      <c r="E80" s="155"/>
      <c r="F80" s="155"/>
      <c r="G80" s="155"/>
      <c r="H80" s="155"/>
      <c r="I80" s="155"/>
      <c r="J80" s="155"/>
      <c r="K80" s="155"/>
      <c r="L80" s="155"/>
      <c r="M80" s="273"/>
      <c r="N80" s="273"/>
      <c r="O80" s="273"/>
      <c r="P80" s="155"/>
    </row>
    <row r="81" spans="2:18" x14ac:dyDescent="0.3">
      <c r="B81" s="544" t="s">
        <v>876</v>
      </c>
      <c r="C81" s="671"/>
      <c r="D81" s="683">
        <v>2021</v>
      </c>
      <c r="E81" s="683">
        <v>2022</v>
      </c>
      <c r="F81" s="683">
        <v>2023</v>
      </c>
      <c r="G81" s="684">
        <v>2024</v>
      </c>
      <c r="R81" s="541"/>
    </row>
    <row r="82" spans="2:18" x14ac:dyDescent="0.3">
      <c r="B82" s="682" t="s">
        <v>877</v>
      </c>
      <c r="C82" s="693"/>
      <c r="D82" s="668">
        <v>3605.8330000000001</v>
      </c>
      <c r="E82" s="668">
        <v>2900</v>
      </c>
      <c r="F82" s="668">
        <f>E82*1.02</f>
        <v>2958</v>
      </c>
      <c r="G82" s="669">
        <f>F82*1.06</f>
        <v>3135.48</v>
      </c>
    </row>
    <row r="83" spans="2:18" x14ac:dyDescent="0.3">
      <c r="B83" s="682" t="s">
        <v>880</v>
      </c>
      <c r="C83" s="670"/>
      <c r="D83" s="196">
        <f>AVERAGE(Medicare!L10:O10)</f>
        <v>865</v>
      </c>
      <c r="E83" s="196">
        <f>AVERAGE(Medicare!P10:S10)</f>
        <v>910.02500000000009</v>
      </c>
      <c r="F83" s="196">
        <f>AVERAGE(Medicare!T10:W10)</f>
        <v>977.57029256096143</v>
      </c>
      <c r="G83" s="691">
        <f>AVERAGE(Medicare!X10:AA10)</f>
        <v>1075.6065602240183</v>
      </c>
    </row>
    <row r="84" spans="2:18" ht="13.2" customHeight="1" x14ac:dyDescent="0.3">
      <c r="B84" s="682" t="s">
        <v>878</v>
      </c>
      <c r="C84" s="670"/>
      <c r="D84" s="196">
        <f>D82-D83</f>
        <v>2740.8330000000001</v>
      </c>
      <c r="E84" s="196">
        <f t="shared" ref="E84:G84" si="23">E82-E83</f>
        <v>1989.9749999999999</v>
      </c>
      <c r="F84" s="196">
        <f t="shared" si="23"/>
        <v>1980.4297074390386</v>
      </c>
      <c r="G84" s="691">
        <f t="shared" si="23"/>
        <v>2059.8734397759818</v>
      </c>
    </row>
    <row r="85" spans="2:18" x14ac:dyDescent="0.3">
      <c r="B85" s="682" t="s">
        <v>881</v>
      </c>
      <c r="C85" s="670"/>
      <c r="D85" s="196">
        <f>AVERAGE(L12:O12)</f>
        <v>3629.5749999999998</v>
      </c>
      <c r="E85" s="196">
        <f>AVERAGE(P12:S12)</f>
        <v>2872.0749999999998</v>
      </c>
      <c r="F85" s="196">
        <f>AVERAGE(T12:W12)</f>
        <v>2888.4276220168613</v>
      </c>
      <c r="G85" s="691">
        <f>AVERAGE(X12:AA12)</f>
        <v>3047.1337927462146</v>
      </c>
    </row>
    <row r="86" spans="2:18" x14ac:dyDescent="0.3">
      <c r="B86" s="682" t="s">
        <v>880</v>
      </c>
      <c r="C86" s="670"/>
      <c r="D86" s="196">
        <f>AVERAGE(Medicare!L10:O10)</f>
        <v>865</v>
      </c>
      <c r="E86" s="196">
        <f>AVERAGE(Medicare!P10:S10)</f>
        <v>910.02500000000009</v>
      </c>
      <c r="F86" s="196">
        <f>AVERAGE(Medicare!T10:W10)</f>
        <v>977.57029256096143</v>
      </c>
      <c r="G86" s="691">
        <f>AVERAGE(Medicare!X10:AA10)</f>
        <v>1075.6065602240183</v>
      </c>
    </row>
    <row r="87" spans="2:18" x14ac:dyDescent="0.3">
      <c r="B87" s="682" t="s">
        <v>599</v>
      </c>
      <c r="C87" s="670"/>
      <c r="D87" s="196">
        <f>AVERAGE(L25:O25)</f>
        <v>1586.0822500000002</v>
      </c>
      <c r="E87" s="196">
        <f>AVERAGE(P25:S25)</f>
        <v>1672.3850400000001</v>
      </c>
      <c r="F87" s="196">
        <f>AVERAGE(T25:W25)</f>
        <v>1798.6494505000001</v>
      </c>
      <c r="G87" s="691">
        <f>AVERAGE(X25:AA25)</f>
        <v>1881.8147389999999</v>
      </c>
    </row>
    <row r="88" spans="2:18" ht="27.6" customHeight="1" x14ac:dyDescent="0.3">
      <c r="B88" s="672" t="s">
        <v>879</v>
      </c>
      <c r="C88" s="149"/>
      <c r="D88" s="594"/>
      <c r="E88" s="685">
        <v>1.157</v>
      </c>
      <c r="F88" s="685">
        <v>1.0109999999999999</v>
      </c>
      <c r="G88" s="692">
        <v>1.0529999999999999</v>
      </c>
    </row>
    <row r="89" spans="2:18" x14ac:dyDescent="0.3">
      <c r="B89" s="155" t="s">
        <v>882</v>
      </c>
      <c r="D89" s="686">
        <f>D85-D82</f>
        <v>23.741999999999734</v>
      </c>
      <c r="E89" s="686">
        <f>E85-E82</f>
        <v>-27.925000000000182</v>
      </c>
      <c r="F89" s="686">
        <f>F85-F82</f>
        <v>-69.572377983138722</v>
      </c>
      <c r="G89" s="686">
        <f t="shared" ref="G89" si="24">G85-G82</f>
        <v>-88.346207253785451</v>
      </c>
    </row>
    <row r="91" spans="2:18" x14ac:dyDescent="0.3">
      <c r="B91" t="s">
        <v>877</v>
      </c>
      <c r="D91">
        <v>3605.8330000000001</v>
      </c>
      <c r="E91">
        <v>2832.5949999999998</v>
      </c>
      <c r="F91">
        <v>2833.72</v>
      </c>
      <c r="G91">
        <v>2976.7339999999999</v>
      </c>
    </row>
  </sheetData>
  <mergeCells count="32">
    <mergeCell ref="B1:AC1"/>
    <mergeCell ref="B2:AC6"/>
    <mergeCell ref="B8:C10"/>
    <mergeCell ref="E9:H9"/>
    <mergeCell ref="I9:L9"/>
    <mergeCell ref="U9:X9"/>
    <mergeCell ref="Y9:AB9"/>
    <mergeCell ref="M9:P9"/>
    <mergeCell ref="Q9:R9"/>
    <mergeCell ref="T8:AC8"/>
    <mergeCell ref="D8:S8"/>
    <mergeCell ref="Y72:AB72"/>
    <mergeCell ref="T71:AC71"/>
    <mergeCell ref="D71:S71"/>
    <mergeCell ref="B11:C11"/>
    <mergeCell ref="B59:AC59"/>
    <mergeCell ref="B60:C62"/>
    <mergeCell ref="E61:H61"/>
    <mergeCell ref="I61:L61"/>
    <mergeCell ref="B29:C29"/>
    <mergeCell ref="U61:X61"/>
    <mergeCell ref="Y61:AB61"/>
    <mergeCell ref="T60:AC60"/>
    <mergeCell ref="D60:S60"/>
    <mergeCell ref="B71:C73"/>
    <mergeCell ref="E72:H72"/>
    <mergeCell ref="I72:L72"/>
    <mergeCell ref="U72:X72"/>
    <mergeCell ref="M61:P61"/>
    <mergeCell ref="Q61:R61"/>
    <mergeCell ref="Q72:R72"/>
    <mergeCell ref="M72:P72"/>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58"/>
  <sheetViews>
    <sheetView topLeftCell="C149" zoomScale="90" zoomScaleNormal="90" workbookViewId="0">
      <selection activeCell="C20" sqref="C20"/>
    </sheetView>
  </sheetViews>
  <sheetFormatPr defaultColWidth="11.554687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s>
  <sheetData>
    <row r="1" spans="4:56" x14ac:dyDescent="0.3">
      <c r="D1" s="1094" t="s">
        <v>58</v>
      </c>
      <c r="E1" s="1094"/>
      <c r="F1" s="1094"/>
      <c r="G1" s="1094"/>
      <c r="H1" s="1094"/>
      <c r="I1" s="1094"/>
      <c r="J1" s="1094"/>
      <c r="K1" s="1094"/>
      <c r="L1" s="1094"/>
      <c r="M1" s="1094"/>
      <c r="N1" s="1094"/>
      <c r="O1" s="1094"/>
      <c r="P1" s="1094"/>
      <c r="Q1" s="1094"/>
      <c r="R1" s="1094"/>
      <c r="S1" s="1094"/>
      <c r="T1" s="1094"/>
      <c r="U1" s="1094"/>
      <c r="V1" s="1094"/>
      <c r="W1" s="1094"/>
      <c r="X1" s="1094"/>
      <c r="Y1" s="1094"/>
      <c r="Z1" s="1094"/>
      <c r="AA1" s="1094"/>
      <c r="AB1" s="1094"/>
      <c r="AC1" s="1094"/>
    </row>
    <row r="2" spans="4:56" ht="14.25" customHeight="1" x14ac:dyDescent="0.3">
      <c r="D2" s="1093" t="s">
        <v>1005</v>
      </c>
      <c r="E2" s="1093"/>
      <c r="F2" s="1093"/>
      <c r="G2" s="1093"/>
      <c r="H2" s="1093"/>
      <c r="I2" s="1093"/>
      <c r="J2" s="1093"/>
      <c r="K2" s="1093"/>
      <c r="L2" s="1093"/>
      <c r="M2" s="1093"/>
      <c r="N2" s="1093"/>
      <c r="O2" s="1093"/>
      <c r="P2" s="1093"/>
      <c r="Q2" s="1093"/>
      <c r="R2" s="1093"/>
      <c r="S2" s="1093"/>
      <c r="T2" s="1093"/>
      <c r="U2" s="1093"/>
      <c r="V2" s="1093"/>
      <c r="W2" s="1093"/>
      <c r="X2" s="1093"/>
      <c r="Y2" s="1093"/>
      <c r="Z2" s="1093"/>
      <c r="AA2" s="1093"/>
      <c r="AB2" s="1093"/>
      <c r="AC2" s="1093"/>
    </row>
    <row r="3" spans="4:56" ht="84.75" customHeight="1" x14ac:dyDescent="0.3">
      <c r="D3" s="1093"/>
      <c r="E3" s="1093"/>
      <c r="F3" s="1093"/>
      <c r="G3" s="1093"/>
      <c r="H3" s="1093"/>
      <c r="I3" s="1093"/>
      <c r="J3" s="1093"/>
      <c r="K3" s="1093"/>
      <c r="L3" s="1093"/>
      <c r="M3" s="1093"/>
      <c r="N3" s="1093"/>
      <c r="O3" s="1093"/>
      <c r="P3" s="1093"/>
      <c r="Q3" s="1093"/>
      <c r="R3" s="1093"/>
      <c r="S3" s="1093"/>
      <c r="T3" s="1093"/>
      <c r="U3" s="1093"/>
      <c r="V3" s="1093"/>
      <c r="W3" s="1093"/>
      <c r="X3" s="1093"/>
      <c r="Y3" s="1093"/>
      <c r="Z3" s="1093"/>
      <c r="AA3" s="1093"/>
      <c r="AB3" s="1093"/>
      <c r="AC3" s="1093"/>
    </row>
    <row r="4" spans="4:56" x14ac:dyDescent="0.3">
      <c r="D4" s="845" t="s">
        <v>381</v>
      </c>
    </row>
    <row r="5" spans="4:56" x14ac:dyDescent="0.3">
      <c r="D5" s="1123" t="s">
        <v>465</v>
      </c>
      <c r="E5" s="1107"/>
      <c r="F5" s="1204" t="s">
        <v>325</v>
      </c>
      <c r="G5" s="1205"/>
      <c r="H5" s="1205"/>
      <c r="I5" s="1205"/>
      <c r="J5" s="1205"/>
      <c r="K5" s="1205"/>
      <c r="L5" s="1205"/>
      <c r="M5" s="1205"/>
      <c r="N5" s="1205"/>
      <c r="O5" s="1205"/>
      <c r="P5" s="1205"/>
      <c r="Q5" s="1206"/>
      <c r="R5" s="1206"/>
      <c r="S5" s="1206"/>
      <c r="T5" s="1132" t="s">
        <v>326</v>
      </c>
      <c r="U5" s="1132"/>
      <c r="V5" s="1132"/>
      <c r="W5" s="1132"/>
      <c r="X5" s="1132"/>
      <c r="Y5" s="1132"/>
      <c r="Z5" s="1132"/>
      <c r="AA5" s="1132"/>
      <c r="AB5" s="1132"/>
      <c r="AC5" s="1133"/>
      <c r="AD5" s="785"/>
      <c r="AE5" s="785"/>
      <c r="AF5" s="785"/>
      <c r="AG5" s="785"/>
      <c r="AH5" s="785"/>
      <c r="AI5" s="785"/>
      <c r="AJ5" s="785"/>
      <c r="AK5" s="785"/>
      <c r="AL5" s="785"/>
      <c r="AM5" s="785"/>
      <c r="AN5" s="785"/>
      <c r="AO5" s="785"/>
      <c r="AP5" s="785"/>
      <c r="AQ5" s="785"/>
      <c r="AR5" s="785"/>
      <c r="AS5" s="785"/>
      <c r="AT5" s="785"/>
      <c r="AU5" s="785"/>
      <c r="AV5" s="785"/>
      <c r="AW5" s="785"/>
      <c r="AX5" s="785"/>
      <c r="AY5" s="785"/>
      <c r="AZ5" s="785"/>
      <c r="BA5" s="785"/>
      <c r="BB5" s="785"/>
      <c r="BC5" s="785"/>
      <c r="BD5" s="785"/>
    </row>
    <row r="6" spans="4:56" x14ac:dyDescent="0.3">
      <c r="D6" s="1124"/>
      <c r="E6" s="1161"/>
      <c r="F6" s="1143">
        <v>2019</v>
      </c>
      <c r="G6" s="1144"/>
      <c r="H6" s="1151"/>
      <c r="I6" s="1144">
        <v>2020</v>
      </c>
      <c r="J6" s="1144"/>
      <c r="K6" s="1144"/>
      <c r="L6" s="1144"/>
      <c r="M6" s="1095">
        <v>2021</v>
      </c>
      <c r="N6" s="1096"/>
      <c r="O6" s="1096"/>
      <c r="P6" s="1096"/>
      <c r="Q6" s="1129">
        <v>2022</v>
      </c>
      <c r="R6" s="1130"/>
      <c r="S6" s="253"/>
      <c r="T6" s="288"/>
      <c r="U6" s="1199">
        <v>2023</v>
      </c>
      <c r="V6" s="1200"/>
      <c r="W6" s="1200"/>
      <c r="X6" s="1200"/>
      <c r="Y6" s="1126">
        <v>2024</v>
      </c>
      <c r="Z6" s="1127"/>
      <c r="AA6" s="1127"/>
      <c r="AB6" s="1127"/>
      <c r="AC6" s="259">
        <v>2025</v>
      </c>
      <c r="AD6" s="781"/>
      <c r="AE6" s="781"/>
      <c r="AF6" s="781"/>
      <c r="AG6" s="786"/>
      <c r="AH6" s="786"/>
      <c r="AI6" s="786"/>
      <c r="AJ6" s="786"/>
      <c r="AK6" s="786"/>
      <c r="AL6" s="786"/>
      <c r="AM6" s="786"/>
      <c r="AN6" s="786"/>
      <c r="AO6" s="786"/>
      <c r="AP6" s="786"/>
      <c r="AQ6" s="786"/>
      <c r="AR6" s="786"/>
      <c r="AS6" s="786"/>
      <c r="AT6" s="786"/>
      <c r="AU6" s="786"/>
      <c r="AV6" s="786"/>
      <c r="AW6" s="786"/>
      <c r="AX6" s="786"/>
      <c r="AY6" s="786"/>
      <c r="AZ6" s="786"/>
      <c r="BA6" s="786"/>
      <c r="BB6" s="786"/>
      <c r="BC6" s="786"/>
    </row>
    <row r="7" spans="4:56" x14ac:dyDescent="0.3">
      <c r="D7" s="1135"/>
      <c r="E7" s="1162"/>
      <c r="F7" s="153" t="s">
        <v>329</v>
      </c>
      <c r="G7" s="152" t="s">
        <v>238</v>
      </c>
      <c r="H7" s="204" t="s">
        <v>327</v>
      </c>
      <c r="I7" s="152" t="s">
        <v>328</v>
      </c>
      <c r="J7" s="152" t="s">
        <v>329</v>
      </c>
      <c r="K7" s="152" t="s">
        <v>238</v>
      </c>
      <c r="L7" s="152" t="s">
        <v>327</v>
      </c>
      <c r="M7" s="153" t="s">
        <v>328</v>
      </c>
      <c r="N7" s="152" t="s">
        <v>329</v>
      </c>
      <c r="O7" s="152" t="s">
        <v>238</v>
      </c>
      <c r="P7" s="152" t="s">
        <v>327</v>
      </c>
      <c r="Q7" s="153" t="s">
        <v>328</v>
      </c>
      <c r="R7" s="152" t="s">
        <v>329</v>
      </c>
      <c r="S7" s="204" t="s">
        <v>238</v>
      </c>
      <c r="T7" s="276" t="s">
        <v>327</v>
      </c>
      <c r="U7" s="274" t="s">
        <v>328</v>
      </c>
      <c r="V7" s="275" t="s">
        <v>329</v>
      </c>
      <c r="W7" s="275" t="s">
        <v>238</v>
      </c>
      <c r="X7" s="275" t="s">
        <v>327</v>
      </c>
      <c r="Y7" s="274" t="s">
        <v>328</v>
      </c>
      <c r="Z7" s="270" t="s">
        <v>329</v>
      </c>
      <c r="AA7" s="275" t="s">
        <v>238</v>
      </c>
      <c r="AB7" s="275" t="s">
        <v>327</v>
      </c>
      <c r="AC7" s="278" t="s">
        <v>328</v>
      </c>
      <c r="AD7" s="783"/>
      <c r="AE7" s="783"/>
      <c r="AF7" s="783"/>
      <c r="AG7" s="783"/>
      <c r="AH7" s="783"/>
      <c r="AI7" s="783"/>
      <c r="AJ7" s="783"/>
      <c r="AK7" s="783"/>
      <c r="AL7" s="783"/>
      <c r="AM7" s="783"/>
      <c r="AN7" s="783"/>
      <c r="AO7" s="783"/>
      <c r="AP7" s="783"/>
      <c r="AQ7" s="783"/>
      <c r="AR7" s="783"/>
      <c r="AS7" s="783"/>
      <c r="AT7" s="783"/>
      <c r="AU7" s="783"/>
      <c r="AV7" s="783"/>
      <c r="AW7" s="783"/>
      <c r="AX7" s="783"/>
      <c r="AY7" s="783"/>
      <c r="AZ7" s="783"/>
      <c r="BA7" s="783"/>
      <c r="BB7" s="783"/>
      <c r="BC7" s="783"/>
    </row>
    <row r="8" spans="4:56" x14ac:dyDescent="0.3">
      <c r="D8" s="367" t="s">
        <v>527</v>
      </c>
      <c r="E8" s="71"/>
      <c r="F8" s="772"/>
      <c r="G8" s="729"/>
      <c r="H8" s="729"/>
      <c r="I8" s="729"/>
      <c r="J8" s="729"/>
      <c r="K8" s="729"/>
      <c r="L8" s="729"/>
      <c r="M8" s="729"/>
      <c r="N8" s="729"/>
      <c r="O8" s="729"/>
      <c r="P8" s="729"/>
      <c r="Q8" s="729"/>
      <c r="R8" s="729"/>
      <c r="S8" s="730"/>
      <c r="T8" s="741"/>
      <c r="U8" s="741"/>
      <c r="V8" s="741"/>
      <c r="W8" s="741"/>
      <c r="X8" s="741"/>
      <c r="Y8" s="741"/>
      <c r="Z8" s="741"/>
      <c r="AA8" s="741"/>
      <c r="AB8" s="741"/>
      <c r="AC8" s="849"/>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c r="BC8" s="782"/>
    </row>
    <row r="9" spans="4:56" ht="14.55" customHeight="1" x14ac:dyDescent="0.3">
      <c r="D9" s="474" t="s">
        <v>543</v>
      </c>
      <c r="E9" s="742"/>
      <c r="F9" s="846">
        <f t="shared" ref="F9:P9" si="0">SUM(F10:F14)</f>
        <v>3266.5</v>
      </c>
      <c r="G9" s="727">
        <f t="shared" si="0"/>
        <v>3286.9</v>
      </c>
      <c r="H9" s="727">
        <f t="shared" si="0"/>
        <v>3332.3</v>
      </c>
      <c r="I9" s="727">
        <f t="shared" si="0"/>
        <v>3393.2999999999997</v>
      </c>
      <c r="J9" s="727">
        <f t="shared" si="0"/>
        <v>3128.1</v>
      </c>
      <c r="K9" s="727">
        <f t="shared" si="0"/>
        <v>3303.4</v>
      </c>
      <c r="L9" s="727">
        <f t="shared" si="0"/>
        <v>3457.8</v>
      </c>
      <c r="M9" s="727">
        <f>SUM(M10:M14)</f>
        <v>3596.7999999999997</v>
      </c>
      <c r="N9" s="727">
        <f t="shared" si="0"/>
        <v>3753.5</v>
      </c>
      <c r="O9" s="727">
        <f t="shared" si="0"/>
        <v>3871.9000000000005</v>
      </c>
      <c r="P9" s="727">
        <f t="shared" si="0"/>
        <v>4000.8999999999996</v>
      </c>
      <c r="Q9" s="727">
        <f t="shared" ref="Q9:S9" si="1">SUM(Q10:Q14)</f>
        <v>4383.5999999999995</v>
      </c>
      <c r="R9" s="727">
        <f t="shared" si="1"/>
        <v>4444.7999999999993</v>
      </c>
      <c r="S9" s="731">
        <f t="shared" si="1"/>
        <v>4505.2000000000007</v>
      </c>
      <c r="T9" s="743">
        <f t="shared" ref="T9:AC9" si="2">SUM(T10,T13,T14)</f>
        <v>4574.8644920383394</v>
      </c>
      <c r="U9" s="743">
        <f t="shared" si="2"/>
        <v>4528.6569166191493</v>
      </c>
      <c r="V9" s="743">
        <f t="shared" si="2"/>
        <v>4544.8795506226297</v>
      </c>
      <c r="W9" s="743">
        <f t="shared" si="2"/>
        <v>4561.5377512540026</v>
      </c>
      <c r="X9" s="743">
        <f t="shared" si="2"/>
        <v>4564.9831242368391</v>
      </c>
      <c r="Y9" s="743">
        <f t="shared" si="2"/>
        <v>4571.7917472467925</v>
      </c>
      <c r="Z9" s="743">
        <f t="shared" si="2"/>
        <v>4578.7665782937693</v>
      </c>
      <c r="AA9" s="743">
        <f t="shared" si="2"/>
        <v>4585.908584776219</v>
      </c>
      <c r="AB9" s="743">
        <f t="shared" si="2"/>
        <v>4602.1144223049096</v>
      </c>
      <c r="AC9" s="744">
        <f t="shared" si="2"/>
        <v>4613.636665183144</v>
      </c>
      <c r="AD9" s="792"/>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c r="BC9" s="792"/>
    </row>
    <row r="10" spans="4:56" x14ac:dyDescent="0.3">
      <c r="D10" s="515" t="s">
        <v>544</v>
      </c>
      <c r="E10" s="54" t="s">
        <v>115</v>
      </c>
      <c r="F10" s="814">
        <f>'Haver Pivoted'!GQ27</f>
        <v>1692.6</v>
      </c>
      <c r="G10" s="726">
        <f>'Haver Pivoted'!GR27</f>
        <v>1700.6</v>
      </c>
      <c r="H10" s="726">
        <f>'Haver Pivoted'!GS27</f>
        <v>1726.4</v>
      </c>
      <c r="I10" s="726">
        <f>'Haver Pivoted'!GT27</f>
        <v>1751.6</v>
      </c>
      <c r="J10" s="726">
        <f>'Haver Pivoted'!GU27</f>
        <v>1610.2</v>
      </c>
      <c r="K10" s="726">
        <f>'Haver Pivoted'!GV27</f>
        <v>1722.1</v>
      </c>
      <c r="L10" s="726">
        <f>'Haver Pivoted'!GW27</f>
        <v>1837.8</v>
      </c>
      <c r="M10" s="726">
        <f>'Haver Pivoted'!GX27</f>
        <v>1965.4</v>
      </c>
      <c r="N10" s="726">
        <f>'Haver Pivoted'!GY27</f>
        <v>2071.9</v>
      </c>
      <c r="O10" s="726">
        <f>'Haver Pivoted'!GZ27</f>
        <v>2158.8000000000002</v>
      </c>
      <c r="P10" s="726">
        <f>'Haver Pivoted'!HA27</f>
        <v>2235.1999999999998</v>
      </c>
      <c r="Q10" s="726">
        <f>'Haver Pivoted'!HB27</f>
        <v>2564.1</v>
      </c>
      <c r="R10" s="726">
        <f>'Haver Pivoted'!HC27</f>
        <v>2598.6</v>
      </c>
      <c r="S10" s="717">
        <f>'Haver Pivoted'!HD27</f>
        <v>2638.6</v>
      </c>
      <c r="T10" s="745">
        <f t="shared" ref="T10:AC10" si="3">SUM(T11:T12)</f>
        <v>2681.3894465673602</v>
      </c>
      <c r="U10" s="745">
        <f t="shared" si="3"/>
        <v>2608.3802151470386</v>
      </c>
      <c r="V10" s="745">
        <f t="shared" si="3"/>
        <v>2597.4171116529733</v>
      </c>
      <c r="W10" s="745">
        <f t="shared" si="3"/>
        <v>2586.4999428123101</v>
      </c>
      <c r="X10" s="745">
        <f t="shared" si="3"/>
        <v>2583.0328568878608</v>
      </c>
      <c r="Y10" s="745">
        <f t="shared" si="3"/>
        <v>2573.6757610302157</v>
      </c>
      <c r="Z10" s="745">
        <f t="shared" si="3"/>
        <v>2564.3525322158343</v>
      </c>
      <c r="AA10" s="745">
        <f t="shared" si="3"/>
        <v>2555.0630478664471</v>
      </c>
      <c r="AB10" s="745">
        <f t="shared" si="3"/>
        <v>2555.0383525136563</v>
      </c>
      <c r="AC10" s="746">
        <f t="shared" si="3"/>
        <v>2554.390821205071</v>
      </c>
      <c r="AD10" s="782"/>
      <c r="AE10" s="782"/>
      <c r="AF10" s="782"/>
      <c r="AG10" s="782"/>
      <c r="AH10" s="782"/>
      <c r="AI10" s="782"/>
      <c r="AJ10" s="782"/>
      <c r="AK10" s="782"/>
      <c r="AL10" s="782"/>
      <c r="AM10" s="782"/>
      <c r="AN10" s="782"/>
      <c r="AO10" s="782"/>
      <c r="AP10" s="782"/>
      <c r="AQ10" s="782"/>
      <c r="AR10" s="782"/>
      <c r="AS10" s="782"/>
      <c r="AT10" s="782"/>
      <c r="AU10" s="782"/>
      <c r="AV10" s="782"/>
      <c r="AW10" s="782"/>
      <c r="AX10" s="782"/>
      <c r="AY10" s="782"/>
      <c r="AZ10" s="782"/>
      <c r="BA10" s="782"/>
      <c r="BB10" s="782"/>
      <c r="BC10" s="782"/>
    </row>
    <row r="11" spans="4:56" ht="15.6" customHeight="1" x14ac:dyDescent="0.3">
      <c r="D11" s="515" t="s">
        <v>1479</v>
      </c>
      <c r="E11" s="54"/>
      <c r="F11" s="814"/>
      <c r="G11" s="726"/>
      <c r="H11" s="726"/>
      <c r="I11" s="726"/>
      <c r="J11" s="726"/>
      <c r="K11" s="726"/>
      <c r="L11" s="726"/>
      <c r="M11" s="726"/>
      <c r="N11" s="726"/>
      <c r="O11" s="726"/>
      <c r="P11" s="726"/>
      <c r="Q11" s="726"/>
      <c r="R11" s="726"/>
      <c r="S11" s="716"/>
      <c r="T11" s="745">
        <f>S10*(1+$J37)^0.25</f>
        <v>2627.5444465673604</v>
      </c>
      <c r="U11" s="745">
        <f>T11*(1+$J37)^0.25</f>
        <v>2616.5352151470388</v>
      </c>
      <c r="V11" s="745">
        <f>U11*(1+$J37)^0.25</f>
        <v>2605.5721116529735</v>
      </c>
      <c r="W11" s="745">
        <f>V11*(1+$J37)^0.25</f>
        <v>2594.6549428123103</v>
      </c>
      <c r="X11" s="745">
        <f>W11*(1+$K37)^0.25</f>
        <v>2585.263856887861</v>
      </c>
      <c r="Y11" s="745">
        <f>X11*(1+$K37)^0.25</f>
        <v>2575.9067610302159</v>
      </c>
      <c r="Z11" s="745">
        <f>Y11*(1+$K37)^0.25</f>
        <v>2566.5835322158346</v>
      </c>
      <c r="AA11" s="745">
        <f>Z11*(1+$K37)^0.25</f>
        <v>2557.2940478664473</v>
      </c>
      <c r="AB11" s="745">
        <f>AA11*(1+$L37)^0.25</f>
        <v>2556.6463525136564</v>
      </c>
      <c r="AC11" s="746">
        <f>AB11*(1+$L37)^0.25</f>
        <v>2555.9988212050712</v>
      </c>
      <c r="AD11" s="782"/>
      <c r="AE11" s="782"/>
      <c r="AF11" s="782"/>
      <c r="AG11" s="782"/>
      <c r="AH11" s="782"/>
      <c r="AI11" s="782"/>
      <c r="AJ11" s="782"/>
      <c r="AK11" s="782"/>
      <c r="AL11" s="782"/>
      <c r="AM11" s="782"/>
      <c r="AN11" s="782"/>
      <c r="AO11" s="782"/>
      <c r="AP11" s="782"/>
      <c r="AQ11" s="782"/>
      <c r="AR11" s="782"/>
      <c r="AS11" s="782"/>
      <c r="AT11" s="782"/>
      <c r="AU11" s="782"/>
      <c r="AV11" s="782"/>
      <c r="AW11" s="782"/>
      <c r="AX11" s="782"/>
      <c r="AY11" s="782"/>
      <c r="AZ11" s="782"/>
      <c r="BA11" s="782"/>
      <c r="BB11" s="782"/>
      <c r="BC11" s="782"/>
    </row>
    <row r="12" spans="4:56" x14ac:dyDescent="0.3">
      <c r="D12" s="765" t="s">
        <v>1814</v>
      </c>
      <c r="E12" s="766"/>
      <c r="F12" s="814"/>
      <c r="G12" s="726"/>
      <c r="H12" s="726"/>
      <c r="I12" s="726"/>
      <c r="J12" s="726"/>
      <c r="K12" s="726"/>
      <c r="L12" s="726"/>
      <c r="M12" s="726"/>
      <c r="N12" s="726"/>
      <c r="O12" s="726"/>
      <c r="P12" s="726"/>
      <c r="Q12" s="726"/>
      <c r="R12" s="726"/>
      <c r="S12" s="716">
        <f>'IRA and CHIPS'!E192</f>
        <v>0</v>
      </c>
      <c r="T12" s="767">
        <f>'IRA and CHIPS'!F192+57</f>
        <v>53.844999999999999</v>
      </c>
      <c r="U12" s="767">
        <f>'IRA and CHIPS'!G192-5</f>
        <v>-8.1549999999999994</v>
      </c>
      <c r="V12" s="767">
        <f>'IRA and CHIPS'!H192-5</f>
        <v>-8.1549999999999994</v>
      </c>
      <c r="W12" s="767">
        <f>'IRA and CHIPS'!I192-5</f>
        <v>-8.1549999999999994</v>
      </c>
      <c r="X12" s="767">
        <f>'IRA and CHIPS'!J192</f>
        <v>-2.2309999999999999</v>
      </c>
      <c r="Y12" s="767">
        <f>'IRA and CHIPS'!K192</f>
        <v>-2.2309999999999999</v>
      </c>
      <c r="Z12" s="767">
        <f>'IRA and CHIPS'!L192</f>
        <v>-2.2309999999999999</v>
      </c>
      <c r="AA12" s="767">
        <f>'IRA and CHIPS'!M192</f>
        <v>-2.2309999999999999</v>
      </c>
      <c r="AB12" s="767">
        <f>'IRA and CHIPS'!N192</f>
        <v>-1.6080000000000001</v>
      </c>
      <c r="AC12" s="747">
        <f>'IRA and CHIPS'!O192</f>
        <v>-1.6080000000000001</v>
      </c>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c r="BC12" s="782"/>
    </row>
    <row r="13" spans="4:56" x14ac:dyDescent="0.3">
      <c r="D13" s="748" t="s">
        <v>545</v>
      </c>
      <c r="E13" s="768" t="s">
        <v>121</v>
      </c>
      <c r="F13" s="814">
        <f>'Haver Pivoted'!GQ30</f>
        <v>1402.6</v>
      </c>
      <c r="G13" s="726">
        <f>'Haver Pivoted'!GR30</f>
        <v>1410</v>
      </c>
      <c r="H13" s="726">
        <f>'Haver Pivoted'!GS30</f>
        <v>1429</v>
      </c>
      <c r="I13" s="726">
        <f>'Haver Pivoted'!GT30</f>
        <v>1455.1</v>
      </c>
      <c r="J13" s="726">
        <f>'Haver Pivoted'!GU30</f>
        <v>1385.3</v>
      </c>
      <c r="K13" s="726">
        <f>'Haver Pivoted'!GV30</f>
        <v>1432.2</v>
      </c>
      <c r="L13" s="726">
        <f>'Haver Pivoted'!GW30</f>
        <v>1465</v>
      </c>
      <c r="M13" s="726">
        <f>'Haver Pivoted'!GX30</f>
        <v>1474.8</v>
      </c>
      <c r="N13" s="726">
        <f>'Haver Pivoted'!GY30</f>
        <v>1504.3</v>
      </c>
      <c r="O13" s="726">
        <f>'Haver Pivoted'!GZ30</f>
        <v>1536.3</v>
      </c>
      <c r="P13" s="726">
        <f>'Haver Pivoted'!HA30</f>
        <v>1578.1</v>
      </c>
      <c r="Q13" s="726">
        <f>'Haver Pivoted'!HB30</f>
        <v>1617.1</v>
      </c>
      <c r="R13" s="726">
        <f>'Haver Pivoted'!HC30</f>
        <v>1636.8</v>
      </c>
      <c r="S13" s="717">
        <f>'Haver Pivoted'!HD30</f>
        <v>1664</v>
      </c>
      <c r="T13" s="769">
        <f>S13*(1+$J38)^0.25</f>
        <v>1688.4639649944929</v>
      </c>
      <c r="U13" s="769">
        <f>T13*(1+$J38)^0.25</f>
        <v>1713.2875968058438</v>
      </c>
      <c r="V13" s="769">
        <f>U13*(1+$J38)^0.25</f>
        <v>1738.4761832203612</v>
      </c>
      <c r="W13" s="769">
        <f>V13*(1+$J38)^0.25</f>
        <v>1764.03508976487</v>
      </c>
      <c r="X13" s="769">
        <f>W13*(1+$K38)^0.25</f>
        <v>1778.8049394721163</v>
      </c>
      <c r="Y13" s="769">
        <f>X13*(1+$K38)^0.25</f>
        <v>1793.6984536470598</v>
      </c>
      <c r="Z13" s="769">
        <f>Y13*(1+$K38)^0.25</f>
        <v>1808.7166677031182</v>
      </c>
      <c r="AA13" s="769">
        <f>Z13*(1+$K38)^0.25</f>
        <v>1823.8606257229824</v>
      </c>
      <c r="AB13" s="769">
        <f>AA13*(1+$L38)^0.25</f>
        <v>1836.0999780298446</v>
      </c>
      <c r="AC13" s="749">
        <f>AB13*(1+$L38)^0.25</f>
        <v>1848.4214647623196</v>
      </c>
      <c r="AD13" s="782"/>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c r="BC13" s="782"/>
    </row>
    <row r="14" spans="4:56" x14ac:dyDescent="0.3">
      <c r="D14" s="515" t="s">
        <v>546</v>
      </c>
      <c r="E14" s="54" t="s">
        <v>117</v>
      </c>
      <c r="F14" s="814">
        <f>'Haver Pivoted'!GQ28</f>
        <v>171.3</v>
      </c>
      <c r="G14" s="726">
        <f>'Haver Pivoted'!GR28</f>
        <v>176.3</v>
      </c>
      <c r="H14" s="726">
        <f>'Haver Pivoted'!GS28</f>
        <v>176.9</v>
      </c>
      <c r="I14" s="726">
        <f>'Haver Pivoted'!GT28</f>
        <v>186.6</v>
      </c>
      <c r="J14" s="726">
        <f>'Haver Pivoted'!GU28</f>
        <v>132.6</v>
      </c>
      <c r="K14" s="726">
        <f>'Haver Pivoted'!GV28</f>
        <v>149.1</v>
      </c>
      <c r="L14" s="726">
        <f>'Haver Pivoted'!GW28</f>
        <v>155</v>
      </c>
      <c r="M14" s="726">
        <f>'Haver Pivoted'!GX28</f>
        <v>156.6</v>
      </c>
      <c r="N14" s="726">
        <f>'Haver Pivoted'!GY28</f>
        <v>177.3</v>
      </c>
      <c r="O14" s="726">
        <f>'Haver Pivoted'!GZ28</f>
        <v>176.8</v>
      </c>
      <c r="P14" s="726">
        <f>'Haver Pivoted'!HA28</f>
        <v>187.6</v>
      </c>
      <c r="Q14" s="726">
        <f>'Haver Pivoted'!HB28</f>
        <v>202.4</v>
      </c>
      <c r="R14" s="726">
        <f>'Haver Pivoted'!HC28</f>
        <v>209.4</v>
      </c>
      <c r="S14" s="717">
        <f>'Haver Pivoted'!HD28</f>
        <v>202.6</v>
      </c>
      <c r="T14" s="745">
        <f t="shared" ref="T14:AC14" si="4">SUM(T15:T16)</f>
        <v>205.01108047648628</v>
      </c>
      <c r="U14" s="745">
        <f t="shared" si="4"/>
        <v>206.98910466626651</v>
      </c>
      <c r="V14" s="745">
        <f t="shared" si="4"/>
        <v>208.98625574929559</v>
      </c>
      <c r="W14" s="745">
        <f t="shared" si="4"/>
        <v>211.00271867682298</v>
      </c>
      <c r="X14" s="745">
        <f t="shared" si="4"/>
        <v>203.14532787686258</v>
      </c>
      <c r="Y14" s="745">
        <f t="shared" si="4"/>
        <v>204.41753256951731</v>
      </c>
      <c r="Z14" s="745">
        <f t="shared" si="4"/>
        <v>205.69737837481594</v>
      </c>
      <c r="AA14" s="745">
        <f t="shared" si="4"/>
        <v>206.98491118679013</v>
      </c>
      <c r="AB14" s="745">
        <f t="shared" si="4"/>
        <v>210.97609176140867</v>
      </c>
      <c r="AC14" s="746">
        <f t="shared" si="4"/>
        <v>210.82437921575368</v>
      </c>
      <c r="AD14" s="782"/>
      <c r="AE14" s="782"/>
      <c r="AF14" s="782"/>
      <c r="AG14" s="782"/>
      <c r="AH14" s="782"/>
      <c r="AI14" s="782"/>
      <c r="AJ14" s="782"/>
      <c r="AK14" s="782"/>
      <c r="AL14" s="782"/>
      <c r="AM14" s="782"/>
      <c r="AN14" s="782"/>
      <c r="AO14" s="782"/>
      <c r="AP14" s="782"/>
      <c r="AQ14" s="782"/>
      <c r="AR14" s="782"/>
      <c r="AS14" s="782"/>
      <c r="AT14" s="782"/>
      <c r="AU14" s="782"/>
      <c r="AV14" s="782"/>
      <c r="AW14" s="782"/>
      <c r="AX14" s="782"/>
      <c r="AY14" s="782"/>
      <c r="AZ14" s="782"/>
      <c r="BA14" s="782"/>
      <c r="BB14" s="782"/>
      <c r="BC14" s="782"/>
    </row>
    <row r="15" spans="4:56" x14ac:dyDescent="0.3">
      <c r="D15" s="515" t="s">
        <v>1533</v>
      </c>
      <c r="E15" s="54"/>
      <c r="F15" s="814"/>
      <c r="G15" s="726"/>
      <c r="H15" s="726"/>
      <c r="I15" s="726"/>
      <c r="J15" s="726"/>
      <c r="K15" s="726"/>
      <c r="L15" s="726"/>
      <c r="M15" s="726"/>
      <c r="N15" s="726"/>
      <c r="O15" s="726"/>
      <c r="P15" s="726"/>
      <c r="Q15" s="726"/>
      <c r="R15" s="726"/>
      <c r="S15" s="716"/>
      <c r="T15" s="745">
        <f>S14*(1+$J39)^0.25</f>
        <v>204.55908047648629</v>
      </c>
      <c r="U15" s="745">
        <f>T15*(1+$J39)^0.25</f>
        <v>206.53710466626652</v>
      </c>
      <c r="V15" s="745">
        <f>U15*(1+$J39)^0.25</f>
        <v>208.5342557492956</v>
      </c>
      <c r="W15" s="745">
        <f>V15*(1+$J39)^0.25</f>
        <v>210.55071867682298</v>
      </c>
      <c r="X15" s="745">
        <f>W15*(1+$K39)^0.25</f>
        <v>211.81532787686257</v>
      </c>
      <c r="Y15" s="745">
        <f>X15*(1+$K39)^0.25</f>
        <v>213.08753256951729</v>
      </c>
      <c r="Z15" s="745">
        <f>Y15*(1+$K39)^0.25</f>
        <v>214.36737837481593</v>
      </c>
      <c r="AA15" s="745">
        <f>Z15*(1+$K39)^0.25</f>
        <v>215.65491118679012</v>
      </c>
      <c r="AB15" s="745">
        <f>AA15*(1+$L39)^0.25</f>
        <v>215.50309176140865</v>
      </c>
      <c r="AC15" s="746">
        <f>AB15*(1+$L39)^0.25</f>
        <v>215.35137921575367</v>
      </c>
      <c r="AD15" s="782"/>
      <c r="AE15" s="782"/>
      <c r="AF15" s="782"/>
      <c r="AG15" s="782"/>
      <c r="AH15" s="782"/>
      <c r="AI15" s="782"/>
      <c r="AJ15" s="782"/>
      <c r="AK15" s="782"/>
      <c r="AL15" s="782"/>
      <c r="AM15" s="782"/>
      <c r="AN15" s="782"/>
      <c r="AO15" s="782"/>
      <c r="AP15" s="782"/>
      <c r="AQ15" s="782"/>
      <c r="AR15" s="782"/>
      <c r="AS15" s="782"/>
      <c r="AT15" s="782"/>
      <c r="AU15" s="782"/>
      <c r="AV15" s="782"/>
      <c r="AW15" s="782"/>
      <c r="AX15" s="782"/>
      <c r="AY15" s="782"/>
      <c r="AZ15" s="782"/>
      <c r="BA15" s="782"/>
      <c r="BB15" s="782"/>
      <c r="BC15" s="782"/>
    </row>
    <row r="16" spans="4:56" x14ac:dyDescent="0.3">
      <c r="D16" s="765" t="s">
        <v>1534</v>
      </c>
      <c r="E16" s="766"/>
      <c r="F16" s="814"/>
      <c r="G16" s="726"/>
      <c r="H16" s="726"/>
      <c r="I16" s="726"/>
      <c r="J16" s="726"/>
      <c r="K16" s="726"/>
      <c r="L16" s="726"/>
      <c r="M16" s="726"/>
      <c r="N16" s="726"/>
      <c r="O16" s="726"/>
      <c r="P16" s="726"/>
      <c r="Q16" s="726"/>
      <c r="R16" s="726"/>
      <c r="S16" s="716">
        <f>'IRA and CHIPS'!E193</f>
        <v>0</v>
      </c>
      <c r="T16" s="767">
        <f>'IRA and CHIPS'!F193</f>
        <v>0.45200000000000001</v>
      </c>
      <c r="U16" s="767">
        <f>'IRA and CHIPS'!G193</f>
        <v>0.45200000000000001</v>
      </c>
      <c r="V16" s="767">
        <f>'IRA and CHIPS'!H193</f>
        <v>0.45200000000000001</v>
      </c>
      <c r="W16" s="767">
        <f>'IRA and CHIPS'!I193</f>
        <v>0.45200000000000001</v>
      </c>
      <c r="X16" s="767">
        <f>'IRA and CHIPS'!J193</f>
        <v>-8.67</v>
      </c>
      <c r="Y16" s="767">
        <f>'IRA and CHIPS'!K193</f>
        <v>-8.67</v>
      </c>
      <c r="Z16" s="767">
        <f>'IRA and CHIPS'!L193</f>
        <v>-8.67</v>
      </c>
      <c r="AA16" s="767">
        <f>'IRA and CHIPS'!M193</f>
        <v>-8.67</v>
      </c>
      <c r="AB16" s="767">
        <f>'IRA and CHIPS'!N193</f>
        <v>-4.5270000000000001</v>
      </c>
      <c r="AC16" s="747">
        <f>'IRA and CHIPS'!O193</f>
        <v>-4.5270000000000001</v>
      </c>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c r="BC16" s="782"/>
    </row>
    <row r="17" spans="4:55" ht="14.55" customHeight="1" x14ac:dyDescent="0.3">
      <c r="D17" s="474" t="s">
        <v>547</v>
      </c>
      <c r="E17" s="750" t="s">
        <v>119</v>
      </c>
      <c r="F17" s="847">
        <f>'Haver Pivoted'!GQ29</f>
        <v>215.9</v>
      </c>
      <c r="G17" s="714">
        <f>'Haver Pivoted'!GR29</f>
        <v>196.9</v>
      </c>
      <c r="H17" s="714">
        <f>'Haver Pivoted'!GS29</f>
        <v>226.2</v>
      </c>
      <c r="I17" s="714">
        <f>'Haver Pivoted'!GT29</f>
        <v>183.1</v>
      </c>
      <c r="J17" s="714">
        <f>'Haver Pivoted'!GU29</f>
        <v>177.8</v>
      </c>
      <c r="K17" s="714">
        <f>'Haver Pivoted'!GV29</f>
        <v>218.4</v>
      </c>
      <c r="L17" s="714">
        <f>'Haver Pivoted'!GW29</f>
        <v>226.5</v>
      </c>
      <c r="M17" s="714">
        <f>'Haver Pivoted'!GX29</f>
        <v>249.6</v>
      </c>
      <c r="N17" s="714">
        <f>'Haver Pivoted'!GY29</f>
        <v>281.39999999999998</v>
      </c>
      <c r="O17" s="714">
        <f>'Haver Pivoted'!GZ29</f>
        <v>278.39999999999998</v>
      </c>
      <c r="P17" s="714">
        <f>'Haver Pivoted'!HA29</f>
        <v>304.8</v>
      </c>
      <c r="Q17" s="714">
        <f>'Haver Pivoted'!HB29</f>
        <v>313.8</v>
      </c>
      <c r="R17" s="714">
        <f>'Haver Pivoted'!HC29</f>
        <v>353.2</v>
      </c>
      <c r="S17" s="723">
        <f>'Haver Pivoted'!HD29</f>
        <v>334.6</v>
      </c>
      <c r="T17" s="745">
        <f t="shared" ref="T17:AC17" si="5">T19+T18</f>
        <v>382.19188884072923</v>
      </c>
      <c r="U17" s="745">
        <f t="shared" si="5"/>
        <v>394.91708520104078</v>
      </c>
      <c r="V17" s="745">
        <f t="shared" si="5"/>
        <v>408.10910873050739</v>
      </c>
      <c r="W17" s="745">
        <f t="shared" si="5"/>
        <v>421.78508510638312</v>
      </c>
      <c r="X17" s="745">
        <f t="shared" si="5"/>
        <v>427.08469138358691</v>
      </c>
      <c r="Y17" s="745">
        <f t="shared" si="5"/>
        <v>431.72266035544538</v>
      </c>
      <c r="Z17" s="745">
        <f t="shared" si="5"/>
        <v>436.41563677685053</v>
      </c>
      <c r="AA17" s="745">
        <f t="shared" si="5"/>
        <v>441.16427304964549</v>
      </c>
      <c r="AB17" s="745">
        <f t="shared" si="5"/>
        <v>427.29133875132953</v>
      </c>
      <c r="AC17" s="746">
        <f t="shared" si="5"/>
        <v>423.03821600000856</v>
      </c>
      <c r="AD17" s="792"/>
      <c r="AE17" s="792"/>
      <c r="AF17" s="792"/>
      <c r="AG17" s="792"/>
      <c r="AH17" s="792"/>
      <c r="AI17" s="792"/>
      <c r="AJ17" s="792"/>
      <c r="AK17" s="792"/>
      <c r="AL17" s="792"/>
      <c r="AM17" s="792"/>
      <c r="AN17" s="792"/>
      <c r="AO17" s="792"/>
      <c r="AP17" s="792"/>
      <c r="AQ17" s="792"/>
      <c r="AR17" s="792"/>
      <c r="AS17" s="792"/>
      <c r="AT17" s="792"/>
      <c r="AU17" s="792"/>
      <c r="AV17" s="792"/>
      <c r="AW17" s="792"/>
      <c r="AX17" s="792"/>
      <c r="AY17" s="792"/>
      <c r="AZ17" s="792"/>
      <c r="BA17" s="792"/>
      <c r="BB17" s="792"/>
      <c r="BC17" s="792"/>
    </row>
    <row r="18" spans="4:55" x14ac:dyDescent="0.3">
      <c r="D18" s="262" t="s">
        <v>1480</v>
      </c>
      <c r="E18" s="71"/>
      <c r="F18" s="812"/>
      <c r="G18" s="725"/>
      <c r="H18" s="725"/>
      <c r="I18" s="725"/>
      <c r="J18" s="725"/>
      <c r="K18" s="725"/>
      <c r="L18" s="725"/>
      <c r="M18" s="725"/>
      <c r="N18" s="725"/>
      <c r="O18" s="725"/>
      <c r="P18" s="725"/>
      <c r="Q18" s="728"/>
      <c r="R18" s="725"/>
      <c r="S18" s="716"/>
      <c r="T18" s="745">
        <f>S17*(1+$J40)^0.25</f>
        <v>346.87488884072923</v>
      </c>
      <c r="U18" s="745">
        <f>T18*(1+$J40)^0.25</f>
        <v>359.60008520104077</v>
      </c>
      <c r="V18" s="745">
        <f>U18*(1+$J40)^0.25</f>
        <v>372.79210873050738</v>
      </c>
      <c r="W18" s="745">
        <f>V18*(1+$J40)^0.25</f>
        <v>386.46808510638311</v>
      </c>
      <c r="X18" s="745">
        <f>W18*(1+$K40)^0.25</f>
        <v>391.0516913835869</v>
      </c>
      <c r="Y18" s="745">
        <f>X18*(1+$K40)^0.25</f>
        <v>395.68966035544537</v>
      </c>
      <c r="Z18" s="745">
        <f>Y18*(1+$K40)^0.25</f>
        <v>400.38263677685052</v>
      </c>
      <c r="AA18" s="745">
        <f>Z18*(1+$K40)^0.25</f>
        <v>405.13127304964547</v>
      </c>
      <c r="AB18" s="745">
        <f>AA18*(1+$L40)^0.25</f>
        <v>406.21533875132951</v>
      </c>
      <c r="AC18" s="746">
        <f>AB18*(1+$I40)^0.25</f>
        <v>401.96221600000854</v>
      </c>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c r="BC18" s="782"/>
    </row>
    <row r="19" spans="4:55" ht="14.55" customHeight="1" x14ac:dyDescent="0.3">
      <c r="D19" s="262" t="s">
        <v>1478</v>
      </c>
      <c r="E19" s="750"/>
      <c r="F19" s="848"/>
      <c r="G19" s="732"/>
      <c r="H19" s="732"/>
      <c r="I19" s="732"/>
      <c r="J19" s="732"/>
      <c r="K19" s="732"/>
      <c r="L19" s="732"/>
      <c r="M19" s="732"/>
      <c r="N19" s="732"/>
      <c r="O19" s="732"/>
      <c r="P19" s="732"/>
      <c r="Q19" s="732"/>
      <c r="R19" s="732"/>
      <c r="S19" s="733">
        <f>'IRA and CHIPS'!E194</f>
        <v>0</v>
      </c>
      <c r="T19" s="745">
        <f>'IRA and CHIPS'!F194</f>
        <v>35.317</v>
      </c>
      <c r="U19" s="745">
        <f>'IRA and CHIPS'!G194</f>
        <v>35.317</v>
      </c>
      <c r="V19" s="745">
        <f>'IRA and CHIPS'!H194</f>
        <v>35.317</v>
      </c>
      <c r="W19" s="745">
        <f>'IRA and CHIPS'!I194</f>
        <v>35.317</v>
      </c>
      <c r="X19" s="745">
        <f>'IRA and CHIPS'!J194</f>
        <v>36.033000000000001</v>
      </c>
      <c r="Y19" s="745">
        <f>'IRA and CHIPS'!K194</f>
        <v>36.033000000000001</v>
      </c>
      <c r="Z19" s="745">
        <f>'IRA and CHIPS'!L194</f>
        <v>36.033000000000001</v>
      </c>
      <c r="AA19" s="745">
        <f>'IRA and CHIPS'!M194</f>
        <v>36.033000000000001</v>
      </c>
      <c r="AB19" s="745">
        <f>'IRA and CHIPS'!N194</f>
        <v>21.076000000000001</v>
      </c>
      <c r="AC19" s="746">
        <f>'IRA and CHIPS'!O194</f>
        <v>21.076000000000001</v>
      </c>
      <c r="AD19" s="792"/>
      <c r="AE19" s="792"/>
      <c r="AF19" s="792"/>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c r="BC19" s="792"/>
    </row>
    <row r="20" spans="4:55" x14ac:dyDescent="0.3">
      <c r="D20" s="761" t="s">
        <v>535</v>
      </c>
      <c r="E20" s="388"/>
      <c r="F20" s="812"/>
      <c r="G20" s="725"/>
      <c r="H20" s="725"/>
      <c r="I20" s="725"/>
      <c r="J20" s="725"/>
      <c r="K20" s="725"/>
      <c r="L20" s="725"/>
      <c r="M20" s="725"/>
      <c r="N20" s="725"/>
      <c r="O20" s="725"/>
      <c r="P20" s="725"/>
      <c r="Q20" s="725"/>
      <c r="R20" s="725"/>
      <c r="S20" s="734"/>
      <c r="T20" s="762"/>
      <c r="U20" s="762"/>
      <c r="V20" s="762"/>
      <c r="W20" s="762"/>
      <c r="X20" s="762"/>
      <c r="Y20" s="762"/>
      <c r="Z20" s="762"/>
      <c r="AA20" s="762"/>
      <c r="AB20" s="762"/>
      <c r="AC20" s="763"/>
    </row>
    <row r="21" spans="4:55" ht="14.55" customHeight="1" x14ac:dyDescent="0.3">
      <c r="D21" s="789" t="s">
        <v>543</v>
      </c>
      <c r="E21" s="751"/>
      <c r="F21" s="847">
        <f t="shared" ref="F21:P21" si="6">SUM(F23:F25)</f>
        <v>1894.6</v>
      </c>
      <c r="G21" s="714">
        <f t="shared" si="6"/>
        <v>1889.1999999999998</v>
      </c>
      <c r="H21" s="714">
        <f t="shared" si="6"/>
        <v>1883</v>
      </c>
      <c r="I21" s="714">
        <f t="shared" si="6"/>
        <v>1897.5</v>
      </c>
      <c r="J21" s="714">
        <f t="shared" si="6"/>
        <v>1801.6</v>
      </c>
      <c r="K21" s="714">
        <f t="shared" si="6"/>
        <v>1933.3000000000002</v>
      </c>
      <c r="L21" s="714">
        <f t="shared" si="6"/>
        <v>1955.6</v>
      </c>
      <c r="M21" s="714">
        <f t="shared" si="6"/>
        <v>1992.6</v>
      </c>
      <c r="N21" s="714">
        <f t="shared" si="6"/>
        <v>2088.7000000000003</v>
      </c>
      <c r="O21" s="714">
        <f t="shared" si="6"/>
        <v>2060.8000000000002</v>
      </c>
      <c r="P21" s="714">
        <f t="shared" si="6"/>
        <v>2119.9</v>
      </c>
      <c r="Q21" s="714">
        <f>SUM(Q22:Q25)</f>
        <v>2152.4</v>
      </c>
      <c r="R21" s="714">
        <f t="shared" ref="R21:AC21" si="7">SUM(R22:R25)</f>
        <v>2199.5</v>
      </c>
      <c r="S21" s="735">
        <f t="shared" si="7"/>
        <v>2238.5</v>
      </c>
      <c r="T21" s="752">
        <f t="shared" si="7"/>
        <v>2268.4182561651428</v>
      </c>
      <c r="U21" s="752">
        <f t="shared" si="7"/>
        <v>2295.2562539532132</v>
      </c>
      <c r="V21" s="752">
        <f t="shared" si="7"/>
        <v>2321.7782878540979</v>
      </c>
      <c r="W21" s="752">
        <f t="shared" si="7"/>
        <v>2347.5507271003335</v>
      </c>
      <c r="X21" s="752">
        <f t="shared" si="7"/>
        <v>2371.5299731521227</v>
      </c>
      <c r="Y21" s="752">
        <f t="shared" si="7"/>
        <v>2395.115238871128</v>
      </c>
      <c r="Z21" s="752">
        <f t="shared" si="7"/>
        <v>2417.0388945898803</v>
      </c>
      <c r="AA21" s="752">
        <f t="shared" si="7"/>
        <v>2438.7623017299529</v>
      </c>
      <c r="AB21" s="752">
        <f t="shared" si="7"/>
        <v>2461.5282045683075</v>
      </c>
      <c r="AC21" s="764">
        <f t="shared" si="7"/>
        <v>2483.9169649053383</v>
      </c>
    </row>
    <row r="22" spans="4:55" ht="42" customHeight="1" x14ac:dyDescent="0.3">
      <c r="D22" s="780" t="s">
        <v>898</v>
      </c>
      <c r="E22" s="751"/>
      <c r="F22" s="847"/>
      <c r="G22" s="714"/>
      <c r="H22" s="714"/>
      <c r="I22" s="714"/>
      <c r="J22" s="714"/>
      <c r="K22" s="714"/>
      <c r="L22" s="714"/>
      <c r="M22" s="714"/>
      <c r="N22" s="714"/>
      <c r="O22" s="714"/>
      <c r="P22" s="714"/>
      <c r="Q22" s="359"/>
      <c r="R22" s="359">
        <v>20</v>
      </c>
      <c r="S22" s="404">
        <v>20</v>
      </c>
      <c r="T22" s="391">
        <v>20</v>
      </c>
      <c r="U22" s="391">
        <v>20</v>
      </c>
      <c r="V22" s="391">
        <v>20</v>
      </c>
      <c r="W22" s="391">
        <v>20</v>
      </c>
      <c r="X22" s="391">
        <v>20</v>
      </c>
      <c r="Y22" s="391">
        <v>20</v>
      </c>
      <c r="Z22" s="391">
        <v>20</v>
      </c>
      <c r="AA22" s="391">
        <v>20</v>
      </c>
      <c r="AB22" s="391">
        <v>20</v>
      </c>
      <c r="AC22" s="392">
        <v>20</v>
      </c>
    </row>
    <row r="23" spans="4:55" x14ac:dyDescent="0.3">
      <c r="D23" s="515" t="s">
        <v>548</v>
      </c>
      <c r="E23" s="51" t="s">
        <v>549</v>
      </c>
      <c r="F23" s="814">
        <f>'Haver Pivoted'!GQ33</f>
        <v>529</v>
      </c>
      <c r="G23" s="726">
        <f>'Haver Pivoted'!GR33</f>
        <v>495.2</v>
      </c>
      <c r="H23" s="726">
        <f>'Haver Pivoted'!GS33</f>
        <v>489.6</v>
      </c>
      <c r="I23" s="726">
        <f>'Haver Pivoted'!GT33</f>
        <v>497.5</v>
      </c>
      <c r="J23" s="726">
        <f>'Haver Pivoted'!GU33</f>
        <v>488</v>
      </c>
      <c r="K23" s="726">
        <f>'Haver Pivoted'!GV33</f>
        <v>515.4</v>
      </c>
      <c r="L23" s="726">
        <f>'Haver Pivoted'!GW33</f>
        <v>522.9</v>
      </c>
      <c r="M23" s="726">
        <f>'Haver Pivoted'!GX33</f>
        <v>543.6</v>
      </c>
      <c r="N23" s="726">
        <f>'Haver Pivoted'!GY33</f>
        <v>566.6</v>
      </c>
      <c r="O23" s="726">
        <f>'Haver Pivoted'!GZ33</f>
        <v>534.4</v>
      </c>
      <c r="P23" s="726">
        <f>'Haver Pivoted'!HA33</f>
        <v>570.79999999999995</v>
      </c>
      <c r="Q23" s="726">
        <f>'Haver Pivoted'!HB33</f>
        <v>581.29999999999995</v>
      </c>
      <c r="R23" s="726">
        <f>'Haver Pivoted'!HC33</f>
        <v>589.79999999999995</v>
      </c>
      <c r="S23" s="717">
        <f>'Haver Pivoted'!HD33</f>
        <v>605.4</v>
      </c>
      <c r="T23" s="720">
        <f t="shared" ref="T23:AC23" si="8">$S120*T129*(T149/$S149)</f>
        <v>613.24449202365702</v>
      </c>
      <c r="U23" s="753">
        <f t="shared" si="8"/>
        <v>621.02523648233614</v>
      </c>
      <c r="V23" s="753">
        <f t="shared" si="8"/>
        <v>628.85202084905507</v>
      </c>
      <c r="W23" s="753">
        <f t="shared" si="8"/>
        <v>636.54776855443038</v>
      </c>
      <c r="X23" s="753">
        <f t="shared" si="8"/>
        <v>643.57416682753899</v>
      </c>
      <c r="Y23" s="753">
        <f t="shared" si="8"/>
        <v>650.54390059844513</v>
      </c>
      <c r="Z23" s="753">
        <f t="shared" si="8"/>
        <v>656.95761394148917</v>
      </c>
      <c r="AA23" s="753">
        <f t="shared" si="8"/>
        <v>663.53423772836561</v>
      </c>
      <c r="AB23" s="753">
        <f t="shared" si="8"/>
        <v>670.20648286270853</v>
      </c>
      <c r="AC23" s="754">
        <f t="shared" si="8"/>
        <v>676.63436233130335</v>
      </c>
    </row>
    <row r="24" spans="4:55" x14ac:dyDescent="0.3">
      <c r="D24" s="515" t="s">
        <v>545</v>
      </c>
      <c r="E24" s="51" t="s">
        <v>550</v>
      </c>
      <c r="F24" s="814">
        <f>'Haver Pivoted'!GQ36</f>
        <v>20.8</v>
      </c>
      <c r="G24" s="726">
        <f>'Haver Pivoted'!GR36</f>
        <v>20.7</v>
      </c>
      <c r="H24" s="726">
        <f>'Haver Pivoted'!GS36</f>
        <v>20.7</v>
      </c>
      <c r="I24" s="726">
        <f>'Haver Pivoted'!GT36</f>
        <v>20.7</v>
      </c>
      <c r="J24" s="726">
        <f>'Haver Pivoted'!GU36</f>
        <v>19.8</v>
      </c>
      <c r="K24" s="726">
        <f>'Haver Pivoted'!GV36</f>
        <v>20.5</v>
      </c>
      <c r="L24" s="726">
        <f>'Haver Pivoted'!GW36</f>
        <v>21.3</v>
      </c>
      <c r="M24" s="726">
        <f>'Haver Pivoted'!GX36</f>
        <v>22</v>
      </c>
      <c r="N24" s="726">
        <f>'Haver Pivoted'!GY36</f>
        <v>22.7</v>
      </c>
      <c r="O24" s="726">
        <f>'Haver Pivoted'!GZ36</f>
        <v>23.2</v>
      </c>
      <c r="P24" s="726">
        <f>'Haver Pivoted'!HA36</f>
        <v>23.4</v>
      </c>
      <c r="Q24" s="726">
        <f>'Haver Pivoted'!HB36</f>
        <v>23.4</v>
      </c>
      <c r="R24" s="726">
        <f>'Haver Pivoted'!HC36</f>
        <v>23.6</v>
      </c>
      <c r="S24" s="717">
        <f>'Haver Pivoted'!HD36</f>
        <v>24</v>
      </c>
      <c r="T24" s="720">
        <f t="shared" ref="T24:AC24" si="9">$S121*T130*(T150/$S150)</f>
        <v>24.26098017737889</v>
      </c>
      <c r="U24" s="753">
        <f t="shared" si="9"/>
        <v>24.508391929613794</v>
      </c>
      <c r="V24" s="753">
        <f t="shared" si="9"/>
        <v>24.753047595491328</v>
      </c>
      <c r="W24" s="753">
        <f t="shared" si="9"/>
        <v>24.987102929225117</v>
      </c>
      <c r="X24" s="753">
        <f t="shared" si="9"/>
        <v>25.184269107098686</v>
      </c>
      <c r="Y24" s="753">
        <f t="shared" si="9"/>
        <v>25.394155683544753</v>
      </c>
      <c r="Z24" s="753">
        <f t="shared" si="9"/>
        <v>25.603830253347937</v>
      </c>
      <c r="AA24" s="753">
        <f t="shared" si="9"/>
        <v>25.818804989222997</v>
      </c>
      <c r="AB24" s="753">
        <f t="shared" si="9"/>
        <v>26.031871665312181</v>
      </c>
      <c r="AC24" s="754">
        <f t="shared" si="9"/>
        <v>26.241122221829617</v>
      </c>
    </row>
    <row r="25" spans="4:55" x14ac:dyDescent="0.3">
      <c r="D25" s="515" t="s">
        <v>546</v>
      </c>
      <c r="E25" s="51" t="s">
        <v>551</v>
      </c>
      <c r="F25" s="814">
        <f>'Haver Pivoted'!GQ34</f>
        <v>1344.8</v>
      </c>
      <c r="G25" s="726">
        <f>'Haver Pivoted'!GR34</f>
        <v>1373.3</v>
      </c>
      <c r="H25" s="726">
        <f>'Haver Pivoted'!GS34</f>
        <v>1372.7</v>
      </c>
      <c r="I25" s="726">
        <f>'Haver Pivoted'!GT34</f>
        <v>1379.3</v>
      </c>
      <c r="J25" s="726">
        <f>'Haver Pivoted'!GU34</f>
        <v>1293.8</v>
      </c>
      <c r="K25" s="726">
        <f>'Haver Pivoted'!GV34</f>
        <v>1397.4</v>
      </c>
      <c r="L25" s="726">
        <f>'Haver Pivoted'!GW34</f>
        <v>1411.4</v>
      </c>
      <c r="M25" s="726">
        <f>'Haver Pivoted'!GX34</f>
        <v>1427</v>
      </c>
      <c r="N25" s="726">
        <f>'Haver Pivoted'!GY34</f>
        <v>1499.4</v>
      </c>
      <c r="O25" s="726">
        <f>'Haver Pivoted'!GZ34</f>
        <v>1503.2</v>
      </c>
      <c r="P25" s="726">
        <f>'Haver Pivoted'!HA34</f>
        <v>1525.7</v>
      </c>
      <c r="Q25" s="726">
        <f>'Haver Pivoted'!HB34</f>
        <v>1547.7</v>
      </c>
      <c r="R25" s="726">
        <f>'Haver Pivoted'!HC34</f>
        <v>1566.1</v>
      </c>
      <c r="S25" s="717">
        <f>'Haver Pivoted'!HD34</f>
        <v>1589.1</v>
      </c>
      <c r="T25" s="720">
        <f t="shared" ref="T25:AC25" si="10">$S126*T131*(T152/$S152)</f>
        <v>1610.9127839641069</v>
      </c>
      <c r="U25" s="753">
        <f t="shared" si="10"/>
        <v>1629.7226255412634</v>
      </c>
      <c r="V25" s="753">
        <f t="shared" si="10"/>
        <v>1648.1732194095514</v>
      </c>
      <c r="W25" s="753">
        <f t="shared" si="10"/>
        <v>1666.015855616678</v>
      </c>
      <c r="X25" s="753">
        <f t="shared" si="10"/>
        <v>1682.771537217485</v>
      </c>
      <c r="Y25" s="753">
        <f t="shared" si="10"/>
        <v>1699.1771825891383</v>
      </c>
      <c r="Z25" s="753">
        <f t="shared" si="10"/>
        <v>1714.477450395043</v>
      </c>
      <c r="AA25" s="753">
        <f t="shared" si="10"/>
        <v>1729.4092590123644</v>
      </c>
      <c r="AB25" s="753">
        <f t="shared" si="10"/>
        <v>1745.2898500402869</v>
      </c>
      <c r="AC25" s="754">
        <f t="shared" si="10"/>
        <v>1761.0414803522053</v>
      </c>
    </row>
    <row r="26" spans="4:55" ht="14.55" customHeight="1" x14ac:dyDescent="0.3">
      <c r="D26" s="793" t="s">
        <v>547</v>
      </c>
      <c r="E26" s="813" t="s">
        <v>552</v>
      </c>
      <c r="F26" s="848">
        <f>'Haver Pivoted'!GQ35</f>
        <v>74.5</v>
      </c>
      <c r="G26" s="732">
        <f>'Haver Pivoted'!GR35</f>
        <v>73.400000000000006</v>
      </c>
      <c r="H26" s="732">
        <f>'Haver Pivoted'!GS35</f>
        <v>72.099999999999994</v>
      </c>
      <c r="I26" s="732">
        <f>'Haver Pivoted'!GT35</f>
        <v>67.7</v>
      </c>
      <c r="J26" s="732">
        <f>'Haver Pivoted'!GU35</f>
        <v>65</v>
      </c>
      <c r="K26" s="732">
        <f>'Haver Pivoted'!GV35</f>
        <v>80.900000000000006</v>
      </c>
      <c r="L26" s="732">
        <f>'Haver Pivoted'!GW35</f>
        <v>84.8</v>
      </c>
      <c r="M26" s="732">
        <f>'Haver Pivoted'!GX35</f>
        <v>88</v>
      </c>
      <c r="N26" s="732">
        <f>'Haver Pivoted'!GY35</f>
        <v>90.3</v>
      </c>
      <c r="O26" s="732">
        <f>'Haver Pivoted'!GZ35</f>
        <v>94.4</v>
      </c>
      <c r="P26" s="732">
        <f>'Haver Pivoted'!HA35</f>
        <v>110.5</v>
      </c>
      <c r="Q26" s="732">
        <f>'Haver Pivoted'!HB35</f>
        <v>165.9</v>
      </c>
      <c r="R26" s="732">
        <f>'Haver Pivoted'!HC35</f>
        <v>109.8</v>
      </c>
      <c r="S26" s="715">
        <f>'Haver Pivoted'!HD35</f>
        <v>101.6</v>
      </c>
      <c r="T26" s="755">
        <f t="shared" ref="T26:AC26" si="11">$S127*T132*(T153/$S153)</f>
        <v>102.34079475027343</v>
      </c>
      <c r="U26" s="755">
        <f t="shared" si="11"/>
        <v>102.15559606270509</v>
      </c>
      <c r="V26" s="755">
        <f t="shared" si="11"/>
        <v>101.60411552639043</v>
      </c>
      <c r="W26" s="755">
        <f t="shared" si="11"/>
        <v>100.98678656782924</v>
      </c>
      <c r="X26" s="755">
        <f t="shared" si="11"/>
        <v>100.44765261068579</v>
      </c>
      <c r="Y26" s="755">
        <f t="shared" si="11"/>
        <v>99.982598128569705</v>
      </c>
      <c r="Z26" s="755">
        <f t="shared" si="11"/>
        <v>99.863247863247878</v>
      </c>
      <c r="AA26" s="755">
        <f t="shared" si="11"/>
        <v>99.51342812006321</v>
      </c>
      <c r="AB26" s="755">
        <f t="shared" si="11"/>
        <v>100.06079312998747</v>
      </c>
      <c r="AC26" s="755">
        <f t="shared" si="11"/>
        <v>100.42295945234335</v>
      </c>
    </row>
    <row r="27" spans="4:55" ht="14.55" customHeight="1" x14ac:dyDescent="0.3">
      <c r="D27" s="760"/>
      <c r="E27" s="751"/>
    </row>
    <row r="28" spans="4:55" ht="14.55" customHeight="1" x14ac:dyDescent="0.3">
      <c r="D28" s="760"/>
      <c r="E28" s="751"/>
      <c r="F28" s="714"/>
      <c r="G28" s="714"/>
      <c r="H28" s="714"/>
      <c r="I28" s="714"/>
      <c r="J28" s="714"/>
      <c r="K28" s="714"/>
      <c r="L28" s="714"/>
      <c r="M28" s="714"/>
      <c r="N28" s="714"/>
      <c r="O28" s="714"/>
      <c r="P28" s="714"/>
      <c r="Q28" s="714"/>
      <c r="R28" s="729"/>
      <c r="S28" s="730"/>
      <c r="T28" s="741"/>
      <c r="U28" s="741"/>
      <c r="V28" s="741"/>
      <c r="W28" s="741"/>
      <c r="X28" s="741"/>
      <c r="Y28" s="741"/>
      <c r="Z28" s="741"/>
      <c r="AA28" s="726"/>
      <c r="AB28" s="726"/>
      <c r="AC28" s="726"/>
    </row>
    <row r="29" spans="4:55" ht="14.55" customHeight="1" x14ac:dyDescent="0.3">
      <c r="D29" s="760"/>
      <c r="E29" s="751"/>
      <c r="F29" s="714"/>
      <c r="G29" s="714"/>
      <c r="H29" s="714"/>
      <c r="I29" s="714"/>
      <c r="J29" s="714"/>
      <c r="K29" s="714"/>
      <c r="L29" s="714"/>
      <c r="M29" s="714"/>
      <c r="N29" s="714"/>
      <c r="O29" s="714"/>
      <c r="P29" s="714"/>
      <c r="Q29" s="714"/>
      <c r="R29" s="727">
        <v>4460.7</v>
      </c>
      <c r="S29" s="731">
        <v>4521.3</v>
      </c>
      <c r="T29" s="743">
        <v>4551.0190720152614</v>
      </c>
      <c r="U29" s="743">
        <v>4544.8676839222089</v>
      </c>
      <c r="V29" s="743">
        <v>4561.1481332642215</v>
      </c>
      <c r="W29" s="743">
        <v>4577.8657982298319</v>
      </c>
      <c r="X29" s="743">
        <v>4581.3337918960706</v>
      </c>
      <c r="Y29" s="743">
        <v>4588.1656521289278</v>
      </c>
      <c r="Z29" s="743">
        <v>4595.1643406397661</v>
      </c>
      <c r="AA29" s="725"/>
      <c r="AB29" s="725"/>
      <c r="AC29" s="734"/>
    </row>
    <row r="30" spans="4:55" ht="14.55" customHeight="1" x14ac:dyDescent="0.3">
      <c r="D30" s="760"/>
      <c r="E30" s="751"/>
      <c r="F30" s="800"/>
      <c r="G30" s="800"/>
      <c r="H30" s="714"/>
      <c r="I30" s="714"/>
      <c r="J30" s="714"/>
      <c r="K30" s="714"/>
      <c r="L30" s="714"/>
      <c r="Q30" s="36"/>
      <c r="R30" s="726">
        <v>2608.1</v>
      </c>
      <c r="S30" s="699">
        <v>2648.4</v>
      </c>
      <c r="T30" s="745">
        <v>2651.1483852380043</v>
      </c>
      <c r="U30" s="745">
        <v>2618.0982645324866</v>
      </c>
      <c r="V30" s="745">
        <v>2607.0944430765317</v>
      </c>
      <c r="W30" s="745">
        <v>2596.1367268794525</v>
      </c>
      <c r="X30" s="745">
        <v>2592.6347616091152</v>
      </c>
      <c r="Y30" s="745">
        <v>2583.2429126477768</v>
      </c>
      <c r="Z30" s="745">
        <v>2573.8850565149764</v>
      </c>
      <c r="AD30" s="440"/>
      <c r="AE30" s="440"/>
      <c r="AF30" s="440"/>
      <c r="AG30" s="440"/>
      <c r="AH30" s="440"/>
      <c r="AI30" s="440"/>
      <c r="AJ30" s="440"/>
      <c r="AK30" s="440"/>
      <c r="AL30" s="258"/>
      <c r="AM30" s="258"/>
      <c r="AN30" s="258"/>
    </row>
    <row r="31" spans="4:55" ht="14.55" customHeight="1" x14ac:dyDescent="0.3">
      <c r="D31" s="180"/>
      <c r="E31" s="137"/>
      <c r="F31" s="137"/>
      <c r="G31" s="137"/>
      <c r="H31" s="137"/>
      <c r="I31" s="137"/>
      <c r="J31" s="137"/>
      <c r="K31" s="137"/>
      <c r="L31" s="137"/>
      <c r="Q31" s="36"/>
      <c r="R31" s="726"/>
      <c r="S31" s="716"/>
      <c r="T31" s="745">
        <v>2637.3033852380045</v>
      </c>
      <c r="U31" s="745">
        <v>2626.2532645324868</v>
      </c>
      <c r="V31" s="745">
        <v>2615.2494430765319</v>
      </c>
      <c r="W31" s="745">
        <v>2604.2917268794527</v>
      </c>
      <c r="X31" s="745">
        <v>2594.8657616091155</v>
      </c>
      <c r="Y31" s="745">
        <v>2585.4739126477771</v>
      </c>
      <c r="Z31" s="745">
        <v>2576.1160565149767</v>
      </c>
      <c r="AD31" s="258"/>
      <c r="AE31" s="258"/>
      <c r="AF31" s="258"/>
      <c r="AG31" s="258"/>
      <c r="AH31" s="258"/>
      <c r="AI31" s="258"/>
      <c r="AJ31" s="258"/>
      <c r="AK31" s="258"/>
      <c r="AL31" s="258"/>
      <c r="AM31" s="258"/>
      <c r="AN31" s="258"/>
    </row>
    <row r="32" spans="4:55" ht="14.55" customHeight="1" x14ac:dyDescent="0.3">
      <c r="D32" s="1201" t="s">
        <v>1012</v>
      </c>
      <c r="E32" s="1202"/>
      <c r="F32" s="1203"/>
      <c r="G32" s="145">
        <v>2020</v>
      </c>
      <c r="H32" s="145">
        <v>2021</v>
      </c>
      <c r="I32" s="778">
        <v>2022</v>
      </c>
      <c r="J32" s="818">
        <v>2023</v>
      </c>
      <c r="K32" s="818">
        <v>2024</v>
      </c>
      <c r="L32" s="819">
        <v>2025</v>
      </c>
      <c r="R32" s="726"/>
      <c r="S32" s="716">
        <v>0</v>
      </c>
      <c r="T32" s="767">
        <v>13.845000000000001</v>
      </c>
      <c r="U32" s="767">
        <v>-8.1549999999999994</v>
      </c>
      <c r="V32" s="767">
        <v>-8.1549999999999994</v>
      </c>
      <c r="W32" s="767">
        <v>-8.1549999999999994</v>
      </c>
      <c r="X32" s="767">
        <v>-2.2309999999999999</v>
      </c>
      <c r="Y32" s="767">
        <v>-2.2309999999999999</v>
      </c>
      <c r="Z32" s="767">
        <v>-2.2309999999999999</v>
      </c>
      <c r="AD32" s="258"/>
      <c r="AE32" s="258"/>
      <c r="AF32" s="258"/>
      <c r="AG32" s="258"/>
      <c r="AH32" s="258"/>
      <c r="AI32" s="258"/>
      <c r="AJ32" s="258"/>
      <c r="AK32" s="258"/>
      <c r="AL32" s="258"/>
      <c r="AM32" s="258"/>
      <c r="AN32" s="258"/>
    </row>
    <row r="33" spans="4:40" ht="14.55" customHeight="1" x14ac:dyDescent="0.3">
      <c r="D33" s="779" t="s">
        <v>553</v>
      </c>
      <c r="E33" s="283"/>
      <c r="F33" s="643"/>
      <c r="G33" s="773">
        <f>AVERAGE(H10:K10)</f>
        <v>1702.5749999999998</v>
      </c>
      <c r="H33" s="158">
        <v>1877.8879999999999</v>
      </c>
      <c r="I33" s="158">
        <f>H33*I46/H46</f>
        <v>2408.9346874084385</v>
      </c>
      <c r="J33" s="158">
        <f t="shared" ref="J33:L33" si="12">I33*J46/I46</f>
        <v>2368.8146341227671</v>
      </c>
      <c r="K33" s="158">
        <f t="shared" si="12"/>
        <v>2334.7056536832492</v>
      </c>
      <c r="L33" s="151">
        <f t="shared" si="12"/>
        <v>2332.341273868763</v>
      </c>
      <c r="M33" t="s">
        <v>993</v>
      </c>
      <c r="R33" s="726">
        <v>1643.2</v>
      </c>
      <c r="S33" s="699">
        <v>1670.9</v>
      </c>
      <c r="T33" s="769">
        <v>1695.4654081185688</v>
      </c>
      <c r="U33" s="769">
        <v>1720.3919744608684</v>
      </c>
      <c r="V33" s="769">
        <v>1745.6850087397249</v>
      </c>
      <c r="W33" s="769">
        <v>1771.3498987308426</v>
      </c>
      <c r="X33" s="769">
        <v>1786.180993608149</v>
      </c>
      <c r="Y33" s="769">
        <v>1801.136265744515</v>
      </c>
      <c r="Z33" s="769">
        <v>1816.2167548468396</v>
      </c>
      <c r="AD33" s="258"/>
      <c r="AE33" s="258"/>
    </row>
    <row r="34" spans="4:40" ht="14.55" customHeight="1" x14ac:dyDescent="0.3">
      <c r="D34" s="835" t="s">
        <v>560</v>
      </c>
      <c r="E34" s="139"/>
      <c r="F34" s="154"/>
      <c r="G34" s="773">
        <f>AVERAGE(H13:K13)</f>
        <v>1425.3999999999999</v>
      </c>
      <c r="H34" s="158">
        <v>1529.57</v>
      </c>
      <c r="I34" s="158">
        <f t="shared" ref="I34:L34" si="13">H34*I47/H47</f>
        <v>1704.7545636289196</v>
      </c>
      <c r="J34" s="158">
        <f t="shared" si="13"/>
        <v>1829.4015146626407</v>
      </c>
      <c r="K34" s="158">
        <f t="shared" si="13"/>
        <v>1891.4438894046671</v>
      </c>
      <c r="L34" s="151">
        <f t="shared" si="13"/>
        <v>1942.728776109363</v>
      </c>
      <c r="R34" s="726">
        <v>209.4</v>
      </c>
      <c r="S34" s="699">
        <v>202</v>
      </c>
      <c r="T34" s="745">
        <v>204.40527865868822</v>
      </c>
      <c r="U34" s="745">
        <v>206.37744492885409</v>
      </c>
      <c r="V34" s="745">
        <v>208.368681447965</v>
      </c>
      <c r="W34" s="745">
        <v>210.3791726195372</v>
      </c>
      <c r="X34" s="745">
        <v>202.51803667880668</v>
      </c>
      <c r="Y34" s="745">
        <v>203.78647373663617</v>
      </c>
      <c r="Z34" s="745">
        <v>205.06252927795072</v>
      </c>
      <c r="AD34" s="258"/>
      <c r="AE34" s="258"/>
    </row>
    <row r="35" spans="4:40" ht="14.55" customHeight="1" x14ac:dyDescent="0.3">
      <c r="D35" s="835" t="s">
        <v>105</v>
      </c>
      <c r="E35" s="139"/>
      <c r="F35" s="154"/>
      <c r="G35" s="773">
        <f>AVERAGE(H14:K14)</f>
        <v>161.30000000000001</v>
      </c>
      <c r="H35" s="158">
        <v>168.43899999999999</v>
      </c>
      <c r="I35" s="158">
        <f t="shared" ref="I35:L35" si="14">H35*I48/H48</f>
        <v>197.82868117790269</v>
      </c>
      <c r="J35" s="158">
        <f t="shared" si="14"/>
        <v>205.59215694420288</v>
      </c>
      <c r="K35" s="158">
        <f t="shared" si="14"/>
        <v>210.57614348282542</v>
      </c>
      <c r="L35" s="151">
        <f t="shared" si="14"/>
        <v>209.98379331954985</v>
      </c>
      <c r="R35" s="726"/>
      <c r="S35" s="716"/>
      <c r="T35" s="745">
        <v>203.95327865868822</v>
      </c>
      <c r="U35" s="745">
        <v>205.92544492885409</v>
      </c>
      <c r="V35" s="745">
        <v>207.916681447965</v>
      </c>
      <c r="W35" s="745">
        <v>209.9271726195372</v>
      </c>
      <c r="X35" s="745">
        <v>211.18803667880667</v>
      </c>
      <c r="Y35" s="745">
        <v>212.45647373663616</v>
      </c>
      <c r="Z35" s="745">
        <v>213.7325292779507</v>
      </c>
      <c r="AD35" s="258"/>
      <c r="AE35" s="258"/>
    </row>
    <row r="36" spans="4:40" ht="14.55" customHeight="1" x14ac:dyDescent="0.3">
      <c r="D36" s="835" t="s">
        <v>303</v>
      </c>
      <c r="E36" s="139"/>
      <c r="F36" s="154"/>
      <c r="G36" s="773">
        <f>AVERAGE(H17:K17)</f>
        <v>201.37499999999997</v>
      </c>
      <c r="H36" s="158">
        <v>259.06299999999999</v>
      </c>
      <c r="I36" s="158">
        <f>H36*I51/H51</f>
        <v>275.06601762628719</v>
      </c>
      <c r="J36" s="158">
        <f>I36*J51/I51</f>
        <v>317.70543069297611</v>
      </c>
      <c r="K36" s="158">
        <f>J36*K51/J51</f>
        <v>333.04795545019113</v>
      </c>
      <c r="L36" s="151">
        <f>K36*L51/K51</f>
        <v>336.62701860253719</v>
      </c>
      <c r="R36" s="726"/>
      <c r="S36" s="716">
        <v>0</v>
      </c>
      <c r="T36" s="767">
        <v>0.45200000000000001</v>
      </c>
      <c r="U36" s="767">
        <v>0.45200000000000001</v>
      </c>
      <c r="V36" s="767">
        <v>0.45200000000000001</v>
      </c>
      <c r="W36" s="767">
        <v>0.45200000000000001</v>
      </c>
      <c r="X36" s="767">
        <v>-8.67</v>
      </c>
      <c r="Y36" s="767">
        <v>-8.67</v>
      </c>
      <c r="Z36" s="767">
        <v>-8.67</v>
      </c>
      <c r="AD36" s="258"/>
      <c r="AE36" s="258"/>
    </row>
    <row r="37" spans="4:40" ht="14.55" customHeight="1" x14ac:dyDescent="0.3">
      <c r="D37" s="835" t="s">
        <v>1008</v>
      </c>
      <c r="E37" s="36"/>
      <c r="F37" s="598"/>
      <c r="G37" s="155"/>
      <c r="H37" s="770">
        <f>H33/G33-1+0.021</f>
        <v>0.12396932587404384</v>
      </c>
      <c r="I37" s="770">
        <f>I33/H33-1.05</f>
        <v>0.23278932897405946</v>
      </c>
      <c r="J37" s="774">
        <f>J33/I33-1</f>
        <v>-1.6654687026335768E-2</v>
      </c>
      <c r="K37" s="774">
        <f>K33/J33-1</f>
        <v>-1.4399176680259473E-2</v>
      </c>
      <c r="L37" s="775">
        <f t="shared" ref="L37:L40" si="15">L33/K33-1</f>
        <v>-1.0127100222488972E-3</v>
      </c>
      <c r="M37" t="s">
        <v>992</v>
      </c>
      <c r="R37" s="714">
        <v>353.2</v>
      </c>
      <c r="S37" s="716">
        <v>349.50195413008231</v>
      </c>
      <c r="T37" s="745">
        <v>362.32352507020306</v>
      </c>
      <c r="U37" s="745">
        <v>410.93245870623986</v>
      </c>
      <c r="V37" s="745">
        <v>424.7120104171741</v>
      </c>
      <c r="W37" s="745">
        <v>438.99706860009519</v>
      </c>
      <c r="X37" s="745">
        <v>444.50081322306482</v>
      </c>
      <c r="Y37" s="745">
        <v>449.34534167153834</v>
      </c>
      <c r="Z37" s="745">
        <v>454.24732741561337</v>
      </c>
      <c r="AD37" s="258"/>
      <c r="AE37" s="258"/>
    </row>
    <row r="38" spans="4:40" ht="14.55" customHeight="1" x14ac:dyDescent="0.3">
      <c r="D38" s="835" t="s">
        <v>1009</v>
      </c>
      <c r="E38" s="36"/>
      <c r="F38" s="598"/>
      <c r="G38" s="155"/>
      <c r="H38" s="770">
        <f>H34/G34-1.03</f>
        <v>4.308124035358496E-2</v>
      </c>
      <c r="I38" s="770">
        <f>I34/H34-1.013</f>
        <v>0.10153190349504748</v>
      </c>
      <c r="J38" s="783">
        <f>J34/I34-1-0.013</f>
        <v>6.0117241445234573E-2</v>
      </c>
      <c r="K38" s="774">
        <f t="shared" ref="K38" si="16">K34/J34-1</f>
        <v>3.3914028300926269E-2</v>
      </c>
      <c r="L38" s="775">
        <f t="shared" ref="L38:L39" si="17">L34/K34-1</f>
        <v>2.7114146495161418E-2</v>
      </c>
      <c r="M38" t="s">
        <v>994</v>
      </c>
      <c r="R38" s="725"/>
      <c r="S38" s="746">
        <v>349.50195413008231</v>
      </c>
      <c r="T38" s="745">
        <v>362.32352507020306</v>
      </c>
      <c r="U38" s="745">
        <v>375.61545870623985</v>
      </c>
      <c r="V38" s="745">
        <v>389.39501041717409</v>
      </c>
      <c r="W38" s="745">
        <v>403.68006860009518</v>
      </c>
      <c r="X38" s="745">
        <v>408.46781322306481</v>
      </c>
      <c r="Y38" s="745">
        <v>413.31234167153832</v>
      </c>
      <c r="Z38" s="745">
        <v>418.21432741561335</v>
      </c>
      <c r="AD38" s="258"/>
      <c r="AE38" s="258"/>
    </row>
    <row r="39" spans="4:40" ht="14.55" customHeight="1" x14ac:dyDescent="0.3">
      <c r="D39" s="835" t="s">
        <v>1010</v>
      </c>
      <c r="E39" s="36"/>
      <c r="F39" s="598"/>
      <c r="G39" s="155"/>
      <c r="H39" s="770">
        <f t="shared" ref="H39:H40" si="18">H35/G35-1</f>
        <v>4.4259144451332721E-2</v>
      </c>
      <c r="I39" s="770">
        <f>I35/H35-1.01</f>
        <v>0.16448263868761215</v>
      </c>
      <c r="J39" s="774">
        <f t="shared" ref="J39:K39" si="19">J35/I35-1</f>
        <v>3.9243428809590419E-2</v>
      </c>
      <c r="K39" s="774">
        <f t="shared" si="19"/>
        <v>2.4242104429962108E-2</v>
      </c>
      <c r="L39" s="775">
        <f t="shared" si="17"/>
        <v>-2.8129974909711919E-3</v>
      </c>
      <c r="R39" s="732"/>
      <c r="S39" s="733">
        <v>0</v>
      </c>
      <c r="T39" s="745">
        <v>35.317</v>
      </c>
      <c r="U39" s="745">
        <v>35.317</v>
      </c>
      <c r="V39" s="745">
        <v>35.317</v>
      </c>
      <c r="W39" s="745">
        <v>35.317</v>
      </c>
      <c r="X39" s="745">
        <v>36.033000000000001</v>
      </c>
      <c r="Y39" s="745">
        <v>36.033000000000001</v>
      </c>
      <c r="Z39" s="745">
        <v>36.033000000000001</v>
      </c>
      <c r="AD39" s="258"/>
      <c r="AE39" s="258"/>
    </row>
    <row r="40" spans="4:40" ht="14.55" customHeight="1" x14ac:dyDescent="0.3">
      <c r="D40" s="836" t="s">
        <v>1011</v>
      </c>
      <c r="E40" s="37"/>
      <c r="F40" s="592"/>
      <c r="G40" s="265"/>
      <c r="H40" s="771">
        <f t="shared" si="18"/>
        <v>0.28647051520794542</v>
      </c>
      <c r="I40" s="771">
        <f>I36/H36-1.103</f>
        <v>-4.1227312945935068E-2</v>
      </c>
      <c r="J40" s="776">
        <f>J36/I36-1</f>
        <v>0.15501519756838911</v>
      </c>
      <c r="K40" s="776">
        <f>K36/J36-1</f>
        <v>4.8291666666666844E-2</v>
      </c>
      <c r="L40" s="777">
        <f t="shared" si="15"/>
        <v>1.0746389802958278E-2</v>
      </c>
      <c r="R40" s="725"/>
      <c r="S40" s="734"/>
      <c r="T40" s="762"/>
      <c r="U40" s="762"/>
      <c r="V40" s="762"/>
      <c r="W40" s="762"/>
      <c r="X40" s="762"/>
      <c r="Y40" s="762"/>
      <c r="Z40" s="762"/>
      <c r="AD40" s="258"/>
      <c r="AE40" s="258"/>
    </row>
    <row r="41" spans="4:40" ht="14.55" customHeight="1" x14ac:dyDescent="0.3">
      <c r="D41" s="760"/>
      <c r="E41" s="751"/>
      <c r="F41" s="800"/>
      <c r="G41" s="800"/>
      <c r="H41" s="714"/>
      <c r="I41" s="714"/>
      <c r="J41" s="714"/>
      <c r="K41" s="714"/>
      <c r="L41" s="714"/>
      <c r="R41" s="714">
        <v>2199.5</v>
      </c>
      <c r="S41" s="735">
        <v>2207.1</v>
      </c>
      <c r="T41" s="752">
        <v>2236.6129051275057</v>
      </c>
      <c r="U41" s="752">
        <v>2263.0458707440143</v>
      </c>
      <c r="V41" s="752">
        <v>2289.159990029701</v>
      </c>
      <c r="W41" s="752">
        <v>2314.5310511748094</v>
      </c>
      <c r="X41" s="752">
        <v>2338.1443958655282</v>
      </c>
      <c r="Y41" s="752">
        <v>2361.3664215061503</v>
      </c>
      <c r="Z41" s="752">
        <v>2382.9559638586984</v>
      </c>
      <c r="AD41" s="258"/>
      <c r="AE41" s="258"/>
    </row>
    <row r="42" spans="4:40" ht="14.55" customHeight="1" x14ac:dyDescent="0.3">
      <c r="D42" s="760"/>
      <c r="E42" s="751"/>
      <c r="F42" s="800"/>
      <c r="G42" s="800"/>
      <c r="H42" s="714"/>
      <c r="I42" s="714"/>
      <c r="J42" s="867"/>
      <c r="K42" s="714"/>
      <c r="L42" s="714"/>
      <c r="R42" s="359">
        <v>20</v>
      </c>
      <c r="S42" s="404">
        <v>20</v>
      </c>
      <c r="T42" s="391">
        <v>20</v>
      </c>
      <c r="U42" s="391">
        <v>20</v>
      </c>
      <c r="V42" s="391">
        <v>20</v>
      </c>
      <c r="W42" s="391">
        <v>20</v>
      </c>
      <c r="X42" s="391">
        <v>20</v>
      </c>
      <c r="Y42" s="391">
        <v>20</v>
      </c>
      <c r="Z42" s="391">
        <v>20</v>
      </c>
      <c r="AD42" s="258"/>
      <c r="AE42" s="258"/>
    </row>
    <row r="43" spans="4:40" ht="14.55" customHeight="1" x14ac:dyDescent="0.3">
      <c r="D43" s="760"/>
      <c r="E43" s="751"/>
      <c r="F43" s="800"/>
      <c r="G43" s="800"/>
      <c r="H43" s="714"/>
      <c r="I43" s="714"/>
      <c r="J43" s="714"/>
      <c r="K43" s="714"/>
      <c r="L43" s="714"/>
      <c r="R43" s="726">
        <v>589.79999999999995</v>
      </c>
      <c r="S43" s="699">
        <v>572.4</v>
      </c>
      <c r="T43" s="753">
        <v>579.81689335041506</v>
      </c>
      <c r="U43" s="753">
        <v>587.17351397834364</v>
      </c>
      <c r="V43" s="753">
        <v>594.57366490584582</v>
      </c>
      <c r="W43" s="753">
        <v>601.84992190379251</v>
      </c>
      <c r="X43" s="753">
        <v>608.49331531563155</v>
      </c>
      <c r="Y43" s="753">
        <v>615.08313297414929</v>
      </c>
      <c r="Z43" s="753">
        <v>621.14723855320187</v>
      </c>
      <c r="AD43" s="258"/>
      <c r="AE43" s="258"/>
    </row>
    <row r="44" spans="4:40" ht="41.7" customHeight="1" x14ac:dyDescent="0.3">
      <c r="F44" s="155"/>
      <c r="G44" s="155"/>
      <c r="H44" s="196"/>
      <c r="I44" s="196"/>
      <c r="J44" s="196"/>
      <c r="K44" s="196"/>
      <c r="L44" s="196"/>
      <c r="M44" s="177"/>
      <c r="N44" s="177"/>
      <c r="R44" s="726">
        <v>23.6</v>
      </c>
      <c r="S44" s="699">
        <v>23.9</v>
      </c>
      <c r="T44" s="753">
        <v>24.159892759973147</v>
      </c>
      <c r="U44" s="753">
        <v>24.406273629907069</v>
      </c>
      <c r="V44" s="753">
        <v>24.64990989717678</v>
      </c>
      <c r="W44" s="753">
        <v>24.882990000353345</v>
      </c>
      <c r="X44" s="753">
        <v>25.079334652485777</v>
      </c>
      <c r="Y44" s="753">
        <v>25.288346701529981</v>
      </c>
      <c r="Z44" s="753">
        <v>25.497147627292318</v>
      </c>
      <c r="AD44" s="196"/>
      <c r="AE44" s="196"/>
      <c r="AF44" s="196"/>
      <c r="AG44" s="196"/>
      <c r="AH44" s="196"/>
      <c r="AI44" s="196"/>
      <c r="AJ44" s="196"/>
      <c r="AK44" s="196"/>
      <c r="AM44" s="196"/>
      <c r="AN44" s="196"/>
    </row>
    <row r="45" spans="4:40" ht="30.75" customHeight="1" x14ac:dyDescent="0.3">
      <c r="D45" s="859" t="s">
        <v>1002</v>
      </c>
      <c r="E45" s="696">
        <v>2018</v>
      </c>
      <c r="F45" s="830">
        <v>2019</v>
      </c>
      <c r="G45" s="830">
        <v>2020</v>
      </c>
      <c r="H45" s="850">
        <v>2021</v>
      </c>
      <c r="I45" s="851">
        <v>2022</v>
      </c>
      <c r="J45" s="851">
        <v>2023</v>
      </c>
      <c r="K45" s="851">
        <v>2024</v>
      </c>
      <c r="L45" s="815">
        <v>2025</v>
      </c>
      <c r="N45" s="817"/>
      <c r="O45" s="273"/>
      <c r="R45" s="726">
        <v>1566.1</v>
      </c>
      <c r="S45" s="699">
        <v>1590.8</v>
      </c>
      <c r="T45" s="753">
        <v>1612.6361190171174</v>
      </c>
      <c r="U45" s="753">
        <v>1631.4660831357635</v>
      </c>
      <c r="V45" s="753">
        <v>1649.9364152266783</v>
      </c>
      <c r="W45" s="753">
        <v>1667.7981392706636</v>
      </c>
      <c r="X45" s="753">
        <v>1684.5717458974107</v>
      </c>
      <c r="Y45" s="753">
        <v>1700.9949418304709</v>
      </c>
      <c r="Z45" s="753">
        <v>1716.3115776782042</v>
      </c>
    </row>
    <row r="46" spans="4:40" ht="16.5" customHeight="1" x14ac:dyDescent="0.3">
      <c r="D46" s="827" t="s">
        <v>553</v>
      </c>
      <c r="E46" s="823">
        <v>1683.5</v>
      </c>
      <c r="F46" s="824">
        <v>1717.9</v>
      </c>
      <c r="G46" s="826">
        <v>1609</v>
      </c>
      <c r="H46" s="426">
        <v>2044.377</v>
      </c>
      <c r="I46" s="426">
        <v>2622.5050000000006</v>
      </c>
      <c r="J46" s="426">
        <v>2578.828</v>
      </c>
      <c r="K46" s="426">
        <v>2541.6950000000002</v>
      </c>
      <c r="L46" s="724">
        <v>2539.1210000000001</v>
      </c>
      <c r="M46" s="834" t="s">
        <v>554</v>
      </c>
      <c r="N46" s="807"/>
      <c r="O46" s="787"/>
      <c r="P46" s="804"/>
      <c r="Q46" s="804"/>
      <c r="R46" s="732">
        <v>109.8</v>
      </c>
      <c r="S46" s="700">
        <v>112.00035534253368</v>
      </c>
      <c r="T46" s="755">
        <v>112.81698206759772</v>
      </c>
      <c r="U46" s="755">
        <v>112.61282538633171</v>
      </c>
      <c r="V46" s="755">
        <v>112.00489215767293</v>
      </c>
      <c r="W46" s="755">
        <v>111.32436988678622</v>
      </c>
      <c r="X46" s="755">
        <v>110.73004710354516</v>
      </c>
      <c r="Y46" s="755">
        <v>110.21738699281053</v>
      </c>
      <c r="Z46" s="755">
        <v>110.08581935377244</v>
      </c>
    </row>
    <row r="47" spans="4:40" ht="16.5" customHeight="1" x14ac:dyDescent="0.3">
      <c r="D47" s="827" t="s">
        <v>555</v>
      </c>
      <c r="E47" s="825">
        <v>1170.7</v>
      </c>
      <c r="F47" s="802">
        <v>1243.4000000000001</v>
      </c>
      <c r="G47" s="852">
        <v>1310</v>
      </c>
      <c r="H47" s="426">
        <v>1314.088</v>
      </c>
      <c r="I47" s="426">
        <v>1464.5929999999998</v>
      </c>
      <c r="J47" s="426">
        <v>1571.68</v>
      </c>
      <c r="K47" s="426">
        <v>1624.982</v>
      </c>
      <c r="L47" s="724">
        <v>1669.0420000000001</v>
      </c>
      <c r="M47" s="801"/>
      <c r="N47" s="801"/>
      <c r="O47" s="787"/>
      <c r="P47" s="804"/>
      <c r="Q47" s="804"/>
      <c r="R47" s="804"/>
      <c r="S47" s="804"/>
      <c r="T47" s="804"/>
      <c r="U47" s="804"/>
      <c r="V47" s="804"/>
      <c r="W47" s="804"/>
      <c r="X47" s="801"/>
      <c r="Y47" s="801"/>
      <c r="Z47" s="805"/>
    </row>
    <row r="48" spans="4:40" x14ac:dyDescent="0.3">
      <c r="D48" s="178" t="s">
        <v>556</v>
      </c>
      <c r="E48" s="462">
        <f t="shared" ref="E48:L48" si="20">E49+E50</f>
        <v>136.30000000000001</v>
      </c>
      <c r="F48" s="426">
        <f t="shared" si="20"/>
        <v>170.6</v>
      </c>
      <c r="G48" s="724">
        <f t="shared" si="20"/>
        <v>156</v>
      </c>
      <c r="H48" s="426">
        <f t="shared" si="20"/>
        <v>155.25900000000001</v>
      </c>
      <c r="I48" s="426">
        <f t="shared" si="20"/>
        <v>182.34899999999999</v>
      </c>
      <c r="J48" s="426">
        <f t="shared" si="20"/>
        <v>189.505</v>
      </c>
      <c r="K48" s="426">
        <f t="shared" si="20"/>
        <v>194.09899999999999</v>
      </c>
      <c r="L48" s="724">
        <f t="shared" si="20"/>
        <v>193.553</v>
      </c>
      <c r="N48" s="137"/>
      <c r="P48" s="808"/>
      <c r="Q48" s="808"/>
      <c r="R48" s="808"/>
      <c r="S48" s="808"/>
      <c r="T48" s="808"/>
      <c r="U48" s="808"/>
      <c r="V48" s="808"/>
      <c r="W48" s="808"/>
    </row>
    <row r="49" spans="4:26" ht="16.5" customHeight="1" x14ac:dyDescent="0.3">
      <c r="D49" s="515" t="s">
        <v>1535</v>
      </c>
      <c r="E49" s="825">
        <v>95</v>
      </c>
      <c r="F49" s="802">
        <v>99.8</v>
      </c>
      <c r="G49" s="852">
        <v>87</v>
      </c>
      <c r="H49" s="426">
        <v>75.274000000000001</v>
      </c>
      <c r="I49" s="426">
        <v>87.554999999999993</v>
      </c>
      <c r="J49" s="426">
        <v>90.245999999999995</v>
      </c>
      <c r="K49" s="426">
        <f>93.706</f>
        <v>93.706000000000003</v>
      </c>
      <c r="L49" s="724">
        <f>92.66</f>
        <v>92.66</v>
      </c>
      <c r="M49" s="801"/>
      <c r="N49" s="801"/>
      <c r="O49" s="806"/>
      <c r="P49" s="804"/>
      <c r="Q49" s="804"/>
      <c r="R49" s="804"/>
      <c r="S49" s="804"/>
      <c r="T49" s="804"/>
      <c r="U49" s="804"/>
      <c r="V49" s="804"/>
      <c r="W49" s="804"/>
      <c r="X49" s="801"/>
      <c r="Y49" s="801"/>
      <c r="Z49" s="805"/>
    </row>
    <row r="50" spans="4:26" ht="16.5" customHeight="1" x14ac:dyDescent="0.3">
      <c r="D50" s="515" t="s">
        <v>557</v>
      </c>
      <c r="E50" s="825">
        <v>41.3</v>
      </c>
      <c r="F50" s="802">
        <v>70.8</v>
      </c>
      <c r="G50" s="852">
        <v>69</v>
      </c>
      <c r="H50" s="426">
        <v>79.984999999999999</v>
      </c>
      <c r="I50" s="426">
        <v>94.793999999999997</v>
      </c>
      <c r="J50" s="426">
        <v>99.259</v>
      </c>
      <c r="K50" s="426">
        <v>100.393</v>
      </c>
      <c r="L50" s="724">
        <v>100.893</v>
      </c>
      <c r="M50" s="801"/>
      <c r="N50" s="801"/>
      <c r="O50" s="806"/>
      <c r="P50" s="804"/>
      <c r="Q50" s="804"/>
      <c r="R50" s="804"/>
      <c r="S50" s="804"/>
      <c r="T50" s="804"/>
      <c r="U50" s="804"/>
      <c r="V50" s="804"/>
      <c r="W50" s="804"/>
      <c r="X50" s="801"/>
      <c r="Y50" s="801"/>
      <c r="Z50" s="805"/>
    </row>
    <row r="51" spans="4:26" ht="16.5" customHeight="1" x14ac:dyDescent="0.3">
      <c r="D51" s="827" t="s">
        <v>106</v>
      </c>
      <c r="E51" s="802">
        <v>204.7</v>
      </c>
      <c r="F51" s="802">
        <v>230.2</v>
      </c>
      <c r="G51" s="802">
        <v>212</v>
      </c>
      <c r="H51" s="426">
        <v>371.83100000000002</v>
      </c>
      <c r="I51" s="426">
        <v>394.8</v>
      </c>
      <c r="J51" s="426">
        <v>456</v>
      </c>
      <c r="K51" s="426">
        <f>478.021</f>
        <v>478.02100000000002</v>
      </c>
      <c r="L51" s="724">
        <f>483.158</f>
        <v>483.15800000000002</v>
      </c>
      <c r="M51" s="773"/>
      <c r="N51" s="773"/>
      <c r="O51" s="786"/>
      <c r="P51" s="802"/>
      <c r="Q51" s="802"/>
      <c r="R51" s="802"/>
      <c r="S51" s="802"/>
      <c r="T51" s="802"/>
      <c r="U51" s="802"/>
      <c r="V51" s="802"/>
      <c r="W51" s="802"/>
      <c r="X51" s="773"/>
      <c r="Y51" s="773"/>
      <c r="Z51" s="788"/>
    </row>
    <row r="52" spans="4:26" ht="16.5" customHeight="1" x14ac:dyDescent="0.3">
      <c r="D52" s="787"/>
      <c r="E52" s="791"/>
      <c r="F52" s="791"/>
      <c r="G52" s="773"/>
      <c r="H52" s="773"/>
      <c r="I52" s="773"/>
      <c r="J52" s="773"/>
      <c r="K52" s="773"/>
      <c r="L52" s="773"/>
      <c r="M52" s="773"/>
      <c r="N52" s="773"/>
      <c r="O52" s="773"/>
      <c r="P52" s="773"/>
      <c r="Q52" s="773"/>
      <c r="R52" s="773"/>
      <c r="S52" s="773"/>
      <c r="T52" s="773"/>
      <c r="U52" s="773"/>
      <c r="V52" s="773"/>
      <c r="W52" s="773"/>
      <c r="X52" s="773"/>
      <c r="Y52" s="773"/>
      <c r="Z52" s="788"/>
    </row>
    <row r="53" spans="4:26" x14ac:dyDescent="0.3">
      <c r="D53" s="794" t="s">
        <v>558</v>
      </c>
      <c r="E53" s="696">
        <v>2018</v>
      </c>
      <c r="F53" s="697">
        <v>2019</v>
      </c>
      <c r="G53" s="698">
        <v>2020</v>
      </c>
      <c r="H53" s="818">
        <v>2021</v>
      </c>
      <c r="I53" s="818">
        <v>2022</v>
      </c>
      <c r="J53" s="818">
        <v>2023</v>
      </c>
      <c r="K53" s="818">
        <v>2024</v>
      </c>
      <c r="L53" s="819">
        <v>2025</v>
      </c>
      <c r="O53" s="180" t="s">
        <v>559</v>
      </c>
    </row>
    <row r="54" spans="4:26" ht="14.7" customHeight="1" x14ac:dyDescent="0.3">
      <c r="D54" s="796" t="s">
        <v>553</v>
      </c>
      <c r="E54" s="139">
        <v>1622</v>
      </c>
      <c r="F54" s="139">
        <v>1687</v>
      </c>
      <c r="G54" s="790">
        <f t="shared" ref="G54:L57" si="21">G33</f>
        <v>1702.5749999999998</v>
      </c>
      <c r="H54" s="790">
        <f t="shared" si="21"/>
        <v>1877.8879999999999</v>
      </c>
      <c r="I54" s="790">
        <f t="shared" si="21"/>
        <v>2408.9346874084385</v>
      </c>
      <c r="J54" s="790">
        <f t="shared" si="21"/>
        <v>2368.8146341227671</v>
      </c>
      <c r="K54" s="790">
        <f t="shared" si="21"/>
        <v>2334.7056536832492</v>
      </c>
      <c r="L54" s="790">
        <f t="shared" si="21"/>
        <v>2332.341273868763</v>
      </c>
    </row>
    <row r="55" spans="4:26" x14ac:dyDescent="0.3">
      <c r="D55" s="796" t="s">
        <v>560</v>
      </c>
      <c r="E55" s="139">
        <v>1332</v>
      </c>
      <c r="F55" s="139">
        <v>1388</v>
      </c>
      <c r="G55" s="790">
        <f t="shared" si="21"/>
        <v>1425.3999999999999</v>
      </c>
      <c r="H55" s="790">
        <f t="shared" si="21"/>
        <v>1529.57</v>
      </c>
      <c r="I55" s="790">
        <f t="shared" si="21"/>
        <v>1704.7545636289196</v>
      </c>
      <c r="J55" s="790">
        <f t="shared" si="21"/>
        <v>1829.4015146626407</v>
      </c>
      <c r="K55" s="790">
        <f t="shared" si="21"/>
        <v>1891.4438894046671</v>
      </c>
      <c r="L55" s="790">
        <f t="shared" si="21"/>
        <v>1942.728776109363</v>
      </c>
      <c r="N55" s="799"/>
    </row>
    <row r="56" spans="4:26" x14ac:dyDescent="0.3">
      <c r="D56" s="796" t="s">
        <v>105</v>
      </c>
      <c r="E56" s="139">
        <v>150</v>
      </c>
      <c r="F56" s="139">
        <v>175</v>
      </c>
      <c r="G56" s="790">
        <f t="shared" si="21"/>
        <v>161.30000000000001</v>
      </c>
      <c r="H56" s="790">
        <f t="shared" si="21"/>
        <v>168.43899999999999</v>
      </c>
      <c r="I56" s="790">
        <f t="shared" si="21"/>
        <v>197.82868117790269</v>
      </c>
      <c r="J56" s="790">
        <f t="shared" si="21"/>
        <v>205.59215694420288</v>
      </c>
      <c r="K56" s="790">
        <f t="shared" si="21"/>
        <v>210.57614348282542</v>
      </c>
      <c r="L56" s="790">
        <f t="shared" si="21"/>
        <v>209.98379331954985</v>
      </c>
      <c r="N56" s="799"/>
    </row>
    <row r="57" spans="4:26" x14ac:dyDescent="0.3">
      <c r="D57" s="795" t="s">
        <v>303</v>
      </c>
      <c r="E57" s="157">
        <v>208</v>
      </c>
      <c r="F57" s="157">
        <v>219</v>
      </c>
      <c r="G57" s="865">
        <f t="shared" si="21"/>
        <v>201.37499999999997</v>
      </c>
      <c r="H57" s="865">
        <f t="shared" si="21"/>
        <v>259.06299999999999</v>
      </c>
      <c r="I57" s="865">
        <f t="shared" si="21"/>
        <v>275.06601762628719</v>
      </c>
      <c r="J57" s="865">
        <f t="shared" si="21"/>
        <v>317.70543069297611</v>
      </c>
      <c r="K57" s="865">
        <f t="shared" si="21"/>
        <v>333.04795545019113</v>
      </c>
      <c r="L57" s="865">
        <f t="shared" si="21"/>
        <v>336.62701860253719</v>
      </c>
      <c r="O57" s="1209" t="s">
        <v>987</v>
      </c>
      <c r="P57" s="1209" t="s">
        <v>987</v>
      </c>
      <c r="Q57" s="1209" t="s">
        <v>987</v>
      </c>
      <c r="R57" s="1209" t="s">
        <v>987</v>
      </c>
      <c r="S57" s="1209" t="s">
        <v>987</v>
      </c>
      <c r="T57" s="1209" t="s">
        <v>987</v>
      </c>
      <c r="U57" s="1209" t="s">
        <v>987</v>
      </c>
      <c r="V57" s="1210" t="s">
        <v>987</v>
      </c>
    </row>
    <row r="58" spans="4:26" ht="14.55" customHeight="1" x14ac:dyDescent="0.3">
      <c r="D58" s="268"/>
      <c r="E58" s="139"/>
      <c r="F58" s="139"/>
      <c r="G58" s="139"/>
      <c r="P58" s="1211">
        <v>2022</v>
      </c>
      <c r="Q58" s="1212">
        <v>2022</v>
      </c>
      <c r="R58" s="1212">
        <v>2022</v>
      </c>
      <c r="S58" s="1213">
        <v>2022</v>
      </c>
    </row>
    <row r="59" spans="4:26" ht="17.25" customHeight="1" x14ac:dyDescent="0.3">
      <c r="D59" s="181" t="s">
        <v>562</v>
      </c>
      <c r="E59" s="139"/>
      <c r="F59" s="139"/>
      <c r="G59" s="139"/>
      <c r="P59" s="858" t="s">
        <v>988</v>
      </c>
      <c r="Q59" s="858" t="s">
        <v>989</v>
      </c>
      <c r="R59" s="858" t="s">
        <v>990</v>
      </c>
      <c r="S59" s="858" t="s">
        <v>991</v>
      </c>
      <c r="T59" s="866" t="s">
        <v>1007</v>
      </c>
    </row>
    <row r="60" spans="4:26" ht="30" customHeight="1" x14ac:dyDescent="0.3">
      <c r="D60" s="853" t="s">
        <v>563</v>
      </c>
      <c r="E60" s="697">
        <v>2018</v>
      </c>
      <c r="F60" s="697">
        <v>2019</v>
      </c>
      <c r="G60" s="698">
        <v>2020</v>
      </c>
      <c r="H60" s="820">
        <v>2021</v>
      </c>
      <c r="I60" s="821">
        <v>2022</v>
      </c>
      <c r="J60" s="821">
        <v>2023</v>
      </c>
      <c r="K60" s="821">
        <v>2024</v>
      </c>
      <c r="L60" s="822">
        <v>2025</v>
      </c>
      <c r="O60" s="31" t="s">
        <v>561</v>
      </c>
      <c r="P60" s="856">
        <v>2973</v>
      </c>
      <c r="Q60" s="856">
        <v>3062.8</v>
      </c>
      <c r="R60" s="856">
        <v>3085.2</v>
      </c>
      <c r="S60" s="857">
        <v>2106.1999999999998</v>
      </c>
      <c r="T60" s="856">
        <v>3123.2</v>
      </c>
    </row>
    <row r="61" spans="4:26" x14ac:dyDescent="0.3">
      <c r="D61" s="796" t="s">
        <v>553</v>
      </c>
      <c r="E61" s="166">
        <f t="shared" ref="E61:K63" si="22">E54/E46</f>
        <v>0.96346896346896349</v>
      </c>
      <c r="F61" s="166">
        <f t="shared" si="22"/>
        <v>0.98201292275452579</v>
      </c>
      <c r="G61" s="166">
        <f t="shared" si="22"/>
        <v>1.0581572405220632</v>
      </c>
      <c r="H61" s="756">
        <f t="shared" si="22"/>
        <v>0.91856247649039291</v>
      </c>
      <c r="I61" s="757">
        <f t="shared" si="22"/>
        <v>0.91856247649039302</v>
      </c>
      <c r="J61" s="757">
        <f t="shared" si="22"/>
        <v>0.91856247649039291</v>
      </c>
      <c r="K61" s="757">
        <f t="shared" si="22"/>
        <v>0.91856247649039291</v>
      </c>
      <c r="L61" s="758"/>
      <c r="T61" s="273"/>
    </row>
    <row r="62" spans="4:26" x14ac:dyDescent="0.3">
      <c r="D62" s="796" t="s">
        <v>560</v>
      </c>
      <c r="E62" s="166">
        <f t="shared" si="22"/>
        <v>1.1377808148970701</v>
      </c>
      <c r="F62" s="166">
        <f t="shared" si="22"/>
        <v>1.1162940324915553</v>
      </c>
      <c r="G62" s="166">
        <f t="shared" si="22"/>
        <v>1.0880916030534351</v>
      </c>
      <c r="H62" s="170">
        <f t="shared" si="22"/>
        <v>1.1639783637016698</v>
      </c>
      <c r="I62" s="166">
        <f t="shared" si="22"/>
        <v>1.1639783637016698</v>
      </c>
      <c r="J62" s="166">
        <f t="shared" si="22"/>
        <v>1.1639783637016698</v>
      </c>
      <c r="K62" s="166">
        <f t="shared" si="22"/>
        <v>1.1639783637016701</v>
      </c>
      <c r="L62" s="598"/>
    </row>
    <row r="63" spans="4:26" x14ac:dyDescent="0.3">
      <c r="D63" s="796" t="s">
        <v>105</v>
      </c>
      <c r="E63" s="166">
        <f t="shared" si="22"/>
        <v>1.1005135730007336</v>
      </c>
      <c r="F63" s="166">
        <f t="shared" si="22"/>
        <v>1.0257913247362251</v>
      </c>
      <c r="G63" s="166">
        <f t="shared" si="22"/>
        <v>1.0339743589743591</v>
      </c>
      <c r="H63" s="170">
        <f t="shared" si="22"/>
        <v>1.084890408929595</v>
      </c>
      <c r="I63" s="166">
        <f t="shared" si="22"/>
        <v>1.084890408929595</v>
      </c>
      <c r="J63" s="166">
        <f t="shared" si="22"/>
        <v>1.084890408929595</v>
      </c>
      <c r="K63" s="166">
        <f t="shared" si="22"/>
        <v>1.0848904089295948</v>
      </c>
      <c r="L63" s="598"/>
    </row>
    <row r="64" spans="4:26" x14ac:dyDescent="0.3">
      <c r="D64" s="795" t="s">
        <v>303</v>
      </c>
      <c r="E64" s="173">
        <f t="shared" ref="E64:K64" si="23">E57/E51</f>
        <v>1.0161211529066927</v>
      </c>
      <c r="F64" s="173">
        <f t="shared" si="23"/>
        <v>0.95134665508253702</v>
      </c>
      <c r="G64" s="173">
        <f t="shared" si="23"/>
        <v>0.94988207547169801</v>
      </c>
      <c r="H64" s="172">
        <f t="shared" si="23"/>
        <v>0.69672243573021075</v>
      </c>
      <c r="I64" s="173">
        <f t="shared" si="23"/>
        <v>0.69672243573021064</v>
      </c>
      <c r="J64" s="173">
        <f t="shared" si="23"/>
        <v>0.69672243573021075</v>
      </c>
      <c r="K64" s="173">
        <f t="shared" si="23"/>
        <v>0.69672243573021087</v>
      </c>
      <c r="L64" s="592"/>
    </row>
    <row r="66" spans="4:12" x14ac:dyDescent="0.3">
      <c r="D66" s="268"/>
      <c r="E66" s="139"/>
      <c r="F66" s="139"/>
      <c r="G66" s="139"/>
    </row>
    <row r="67" spans="4:12" x14ac:dyDescent="0.3">
      <c r="D67" s="155" t="s">
        <v>564</v>
      </c>
    </row>
    <row r="68" spans="4:12" x14ac:dyDescent="0.3">
      <c r="D68" s="860" t="s">
        <v>1006</v>
      </c>
      <c r="E68" s="696">
        <v>2018</v>
      </c>
      <c r="F68" s="830">
        <v>2019</v>
      </c>
      <c r="G68" s="830">
        <v>2020</v>
      </c>
      <c r="H68" s="831">
        <v>2021</v>
      </c>
      <c r="I68" s="832">
        <v>2022</v>
      </c>
      <c r="J68" s="832">
        <v>2023</v>
      </c>
      <c r="K68" s="832">
        <v>2024</v>
      </c>
      <c r="L68" s="833">
        <v>2025</v>
      </c>
    </row>
    <row r="69" spans="4:12" x14ac:dyDescent="0.3">
      <c r="D69" s="835" t="s">
        <v>565</v>
      </c>
      <c r="E69" s="462">
        <v>14016.099999999999</v>
      </c>
      <c r="F69" s="426">
        <v>14604.2</v>
      </c>
      <c r="G69" s="724">
        <v>14711.300000000001</v>
      </c>
      <c r="H69" s="861">
        <v>20725.8</v>
      </c>
      <c r="I69" s="861">
        <v>21293</v>
      </c>
      <c r="J69" s="861">
        <v>22393.200000000001</v>
      </c>
      <c r="K69" s="861">
        <v>23451.7</v>
      </c>
      <c r="L69" s="862">
        <v>24455.1</v>
      </c>
    </row>
    <row r="70" spans="4:12" x14ac:dyDescent="0.3">
      <c r="D70" s="835" t="s">
        <v>566</v>
      </c>
      <c r="E70" s="284">
        <v>8804</v>
      </c>
      <c r="F70" s="139">
        <v>9209</v>
      </c>
      <c r="G70" s="724">
        <v>9300</v>
      </c>
      <c r="H70" s="861">
        <v>10082.5</v>
      </c>
      <c r="I70" s="861">
        <v>11062.4</v>
      </c>
      <c r="J70" s="861">
        <v>11616.3</v>
      </c>
      <c r="K70" s="861">
        <v>12028</v>
      </c>
      <c r="L70" s="862">
        <v>12433.6</v>
      </c>
    </row>
    <row r="71" spans="4:12" x14ac:dyDescent="0.3">
      <c r="D71" s="835" t="s">
        <v>567</v>
      </c>
      <c r="E71" s="284">
        <v>13844</v>
      </c>
      <c r="F71" s="139">
        <v>14403</v>
      </c>
      <c r="G71" s="724">
        <v>14201</v>
      </c>
      <c r="H71" s="861">
        <v>15279.9</v>
      </c>
      <c r="I71" s="861">
        <v>16817.599999999999</v>
      </c>
      <c r="J71" s="861">
        <v>17789.8</v>
      </c>
      <c r="K71" s="861">
        <v>18525.3</v>
      </c>
      <c r="L71" s="862">
        <v>19204.5</v>
      </c>
    </row>
    <row r="72" spans="4:12" x14ac:dyDescent="0.3">
      <c r="D72" s="836" t="s">
        <v>568</v>
      </c>
      <c r="E72" s="816">
        <v>2211</v>
      </c>
      <c r="F72" s="736">
        <v>2243</v>
      </c>
      <c r="G72" s="737">
        <v>2125</v>
      </c>
      <c r="H72" s="863">
        <v>2678.6</v>
      </c>
      <c r="I72" s="863">
        <v>2946.3</v>
      </c>
      <c r="J72" s="863">
        <v>3018.1</v>
      </c>
      <c r="K72" s="863">
        <v>3000.1</v>
      </c>
      <c r="L72" s="864">
        <v>3037.1</v>
      </c>
    </row>
    <row r="74" spans="4:12" x14ac:dyDescent="0.3">
      <c r="D74" s="155" t="s">
        <v>569</v>
      </c>
    </row>
    <row r="75" spans="4:12" x14ac:dyDescent="0.3">
      <c r="D75" s="794" t="s">
        <v>570</v>
      </c>
      <c r="E75" s="634">
        <v>2018</v>
      </c>
      <c r="F75" s="809">
        <v>2019</v>
      </c>
      <c r="G75" s="809">
        <v>2020</v>
      </c>
      <c r="H75" s="828">
        <v>2021</v>
      </c>
      <c r="I75" s="810">
        <v>2022</v>
      </c>
      <c r="J75" s="810">
        <v>2023</v>
      </c>
      <c r="K75" s="810">
        <v>2024</v>
      </c>
      <c r="L75" s="829">
        <v>2025</v>
      </c>
    </row>
    <row r="76" spans="4:12" x14ac:dyDescent="0.3">
      <c r="D76" s="837" t="s">
        <v>553</v>
      </c>
      <c r="E76" s="759">
        <f t="shared" ref="E76:L78" si="24">E46/E69</f>
        <v>0.12011187134794987</v>
      </c>
      <c r="F76" s="701">
        <f t="shared" si="24"/>
        <v>0.11763054463784391</v>
      </c>
      <c r="G76" s="710">
        <f t="shared" si="24"/>
        <v>0.10937170746297063</v>
      </c>
      <c r="H76" s="701">
        <f t="shared" si="24"/>
        <v>9.8639232261239621E-2</v>
      </c>
      <c r="I76" s="701">
        <f t="shared" si="24"/>
        <v>0.12316277649931905</v>
      </c>
      <c r="J76" s="701">
        <f t="shared" si="24"/>
        <v>0.11516120965293035</v>
      </c>
      <c r="K76" s="701">
        <f t="shared" si="24"/>
        <v>0.10837998951035532</v>
      </c>
      <c r="L76" s="710">
        <f t="shared" si="24"/>
        <v>0.10382787230475443</v>
      </c>
    </row>
    <row r="77" spans="4:12" x14ac:dyDescent="0.3">
      <c r="D77" s="837" t="s">
        <v>555</v>
      </c>
      <c r="E77" s="738">
        <f t="shared" si="24"/>
        <v>0.13297364834166289</v>
      </c>
      <c r="F77" s="165">
        <f t="shared" si="24"/>
        <v>0.13502008904332718</v>
      </c>
      <c r="G77" s="711">
        <f t="shared" si="24"/>
        <v>0.14086021505376345</v>
      </c>
      <c r="H77" s="165">
        <f t="shared" si="24"/>
        <v>0.1303335482271262</v>
      </c>
      <c r="I77" s="165">
        <f t="shared" si="24"/>
        <v>0.13239378435059299</v>
      </c>
      <c r="J77" s="165">
        <f t="shared" si="24"/>
        <v>0.13529953599683206</v>
      </c>
      <c r="K77" s="165">
        <f t="shared" si="24"/>
        <v>0.13509993348852678</v>
      </c>
      <c r="L77" s="711">
        <f t="shared" si="24"/>
        <v>0.13423642388367008</v>
      </c>
    </row>
    <row r="78" spans="4:12" x14ac:dyDescent="0.3">
      <c r="D78" s="835" t="s">
        <v>571</v>
      </c>
      <c r="E78" s="738">
        <f t="shared" si="24"/>
        <v>9.8454203987286912E-3</v>
      </c>
      <c r="F78" s="165">
        <f t="shared" si="24"/>
        <v>1.1844754565021176E-2</v>
      </c>
      <c r="G78" s="711">
        <f t="shared" si="24"/>
        <v>1.0985141891416098E-2</v>
      </c>
      <c r="H78" s="165">
        <f t="shared" si="24"/>
        <v>1.016099581803546E-2</v>
      </c>
      <c r="I78" s="165">
        <f t="shared" si="24"/>
        <v>1.0842748073446866E-2</v>
      </c>
      <c r="J78" s="165">
        <f t="shared" si="24"/>
        <v>1.065245252897728E-2</v>
      </c>
      <c r="K78" s="165">
        <f t="shared" si="24"/>
        <v>1.0477509136154341E-2</v>
      </c>
      <c r="L78" s="711">
        <f t="shared" si="24"/>
        <v>1.0078523262776954E-2</v>
      </c>
    </row>
    <row r="79" spans="4:12" x14ac:dyDescent="0.3">
      <c r="D79" s="838" t="s">
        <v>106</v>
      </c>
      <c r="E79" s="182">
        <f t="shared" ref="E79:L79" si="25">E51/E72</f>
        <v>9.258254183627318E-2</v>
      </c>
      <c r="F79" s="183">
        <f t="shared" si="25"/>
        <v>0.10263040570664288</v>
      </c>
      <c r="G79" s="184">
        <f t="shared" si="25"/>
        <v>9.9764705882352936E-2</v>
      </c>
      <c r="H79" s="183">
        <f t="shared" si="25"/>
        <v>0.13881542596878968</v>
      </c>
      <c r="I79" s="183">
        <f t="shared" si="25"/>
        <v>0.13399857448325017</v>
      </c>
      <c r="J79" s="183">
        <f t="shared" si="25"/>
        <v>0.15108843312017495</v>
      </c>
      <c r="K79" s="183">
        <f t="shared" si="25"/>
        <v>0.15933502216592782</v>
      </c>
      <c r="L79" s="184">
        <f t="shared" si="25"/>
        <v>0.15908531164597808</v>
      </c>
    </row>
    <row r="81" spans="4:29" x14ac:dyDescent="0.3">
      <c r="D81" s="155" t="s">
        <v>572</v>
      </c>
    </row>
    <row r="82" spans="4:29" x14ac:dyDescent="0.3">
      <c r="D82" s="845" t="s">
        <v>400</v>
      </c>
    </row>
    <row r="83" spans="4:29" x14ac:dyDescent="0.3">
      <c r="D83" s="794" t="s">
        <v>573</v>
      </c>
      <c r="E83" s="697">
        <v>2018</v>
      </c>
      <c r="F83" s="830">
        <v>2019</v>
      </c>
      <c r="G83" s="830">
        <v>2020</v>
      </c>
      <c r="H83" s="831">
        <v>2021</v>
      </c>
      <c r="I83" s="832">
        <v>2022</v>
      </c>
      <c r="J83" s="832">
        <v>2023</v>
      </c>
      <c r="K83" s="832">
        <v>2024</v>
      </c>
      <c r="L83" s="833">
        <v>2025</v>
      </c>
    </row>
    <row r="84" spans="4:29" ht="20.25" customHeight="1" x14ac:dyDescent="0.3">
      <c r="D84" s="797" t="s">
        <v>553</v>
      </c>
      <c r="E84" s="759">
        <f t="shared" ref="E84:G87" si="26">E76*E61</f>
        <v>0.11572406018792676</v>
      </c>
      <c r="F84" s="701">
        <f t="shared" si="26"/>
        <v>0.11551471494501581</v>
      </c>
      <c r="G84" s="701">
        <f t="shared" si="26"/>
        <v>0.11573246416020334</v>
      </c>
      <c r="H84" s="759">
        <f>N113</f>
        <v>0.13083976407289996</v>
      </c>
      <c r="I84" s="701">
        <f>H84</f>
        <v>0.13083976407289996</v>
      </c>
      <c r="J84" s="701">
        <f t="shared" ref="J84:L84" si="27">I84</f>
        <v>0.13083976407289996</v>
      </c>
      <c r="K84" s="701">
        <f t="shared" si="27"/>
        <v>0.13083976407289996</v>
      </c>
      <c r="L84" s="710">
        <f t="shared" si="27"/>
        <v>0.13083976407289996</v>
      </c>
      <c r="M84" s="840"/>
      <c r="N84" s="839"/>
      <c r="O84" s="165"/>
      <c r="P84" s="165"/>
      <c r="Q84" s="165"/>
      <c r="R84" s="165"/>
      <c r="S84" s="165"/>
      <c r="T84" s="165"/>
      <c r="U84" s="165"/>
      <c r="V84" s="165"/>
      <c r="W84" s="165"/>
      <c r="X84" s="165"/>
      <c r="Y84" s="165"/>
    </row>
    <row r="85" spans="4:29" ht="18.75" customHeight="1" x14ac:dyDescent="0.3">
      <c r="D85" s="797" t="s">
        <v>555</v>
      </c>
      <c r="E85" s="738">
        <f t="shared" si="26"/>
        <v>0.15129486597001363</v>
      </c>
      <c r="F85" s="165">
        <f t="shared" si="26"/>
        <v>0.15072211966554458</v>
      </c>
      <c r="G85" s="165">
        <f t="shared" si="26"/>
        <v>0.15326881720430108</v>
      </c>
      <c r="H85" s="738">
        <f>N115</f>
        <v>0.14822588114733906</v>
      </c>
      <c r="I85" s="165">
        <f>H85</f>
        <v>0.14822588114733906</v>
      </c>
      <c r="J85" s="165">
        <f>I85</f>
        <v>0.14822588114733906</v>
      </c>
      <c r="K85" s="165">
        <f t="shared" ref="K85:L85" si="28">J85</f>
        <v>0.14822588114733906</v>
      </c>
      <c r="L85" s="711">
        <f t="shared" si="28"/>
        <v>0.14822588114733906</v>
      </c>
      <c r="M85" s="840"/>
      <c r="N85" s="839"/>
      <c r="O85" s="165"/>
      <c r="P85" s="165"/>
      <c r="Q85" s="165"/>
      <c r="R85" s="165"/>
      <c r="S85" s="165"/>
      <c r="T85" s="165"/>
      <c r="U85" s="165"/>
      <c r="V85" s="165"/>
      <c r="W85" s="165"/>
      <c r="X85" s="165"/>
      <c r="Y85" s="165"/>
    </row>
    <row r="86" spans="4:29" ht="19.2" customHeight="1" x14ac:dyDescent="0.3">
      <c r="D86" s="796" t="s">
        <v>105</v>
      </c>
      <c r="E86" s="738">
        <f t="shared" si="26"/>
        <v>1.0835018780699219E-2</v>
      </c>
      <c r="F86" s="165">
        <f t="shared" si="26"/>
        <v>1.2150246476428523E-2</v>
      </c>
      <c r="G86" s="165">
        <f t="shared" si="26"/>
        <v>1.1358355045419337E-2</v>
      </c>
      <c r="H86" s="738">
        <f>N116</f>
        <v>1.1211939165902553E-2</v>
      </c>
      <c r="I86" s="165">
        <f>AVERAGE($F63:$G63)*I78</f>
        <v>1.1166760199402452E-2</v>
      </c>
      <c r="J86" s="165">
        <f>AVERAGE($F63:$G63)*J78</f>
        <v>1.0970778083271715E-2</v>
      </c>
      <c r="K86" s="165">
        <f>J86</f>
        <v>1.0970778083271715E-2</v>
      </c>
      <c r="L86" s="711">
        <f>K86</f>
        <v>1.0970778083271715E-2</v>
      </c>
      <c r="M86" s="840"/>
      <c r="N86" s="839"/>
      <c r="O86" s="165"/>
      <c r="P86" s="165"/>
      <c r="Q86" s="165"/>
      <c r="R86" s="165"/>
      <c r="S86" s="165"/>
      <c r="T86" s="165"/>
      <c r="U86" s="165"/>
      <c r="V86" s="165"/>
      <c r="W86" s="165"/>
      <c r="X86" s="165"/>
      <c r="Y86" s="165"/>
    </row>
    <row r="87" spans="4:29" ht="19.2" customHeight="1" x14ac:dyDescent="0.3">
      <c r="D87" s="798" t="s">
        <v>106</v>
      </c>
      <c r="E87" s="182">
        <f t="shared" si="26"/>
        <v>9.4075079149706017E-2</v>
      </c>
      <c r="F87" s="183">
        <f t="shared" si="26"/>
        <v>9.7637093178778417E-2</v>
      </c>
      <c r="G87" s="183">
        <f t="shared" si="26"/>
        <v>9.4764705882352931E-2</v>
      </c>
      <c r="H87" s="182">
        <f>M117</f>
        <v>0.11594202898550723</v>
      </c>
      <c r="I87" s="183">
        <f>N117</f>
        <v>0.11690415853101242</v>
      </c>
      <c r="J87" s="183">
        <f>I87</f>
        <v>0.11690415853101242</v>
      </c>
      <c r="K87" s="183">
        <f>J87</f>
        <v>0.11690415853101242</v>
      </c>
      <c r="L87" s="184">
        <f>K87</f>
        <v>0.11690415853101242</v>
      </c>
      <c r="M87" s="840"/>
      <c r="N87" s="839"/>
      <c r="O87" s="165"/>
      <c r="P87" s="165"/>
      <c r="Q87" s="165"/>
      <c r="R87" s="165"/>
      <c r="S87" s="165"/>
      <c r="T87" s="165"/>
      <c r="U87" s="165"/>
      <c r="V87" s="165"/>
      <c r="W87" s="165"/>
      <c r="X87" s="165"/>
      <c r="Y87" s="165"/>
    </row>
    <row r="88" spans="4:29" x14ac:dyDescent="0.3">
      <c r="E88" s="782"/>
      <c r="F88" s="782"/>
      <c r="G88" s="782"/>
      <c r="H88" s="782"/>
      <c r="I88" s="782"/>
      <c r="J88" s="782"/>
      <c r="K88" s="782"/>
      <c r="L88" s="782"/>
    </row>
    <row r="89" spans="4:29" x14ac:dyDescent="0.3">
      <c r="E89" s="782"/>
      <c r="F89" s="782"/>
      <c r="G89" s="782"/>
      <c r="H89" s="782"/>
      <c r="I89" s="782"/>
      <c r="J89" s="782"/>
      <c r="K89" s="782"/>
      <c r="L89" s="782"/>
    </row>
    <row r="90" spans="4:29" x14ac:dyDescent="0.3">
      <c r="D90" s="844" t="s">
        <v>413</v>
      </c>
      <c r="E90" s="165"/>
      <c r="F90" s="165"/>
      <c r="G90" s="165"/>
      <c r="H90" s="165"/>
      <c r="I90" s="165"/>
      <c r="J90" s="165"/>
      <c r="K90" s="165"/>
      <c r="L90" s="165"/>
      <c r="M90" s="165"/>
      <c r="N90" s="165"/>
      <c r="O90" s="165"/>
      <c r="P90" s="165"/>
      <c r="Q90" s="165"/>
      <c r="R90" s="165"/>
      <c r="S90" s="165"/>
      <c r="T90" s="165"/>
      <c r="U90" s="165"/>
      <c r="V90" s="165"/>
      <c r="W90" s="165"/>
      <c r="X90" s="165"/>
      <c r="Y90" s="165"/>
    </row>
    <row r="91" spans="4:29" x14ac:dyDescent="0.3">
      <c r="D91" s="1192" t="s">
        <v>975</v>
      </c>
      <c r="E91" s="1196"/>
      <c r="F91" s="1095">
        <v>2019</v>
      </c>
      <c r="G91" s="1096"/>
      <c r="H91" s="1103"/>
      <c r="I91" s="1095">
        <v>2020</v>
      </c>
      <c r="J91" s="1096"/>
      <c r="K91" s="1096"/>
      <c r="L91" s="1103"/>
      <c r="M91" s="1095">
        <v>2021</v>
      </c>
      <c r="N91" s="1096"/>
      <c r="O91" s="1096"/>
      <c r="P91" s="1096"/>
      <c r="Q91" s="1129">
        <v>2022</v>
      </c>
      <c r="R91" s="1130"/>
      <c r="S91" s="253"/>
      <c r="T91" s="288"/>
      <c r="U91" s="1126">
        <v>2023</v>
      </c>
      <c r="V91" s="1127"/>
      <c r="W91" s="1127"/>
      <c r="X91" s="1128"/>
      <c r="Y91" s="1126">
        <v>2024</v>
      </c>
      <c r="Z91" s="1127"/>
      <c r="AA91" s="1127"/>
      <c r="AB91" s="1127"/>
      <c r="AC91" s="259">
        <v>2025</v>
      </c>
    </row>
    <row r="92" spans="4:29" x14ac:dyDescent="0.3">
      <c r="D92" s="1197"/>
      <c r="E92" s="1198"/>
      <c r="F92" s="153" t="s">
        <v>329</v>
      </c>
      <c r="G92" s="152" t="s">
        <v>238</v>
      </c>
      <c r="H92" s="204" t="s">
        <v>327</v>
      </c>
      <c r="I92" s="153" t="s">
        <v>328</v>
      </c>
      <c r="J92" s="152" t="s">
        <v>329</v>
      </c>
      <c r="K92" s="152" t="s">
        <v>238</v>
      </c>
      <c r="L92" s="204" t="s">
        <v>327</v>
      </c>
      <c r="M92" s="153" t="s">
        <v>328</v>
      </c>
      <c r="N92" s="152" t="s">
        <v>329</v>
      </c>
      <c r="O92" s="152" t="s">
        <v>238</v>
      </c>
      <c r="P92" s="152" t="s">
        <v>327</v>
      </c>
      <c r="Q92" s="153" t="s">
        <v>328</v>
      </c>
      <c r="R92" s="152" t="s">
        <v>329</v>
      </c>
      <c r="S92" s="204" t="s">
        <v>238</v>
      </c>
      <c r="T92" s="369" t="s">
        <v>327</v>
      </c>
      <c r="U92" s="356" t="s">
        <v>328</v>
      </c>
      <c r="V92" s="357" t="s">
        <v>329</v>
      </c>
      <c r="W92" s="357" t="s">
        <v>238</v>
      </c>
      <c r="X92" s="369" t="s">
        <v>327</v>
      </c>
      <c r="Y92" s="356" t="s">
        <v>328</v>
      </c>
      <c r="Z92" s="250" t="s">
        <v>329</v>
      </c>
      <c r="AA92" s="357" t="s">
        <v>238</v>
      </c>
      <c r="AB92" s="357" t="s">
        <v>327</v>
      </c>
      <c r="AC92" s="384" t="s">
        <v>328</v>
      </c>
    </row>
    <row r="93" spans="4:29" x14ac:dyDescent="0.3">
      <c r="D93" s="854" t="s">
        <v>565</v>
      </c>
      <c r="E93" s="811"/>
      <c r="F93" s="305">
        <f>F94+F95</f>
        <v>14660.3</v>
      </c>
      <c r="G93" s="306">
        <f t="shared" ref="G93:P93" si="29">G94+G95</f>
        <v>14748</v>
      </c>
      <c r="H93" s="306">
        <f t="shared" si="29"/>
        <v>14896.1</v>
      </c>
      <c r="I93" s="306">
        <f t="shared" si="29"/>
        <v>5492.6</v>
      </c>
      <c r="J93" s="306">
        <f t="shared" si="29"/>
        <v>14127</v>
      </c>
      <c r="K93" s="306">
        <f t="shared" si="29"/>
        <v>14803.099999999999</v>
      </c>
      <c r="L93" s="306">
        <f t="shared" si="29"/>
        <v>15014.2</v>
      </c>
      <c r="M93" s="306">
        <f t="shared" si="29"/>
        <v>15152.900000000001</v>
      </c>
      <c r="N93" s="306">
        <f t="shared" si="29"/>
        <v>15654.4</v>
      </c>
      <c r="O93" s="306">
        <f t="shared" si="29"/>
        <v>15799.3</v>
      </c>
      <c r="P93" s="306">
        <f t="shared" si="29"/>
        <v>15983.8</v>
      </c>
      <c r="Q93" s="306">
        <f>Q94+Q95</f>
        <v>16571.400000000001</v>
      </c>
      <c r="R93" s="306">
        <f t="shared" ref="R93:S93" si="30">R94+R95</f>
        <v>16848</v>
      </c>
      <c r="S93" s="306">
        <f t="shared" si="30"/>
        <v>17094.3</v>
      </c>
      <c r="T93" s="703">
        <f>S93*(1+T101)^(1/4)</f>
        <v>17315.8</v>
      </c>
      <c r="U93" s="842">
        <f t="shared" ref="U93:AC93" si="31">T93*(1+U101)^(1/4)</f>
        <v>17535.5</v>
      </c>
      <c r="V93" s="842">
        <f t="shared" si="31"/>
        <v>17756.5</v>
      </c>
      <c r="W93" s="842">
        <f t="shared" si="31"/>
        <v>17973.8</v>
      </c>
      <c r="X93" s="842">
        <f t="shared" si="31"/>
        <v>18172.2</v>
      </c>
      <c r="Y93" s="842">
        <f t="shared" si="31"/>
        <v>18369</v>
      </c>
      <c r="Z93" s="842">
        <f t="shared" si="31"/>
        <v>18550.099999999999</v>
      </c>
      <c r="AA93" s="842">
        <f t="shared" si="31"/>
        <v>18735.8</v>
      </c>
      <c r="AB93" s="842">
        <f t="shared" si="31"/>
        <v>18924.199999999993</v>
      </c>
      <c r="AC93" s="843">
        <f t="shared" si="31"/>
        <v>19105.699999999997</v>
      </c>
    </row>
    <row r="94" spans="4:29" x14ac:dyDescent="0.3">
      <c r="D94" s="282" t="s">
        <v>566</v>
      </c>
      <c r="E94" s="539"/>
      <c r="F94" s="462">
        <v>9274.9</v>
      </c>
      <c r="G94" s="426">
        <v>9311.2999999999993</v>
      </c>
      <c r="H94" s="426">
        <v>9422.5</v>
      </c>
      <c r="I94" s="426">
        <v>0</v>
      </c>
      <c r="J94" s="426">
        <v>8908.7999999999993</v>
      </c>
      <c r="K94" s="426">
        <v>9343.2999999999993</v>
      </c>
      <c r="L94" s="426">
        <v>9546</v>
      </c>
      <c r="M94" s="426">
        <v>9702.2000000000007</v>
      </c>
      <c r="N94" s="426">
        <v>9950.4</v>
      </c>
      <c r="O94" s="426">
        <v>10175.1</v>
      </c>
      <c r="P94" s="426">
        <v>10336.6</v>
      </c>
      <c r="Q94" s="426">
        <v>10995.9</v>
      </c>
      <c r="R94" s="426">
        <v>11172.6</v>
      </c>
      <c r="S94" s="426">
        <v>11320.4</v>
      </c>
      <c r="T94" s="453">
        <f>S94*(1+T102)^(1/4)</f>
        <v>11443.5</v>
      </c>
      <c r="U94" s="454">
        <f t="shared" ref="U94:AC94" si="32">T94*(1+U102)^(1/4)</f>
        <v>11560.2</v>
      </c>
      <c r="V94" s="454">
        <f t="shared" si="32"/>
        <v>11675.6</v>
      </c>
      <c r="W94" s="454">
        <f t="shared" si="32"/>
        <v>11786</v>
      </c>
      <c r="X94" s="454">
        <f t="shared" si="32"/>
        <v>11879</v>
      </c>
      <c r="Y94" s="454">
        <f t="shared" si="32"/>
        <v>11978</v>
      </c>
      <c r="Z94" s="454">
        <f t="shared" si="32"/>
        <v>12076.9</v>
      </c>
      <c r="AA94" s="454">
        <f t="shared" si="32"/>
        <v>12178.3</v>
      </c>
      <c r="AB94" s="454">
        <f t="shared" si="32"/>
        <v>12278.8</v>
      </c>
      <c r="AC94" s="455">
        <f t="shared" si="32"/>
        <v>12377.499999999998</v>
      </c>
    </row>
    <row r="95" spans="4:29" x14ac:dyDescent="0.3">
      <c r="D95" s="282" t="s">
        <v>974</v>
      </c>
      <c r="E95" s="539"/>
      <c r="F95" s="462">
        <v>5385.4</v>
      </c>
      <c r="G95" s="426">
        <v>5436.7</v>
      </c>
      <c r="H95" s="426">
        <v>5473.6</v>
      </c>
      <c r="I95" s="426">
        <v>5492.6</v>
      </c>
      <c r="J95" s="426">
        <v>5218.2</v>
      </c>
      <c r="K95" s="426">
        <v>5459.8</v>
      </c>
      <c r="L95" s="426">
        <v>5468.2</v>
      </c>
      <c r="M95" s="426">
        <v>5450.7</v>
      </c>
      <c r="N95" s="426">
        <v>5704</v>
      </c>
      <c r="O95" s="426">
        <v>5624.2</v>
      </c>
      <c r="P95" s="426">
        <v>5647.2</v>
      </c>
      <c r="Q95" s="426">
        <v>5575.5</v>
      </c>
      <c r="R95" s="426">
        <v>5675.4</v>
      </c>
      <c r="S95" s="426">
        <v>5773.9</v>
      </c>
      <c r="T95" s="453">
        <f t="shared" ref="T95:AC97" si="33">S95*(1+T103)^(1/4)</f>
        <v>5872.3</v>
      </c>
      <c r="U95" s="454">
        <f t="shared" si="33"/>
        <v>5975.3</v>
      </c>
      <c r="V95" s="454">
        <f t="shared" si="33"/>
        <v>6080.8999999999987</v>
      </c>
      <c r="W95" s="454">
        <f t="shared" si="33"/>
        <v>6187.7999999999993</v>
      </c>
      <c r="X95" s="454">
        <f t="shared" si="33"/>
        <v>6293.1999999999989</v>
      </c>
      <c r="Y95" s="454">
        <f t="shared" si="33"/>
        <v>6390.9999999999982</v>
      </c>
      <c r="Z95" s="454">
        <f t="shared" si="33"/>
        <v>6473.199999999998</v>
      </c>
      <c r="AA95" s="454">
        <f t="shared" si="33"/>
        <v>6557.4999999999982</v>
      </c>
      <c r="AB95" s="454">
        <f t="shared" si="33"/>
        <v>6645.3999999999969</v>
      </c>
      <c r="AC95" s="455">
        <f t="shared" si="33"/>
        <v>6728.199999999998</v>
      </c>
    </row>
    <row r="96" spans="4:29" x14ac:dyDescent="0.3">
      <c r="D96" s="284" t="s">
        <v>567</v>
      </c>
      <c r="E96" s="539"/>
      <c r="F96" s="548"/>
      <c r="G96" s="539"/>
      <c r="H96" s="426"/>
      <c r="I96" s="426"/>
      <c r="J96" s="426"/>
      <c r="K96" s="426"/>
      <c r="L96" s="426"/>
      <c r="M96" s="426">
        <v>15041</v>
      </c>
      <c r="N96" s="426">
        <v>15551</v>
      </c>
      <c r="O96" s="426">
        <v>15824</v>
      </c>
      <c r="P96" s="426">
        <v>16056</v>
      </c>
      <c r="Q96" s="426">
        <v>16690.7</v>
      </c>
      <c r="R96" s="426">
        <v>16993</v>
      </c>
      <c r="S96" s="426">
        <v>17251.3</v>
      </c>
      <c r="T96" s="453">
        <f t="shared" si="33"/>
        <v>17488.099999999999</v>
      </c>
      <c r="U96" s="454">
        <f t="shared" si="33"/>
        <v>17692.3</v>
      </c>
      <c r="V96" s="454">
        <f t="shared" si="33"/>
        <v>17892.600000000002</v>
      </c>
      <c r="W96" s="454">
        <f t="shared" si="33"/>
        <v>18086.300000000003</v>
      </c>
      <c r="X96" s="454">
        <f t="shared" si="33"/>
        <v>18268.200000000004</v>
      </c>
      <c r="Y96" s="454">
        <f t="shared" si="33"/>
        <v>18446.300000000003</v>
      </c>
      <c r="Z96" s="454">
        <f t="shared" si="33"/>
        <v>18612.400000000005</v>
      </c>
      <c r="AA96" s="454">
        <f t="shared" si="33"/>
        <v>18774.500000000004</v>
      </c>
      <c r="AB96" s="454">
        <f t="shared" si="33"/>
        <v>18946.900000000005</v>
      </c>
      <c r="AC96" s="455">
        <f t="shared" si="33"/>
        <v>19117.900000000005</v>
      </c>
    </row>
    <row r="97" spans="3:30" x14ac:dyDescent="0.3">
      <c r="C97" s="36"/>
      <c r="D97" s="285" t="s">
        <v>574</v>
      </c>
      <c r="E97" s="543"/>
      <c r="F97" s="574"/>
      <c r="G97" s="543"/>
      <c r="H97" s="736"/>
      <c r="I97" s="736"/>
      <c r="J97" s="736"/>
      <c r="K97" s="736"/>
      <c r="L97" s="736"/>
      <c r="M97" s="736">
        <v>1874</v>
      </c>
      <c r="N97" s="736">
        <v>2307</v>
      </c>
      <c r="O97" s="736">
        <v>2443</v>
      </c>
      <c r="P97" s="736">
        <v>2460</v>
      </c>
      <c r="Q97" s="736">
        <v>2329.5</v>
      </c>
      <c r="R97" s="736">
        <v>2420.1999999999998</v>
      </c>
      <c r="S97" s="736">
        <v>2468.6999999999998</v>
      </c>
      <c r="T97" s="704">
        <f t="shared" si="33"/>
        <v>2486.6999999999998</v>
      </c>
      <c r="U97" s="739">
        <f t="shared" si="33"/>
        <v>2482.1999999999998</v>
      </c>
      <c r="V97" s="739">
        <f t="shared" si="33"/>
        <v>2468.8000000000002</v>
      </c>
      <c r="W97" s="739">
        <f t="shared" si="33"/>
        <v>2453.8000000000002</v>
      </c>
      <c r="X97" s="739">
        <f t="shared" si="33"/>
        <v>2440.6999999999998</v>
      </c>
      <c r="Y97" s="739">
        <f t="shared" si="33"/>
        <v>2429.4</v>
      </c>
      <c r="Z97" s="739">
        <f t="shared" si="33"/>
        <v>2426.5</v>
      </c>
      <c r="AA97" s="739">
        <f t="shared" si="33"/>
        <v>2418</v>
      </c>
      <c r="AB97" s="739">
        <f t="shared" si="33"/>
        <v>2431.3000000000002</v>
      </c>
      <c r="AC97" s="740">
        <f t="shared" si="33"/>
        <v>2440.1</v>
      </c>
      <c r="AD97" s="36"/>
    </row>
    <row r="98" spans="3:30" ht="14.7" customHeight="1" x14ac:dyDescent="0.3">
      <c r="C98" s="36"/>
      <c r="D98" s="139"/>
      <c r="E98" s="539"/>
      <c r="F98" s="539"/>
      <c r="G98" s="539"/>
      <c r="H98" s="426"/>
      <c r="I98" s="426"/>
      <c r="J98" s="426"/>
      <c r="K98" s="426"/>
      <c r="L98" s="426"/>
      <c r="M98" s="426"/>
      <c r="N98" s="426"/>
      <c r="O98" s="426"/>
      <c r="P98" s="426"/>
      <c r="Q98" s="426"/>
      <c r="R98" s="426"/>
      <c r="S98" s="426"/>
      <c r="T98" s="454"/>
      <c r="U98" s="454"/>
      <c r="V98" s="454"/>
      <c r="W98" s="454"/>
      <c r="X98" s="454"/>
      <c r="Y98" s="454"/>
      <c r="Z98" s="454"/>
      <c r="AA98" s="454"/>
      <c r="AB98" s="454"/>
      <c r="AC98" s="454"/>
      <c r="AD98" s="36"/>
    </row>
    <row r="99" spans="3:30" x14ac:dyDescent="0.3">
      <c r="C99" s="36"/>
      <c r="D99" s="1192" t="s">
        <v>975</v>
      </c>
      <c r="E99" s="1196"/>
      <c r="F99" s="1095">
        <v>2019</v>
      </c>
      <c r="G99" s="1096"/>
      <c r="H99" s="1103"/>
      <c r="I99" s="1095">
        <v>2020</v>
      </c>
      <c r="J99" s="1096"/>
      <c r="K99" s="1096"/>
      <c r="L99" s="1103"/>
      <c r="M99" s="1095">
        <v>2021</v>
      </c>
      <c r="N99" s="1096"/>
      <c r="O99" s="1096"/>
      <c r="P99" s="1103"/>
      <c r="Q99" s="1129">
        <v>2022</v>
      </c>
      <c r="R99" s="1130"/>
      <c r="S99" s="253"/>
      <c r="T99" s="288"/>
      <c r="U99" s="1126">
        <v>2023</v>
      </c>
      <c r="V99" s="1127"/>
      <c r="W99" s="1127"/>
      <c r="X99" s="1128"/>
      <c r="Y99" s="1126">
        <v>2024</v>
      </c>
      <c r="Z99" s="1127"/>
      <c r="AA99" s="1127"/>
      <c r="AB99" s="1128"/>
      <c r="AC99" s="259">
        <v>2025</v>
      </c>
      <c r="AD99" s="36"/>
    </row>
    <row r="100" spans="3:30" x14ac:dyDescent="0.3">
      <c r="C100" s="36"/>
      <c r="D100" s="1197"/>
      <c r="E100" s="1198"/>
      <c r="F100" s="153" t="s">
        <v>329</v>
      </c>
      <c r="G100" s="152" t="s">
        <v>238</v>
      </c>
      <c r="H100" s="204" t="s">
        <v>327</v>
      </c>
      <c r="I100" s="153" t="s">
        <v>328</v>
      </c>
      <c r="J100" s="152" t="s">
        <v>329</v>
      </c>
      <c r="K100" s="152" t="s">
        <v>238</v>
      </c>
      <c r="L100" s="204" t="s">
        <v>327</v>
      </c>
      <c r="M100" s="153" t="s">
        <v>328</v>
      </c>
      <c r="N100" s="152" t="s">
        <v>329</v>
      </c>
      <c r="O100" s="152" t="s">
        <v>238</v>
      </c>
      <c r="P100" s="152" t="s">
        <v>327</v>
      </c>
      <c r="Q100" s="153" t="s">
        <v>328</v>
      </c>
      <c r="R100" s="152" t="s">
        <v>329</v>
      </c>
      <c r="S100" s="204" t="s">
        <v>238</v>
      </c>
      <c r="T100" s="369" t="s">
        <v>327</v>
      </c>
      <c r="U100" s="356" t="s">
        <v>328</v>
      </c>
      <c r="V100" s="357" t="s">
        <v>329</v>
      </c>
      <c r="W100" s="357" t="s">
        <v>238</v>
      </c>
      <c r="X100" s="369" t="s">
        <v>327</v>
      </c>
      <c r="Y100" s="356" t="s">
        <v>328</v>
      </c>
      <c r="Z100" s="250" t="s">
        <v>329</v>
      </c>
      <c r="AA100" s="357" t="s">
        <v>238</v>
      </c>
      <c r="AB100" s="357" t="s">
        <v>327</v>
      </c>
      <c r="AC100" s="384" t="s">
        <v>328</v>
      </c>
      <c r="AD100" s="36"/>
    </row>
    <row r="101" spans="3:30" ht="27.6" customHeight="1" x14ac:dyDescent="0.3">
      <c r="C101" s="36"/>
      <c r="D101" s="854" t="s">
        <v>565</v>
      </c>
      <c r="E101" s="811"/>
      <c r="F101" s="694"/>
      <c r="G101" s="701">
        <f t="shared" ref="G101:AC101" si="34">(G149/F149)^4-1</f>
        <v>2.4144142736737928E-2</v>
      </c>
      <c r="H101" s="701">
        <f t="shared" si="34"/>
        <v>4.0777274579272937E-2</v>
      </c>
      <c r="I101" s="701">
        <f t="shared" si="34"/>
        <v>3.3330034507516704E-2</v>
      </c>
      <c r="J101" s="701">
        <f t="shared" si="34"/>
        <v>-0.21716468092881858</v>
      </c>
      <c r="K101" s="701">
        <f t="shared" si="34"/>
        <v>0.20562129727556155</v>
      </c>
      <c r="L101" s="701">
        <f t="shared" si="34"/>
        <v>5.8273923331922273E-2</v>
      </c>
      <c r="M101" s="701">
        <f t="shared" si="34"/>
        <v>3.7466881601865065E-2</v>
      </c>
      <c r="N101" s="701">
        <f t="shared" si="34"/>
        <v>0.13910216712016599</v>
      </c>
      <c r="O101" s="701">
        <f t="shared" si="34"/>
        <v>3.754197537140791E-2</v>
      </c>
      <c r="P101" s="701">
        <f t="shared" si="34"/>
        <v>4.7535535397144058E-2</v>
      </c>
      <c r="Q101" s="701">
        <f t="shared" si="34"/>
        <v>0.15535820996076533</v>
      </c>
      <c r="R101" s="701">
        <f t="shared" si="34"/>
        <v>6.8455929710528718E-2</v>
      </c>
      <c r="S101" s="710">
        <f t="shared" si="34"/>
        <v>5.9770607688123478E-2</v>
      </c>
      <c r="T101" s="702">
        <f t="shared" si="34"/>
        <v>5.2846258929502676E-2</v>
      </c>
      <c r="U101" s="702">
        <f t="shared" si="34"/>
        <v>5.1725419677194573E-2</v>
      </c>
      <c r="V101" s="702">
        <f t="shared" si="34"/>
        <v>5.1373068248236953E-2</v>
      </c>
      <c r="W101" s="702">
        <f t="shared" si="34"/>
        <v>4.9857020221277359E-2</v>
      </c>
      <c r="X101" s="702">
        <f t="shared" si="34"/>
        <v>4.4889613849084853E-2</v>
      </c>
      <c r="Y101" s="702">
        <f t="shared" si="34"/>
        <v>4.4027708207090566E-2</v>
      </c>
      <c r="Z101" s="702">
        <f t="shared" si="34"/>
        <v>4.0023048411936823E-2</v>
      </c>
      <c r="AA101" s="702">
        <f t="shared" si="34"/>
        <v>4.0648221765027026E-2</v>
      </c>
      <c r="AB101" s="702">
        <f t="shared" si="34"/>
        <v>4.0833231558606631E-2</v>
      </c>
      <c r="AC101" s="706">
        <f t="shared" si="34"/>
        <v>3.8919025649611916E-2</v>
      </c>
      <c r="AD101" s="36"/>
    </row>
    <row r="102" spans="3:30" ht="27.6" customHeight="1" x14ac:dyDescent="0.3">
      <c r="C102" s="36"/>
      <c r="D102" s="282" t="s">
        <v>566</v>
      </c>
      <c r="E102" s="539"/>
      <c r="F102" s="48"/>
      <c r="G102" s="165">
        <f t="shared" ref="G102:AC102" si="35">(G150/F150)^4-1</f>
        <v>1.579093801452558E-2</v>
      </c>
      <c r="H102" s="165">
        <f t="shared" si="35"/>
        <v>4.8632484150745503E-2</v>
      </c>
      <c r="I102" s="165">
        <f t="shared" si="35"/>
        <v>4.4710501521934454E-2</v>
      </c>
      <c r="J102" s="165">
        <f t="shared" si="35"/>
        <v>-0.23507951407502192</v>
      </c>
      <c r="K102" s="165">
        <f t="shared" si="35"/>
        <v>0.20982996685370625</v>
      </c>
      <c r="L102" s="165">
        <f t="shared" si="35"/>
        <v>8.96437835544448E-2</v>
      </c>
      <c r="M102" s="165">
        <f t="shared" si="35"/>
        <v>6.7075555891954686E-2</v>
      </c>
      <c r="N102" s="165">
        <f t="shared" si="35"/>
        <v>0.10632128070792568</v>
      </c>
      <c r="O102" s="165">
        <f t="shared" si="35"/>
        <v>9.343403174306486E-2</v>
      </c>
      <c r="P102" s="165">
        <f t="shared" si="35"/>
        <v>6.5015914671644248E-2</v>
      </c>
      <c r="Q102" s="165">
        <f t="shared" si="35"/>
        <v>0.28059642266880269</v>
      </c>
      <c r="R102" s="165">
        <f t="shared" si="35"/>
        <v>6.5844566582553776E-2</v>
      </c>
      <c r="S102" s="711">
        <f t="shared" si="35"/>
        <v>5.3974463897699998E-2</v>
      </c>
      <c r="T102" s="705">
        <f t="shared" si="35"/>
        <v>4.4211339563524854E-2</v>
      </c>
      <c r="U102" s="705">
        <f t="shared" si="35"/>
        <v>4.1419955413473764E-2</v>
      </c>
      <c r="V102" s="705">
        <f t="shared" si="35"/>
        <v>4.0531998996350627E-2</v>
      </c>
      <c r="W102" s="705">
        <f t="shared" si="35"/>
        <v>3.8362309158184615E-2</v>
      </c>
      <c r="X102" s="705">
        <f t="shared" si="35"/>
        <v>3.1938420856865823E-2</v>
      </c>
      <c r="Y102" s="705">
        <f t="shared" si="35"/>
        <v>3.3755196450719005E-2</v>
      </c>
      <c r="Z102" s="705">
        <f t="shared" si="35"/>
        <v>3.3438521723601733E-2</v>
      </c>
      <c r="AA102" s="705">
        <f t="shared" si="35"/>
        <v>3.4010126596568435E-2</v>
      </c>
      <c r="AB102" s="705">
        <f t="shared" si="35"/>
        <v>3.3420396982317691E-2</v>
      </c>
      <c r="AC102" s="707">
        <f t="shared" si="35"/>
        <v>3.2542741080821891E-2</v>
      </c>
      <c r="AD102" s="36"/>
    </row>
    <row r="103" spans="3:30" x14ac:dyDescent="0.3">
      <c r="C103" s="36"/>
      <c r="D103" s="282" t="s">
        <v>974</v>
      </c>
      <c r="E103" s="539"/>
      <c r="F103" s="48"/>
      <c r="G103" s="165">
        <f t="shared" ref="G103:AC103" si="36">(G151/F151)^4-1</f>
        <v>3.8650925005419889E-2</v>
      </c>
      <c r="H103" s="165">
        <f t="shared" si="36"/>
        <v>2.742647160851952E-2</v>
      </c>
      <c r="I103" s="165">
        <f t="shared" si="36"/>
        <v>1.3957292123351062E-2</v>
      </c>
      <c r="J103" s="165">
        <f t="shared" si="36"/>
        <v>-0.18535013183116267</v>
      </c>
      <c r="K103" s="165">
        <f t="shared" si="36"/>
        <v>0.19846141124429506</v>
      </c>
      <c r="L103" s="165">
        <f t="shared" si="36"/>
        <v>6.1682883741018824E-3</v>
      </c>
      <c r="M103" s="165">
        <f t="shared" si="36"/>
        <v>-1.273996609033845E-2</v>
      </c>
      <c r="N103" s="165">
        <f t="shared" si="36"/>
        <v>0.19924785079059104</v>
      </c>
      <c r="O103" s="165">
        <f t="shared" si="36"/>
        <v>-5.4797292719977575E-2</v>
      </c>
      <c r="P103" s="165">
        <f t="shared" si="36"/>
        <v>1.6458498468953531E-2</v>
      </c>
      <c r="Q103" s="165">
        <f t="shared" si="36"/>
        <v>-4.9827175781837041E-2</v>
      </c>
      <c r="R103" s="165">
        <f t="shared" si="36"/>
        <v>7.3620073213604087E-2</v>
      </c>
      <c r="S103" s="711">
        <f t="shared" si="36"/>
        <v>7.1250723638111468E-2</v>
      </c>
      <c r="T103" s="705">
        <f t="shared" si="36"/>
        <v>6.9931332738486951E-2</v>
      </c>
      <c r="U103" s="705">
        <f t="shared" si="36"/>
        <v>7.2027487180982286E-2</v>
      </c>
      <c r="V103" s="705">
        <f t="shared" si="36"/>
        <v>7.2587144688120997E-2</v>
      </c>
      <c r="W103" s="705">
        <f t="shared" si="36"/>
        <v>7.2194626687732466E-2</v>
      </c>
      <c r="X103" s="705">
        <f t="shared" si="36"/>
        <v>6.9894767241385658E-2</v>
      </c>
      <c r="Y103" s="705">
        <f t="shared" si="36"/>
        <v>6.3626463494197871E-2</v>
      </c>
      <c r="Z103" s="705">
        <f t="shared" si="36"/>
        <v>5.2448447071261617E-2</v>
      </c>
      <c r="AA103" s="705">
        <f t="shared" si="36"/>
        <v>5.3118144004384416E-2</v>
      </c>
      <c r="AB103" s="705">
        <f t="shared" si="36"/>
        <v>5.470574456719568E-2</v>
      </c>
      <c r="AC103" s="707">
        <f t="shared" si="36"/>
        <v>5.0778219446022677E-2</v>
      </c>
      <c r="AD103" s="36"/>
    </row>
    <row r="104" spans="3:30" x14ac:dyDescent="0.3">
      <c r="C104" s="36"/>
      <c r="D104" s="284" t="s">
        <v>567</v>
      </c>
      <c r="E104" s="539"/>
      <c r="F104" s="48"/>
      <c r="G104" s="165" t="e">
        <f t="shared" ref="G104:AC104" si="37">(G152/F152)^4-1</f>
        <v>#DIV/0!</v>
      </c>
      <c r="H104" s="165" t="e">
        <f t="shared" si="37"/>
        <v>#DIV/0!</v>
      </c>
      <c r="I104" s="165" t="e">
        <f t="shared" si="37"/>
        <v>#DIV/0!</v>
      </c>
      <c r="J104" s="165" t="e">
        <f t="shared" si="37"/>
        <v>#DIV/0!</v>
      </c>
      <c r="K104" s="165" t="e">
        <f t="shared" si="37"/>
        <v>#DIV/0!</v>
      </c>
      <c r="L104" s="165" t="e">
        <f t="shared" si="37"/>
        <v>#DIV/0!</v>
      </c>
      <c r="M104" s="165" t="e">
        <f t="shared" si="37"/>
        <v>#DIV/0!</v>
      </c>
      <c r="N104" s="165">
        <f t="shared" si="37"/>
        <v>0.14268477373131994</v>
      </c>
      <c r="O104" s="165">
        <f t="shared" si="37"/>
        <v>7.2091398238030235E-2</v>
      </c>
      <c r="P104" s="165">
        <f t="shared" si="37"/>
        <v>5.9947465932440158E-2</v>
      </c>
      <c r="Q104" s="165">
        <f t="shared" si="37"/>
        <v>0.16774701748800824</v>
      </c>
      <c r="R104" s="165">
        <f t="shared" si="37"/>
        <v>7.4439645742522265E-2</v>
      </c>
      <c r="S104" s="711">
        <f t="shared" si="37"/>
        <v>6.2201916861036377E-2</v>
      </c>
      <c r="T104" s="705">
        <f t="shared" si="37"/>
        <v>5.6046888906577719E-2</v>
      </c>
      <c r="U104" s="705">
        <f t="shared" si="37"/>
        <v>4.7530477878284128E-2</v>
      </c>
      <c r="V104" s="705">
        <f t="shared" si="37"/>
        <v>4.6060090071532001E-2</v>
      </c>
      <c r="W104" s="705">
        <f t="shared" si="37"/>
        <v>4.401108183643121E-2</v>
      </c>
      <c r="X104" s="705">
        <f t="shared" si="37"/>
        <v>4.0840324363817126E-2</v>
      </c>
      <c r="Y104" s="705">
        <f t="shared" si="37"/>
        <v>3.9570721345695947E-2</v>
      </c>
      <c r="Z104" s="705">
        <f t="shared" si="37"/>
        <v>3.6507478038702246E-2</v>
      </c>
      <c r="AA104" s="705">
        <f t="shared" si="37"/>
        <v>3.5294744529592803E-2</v>
      </c>
      <c r="AB104" s="705">
        <f t="shared" si="37"/>
        <v>3.7239704560918296E-2</v>
      </c>
      <c r="AC104" s="707">
        <f t="shared" si="37"/>
        <v>3.6592567629379014E-2</v>
      </c>
      <c r="AD104" s="36"/>
    </row>
    <row r="105" spans="3:30" x14ac:dyDescent="0.3">
      <c r="D105" s="285" t="s">
        <v>574</v>
      </c>
      <c r="E105" s="543"/>
      <c r="F105" s="410"/>
      <c r="G105" s="183" t="e">
        <f t="shared" ref="G105:AC105" si="38">(G153/F153)^4-1</f>
        <v>#DIV/0!</v>
      </c>
      <c r="H105" s="183" t="e">
        <f t="shared" si="38"/>
        <v>#DIV/0!</v>
      </c>
      <c r="I105" s="183" t="e">
        <f t="shared" si="38"/>
        <v>#DIV/0!</v>
      </c>
      <c r="J105" s="183" t="e">
        <f t="shared" si="38"/>
        <v>#DIV/0!</v>
      </c>
      <c r="K105" s="183" t="e">
        <f t="shared" si="38"/>
        <v>#DIV/0!</v>
      </c>
      <c r="L105" s="183" t="e">
        <f t="shared" si="38"/>
        <v>#DIV/0!</v>
      </c>
      <c r="M105" s="183" t="e">
        <f t="shared" si="38"/>
        <v>#DIV/0!</v>
      </c>
      <c r="N105" s="183">
        <f t="shared" si="38"/>
        <v>1.2967410457519697</v>
      </c>
      <c r="O105" s="183">
        <f t="shared" si="38"/>
        <v>0.25748695896794094</v>
      </c>
      <c r="P105" s="183">
        <f t="shared" si="38"/>
        <v>2.8126517208340474E-2</v>
      </c>
      <c r="Q105" s="183">
        <f t="shared" si="38"/>
        <v>-0.1958993175199919</v>
      </c>
      <c r="R105" s="183">
        <f t="shared" si="38"/>
        <v>0.16507576172685345</v>
      </c>
      <c r="S105" s="184">
        <f t="shared" si="38"/>
        <v>8.2600545936435843E-2</v>
      </c>
      <c r="T105" s="708">
        <f t="shared" si="38"/>
        <v>2.9485678166663476E-2</v>
      </c>
      <c r="U105" s="708">
        <f t="shared" si="38"/>
        <v>-7.2188840567785073E-3</v>
      </c>
      <c r="V105" s="708">
        <f t="shared" si="38"/>
        <v>-2.1419517218068784E-2</v>
      </c>
      <c r="W105" s="708">
        <f t="shared" si="38"/>
        <v>-2.4082707067162423E-2</v>
      </c>
      <c r="X105" s="708">
        <f t="shared" si="38"/>
        <v>-2.1184233809863007E-2</v>
      </c>
      <c r="Y105" s="708">
        <f t="shared" si="38"/>
        <v>-1.8391062400676117E-2</v>
      </c>
      <c r="Z105" s="708">
        <f t="shared" si="38"/>
        <v>-4.766298659665491E-3</v>
      </c>
      <c r="AA105" s="708">
        <f t="shared" si="38"/>
        <v>-1.3938497616347689E-2</v>
      </c>
      <c r="AB105" s="708">
        <f t="shared" si="38"/>
        <v>2.2183848121503535E-2</v>
      </c>
      <c r="AC105" s="709">
        <f t="shared" si="38"/>
        <v>1.4556644261568774E-2</v>
      </c>
    </row>
    <row r="106" spans="3:30" x14ac:dyDescent="0.3">
      <c r="D106" s="139"/>
      <c r="E106" s="539"/>
      <c r="G106" s="539"/>
      <c r="H106" s="426"/>
      <c r="I106" s="426"/>
      <c r="J106" s="426"/>
      <c r="K106" s="426"/>
      <c r="L106" s="426"/>
      <c r="M106" s="426"/>
      <c r="N106" s="426"/>
      <c r="O106" s="426"/>
      <c r="P106" s="426"/>
      <c r="Q106" s="426"/>
      <c r="R106" s="426"/>
      <c r="S106" s="426"/>
      <c r="T106" s="454"/>
      <c r="U106" s="454"/>
      <c r="V106" s="454"/>
      <c r="W106" s="454"/>
      <c r="X106" s="454"/>
      <c r="Y106" s="454"/>
      <c r="Z106" s="454"/>
      <c r="AA106" s="454"/>
      <c r="AB106" s="454"/>
      <c r="AC106" s="454"/>
    </row>
    <row r="107" spans="3:30" x14ac:dyDescent="0.3">
      <c r="D107" s="139"/>
      <c r="E107" s="539"/>
      <c r="F107" s="539"/>
      <c r="G107" s="539"/>
      <c r="H107" s="426"/>
      <c r="I107" s="426"/>
      <c r="J107" s="426"/>
      <c r="K107" s="426"/>
      <c r="L107" s="426"/>
      <c r="M107" s="426"/>
      <c r="N107" s="426"/>
      <c r="O107" s="426"/>
      <c r="P107" s="426"/>
      <c r="Q107" s="426"/>
      <c r="R107" s="426"/>
      <c r="S107" s="426"/>
      <c r="T107" s="454"/>
      <c r="U107" s="454"/>
      <c r="V107" s="454"/>
      <c r="W107" s="454"/>
      <c r="X107" s="454"/>
      <c r="Y107" s="454"/>
      <c r="Z107" s="454"/>
      <c r="AA107" s="454"/>
      <c r="AB107" s="454"/>
      <c r="AC107" s="454"/>
    </row>
    <row r="108" spans="3:30" x14ac:dyDescent="0.3">
      <c r="D108" s="855"/>
      <c r="E108" s="549"/>
      <c r="F108" s="549"/>
      <c r="G108" s="549"/>
      <c r="H108" s="426"/>
      <c r="I108" s="426"/>
      <c r="J108" s="426"/>
      <c r="K108" s="426"/>
      <c r="L108" s="426"/>
      <c r="M108" s="426"/>
      <c r="N108" s="426"/>
      <c r="O108" s="426"/>
      <c r="P108" s="426"/>
      <c r="Q108" s="426"/>
      <c r="R108" s="426"/>
      <c r="S108" s="426"/>
      <c r="T108" s="426"/>
      <c r="U108" s="426"/>
      <c r="V108" s="426"/>
      <c r="W108" s="426"/>
      <c r="X108" s="426"/>
      <c r="Y108" s="426"/>
      <c r="Z108" s="426"/>
      <c r="AA108" s="426"/>
      <c r="AB108" s="426"/>
      <c r="AC108" s="426"/>
    </row>
    <row r="109" spans="3:30" x14ac:dyDescent="0.3">
      <c r="D109" s="180"/>
      <c r="AC109" s="36"/>
    </row>
    <row r="110" spans="3:30" x14ac:dyDescent="0.3">
      <c r="D110" s="1192" t="s">
        <v>575</v>
      </c>
      <c r="E110" s="1196"/>
      <c r="F110" s="1095">
        <v>2019</v>
      </c>
      <c r="G110" s="1096"/>
      <c r="H110" s="1103"/>
      <c r="I110" s="1096">
        <v>2020</v>
      </c>
      <c r="J110" s="1096"/>
      <c r="K110" s="1096"/>
      <c r="L110" s="1103"/>
      <c r="M110" s="1095">
        <v>2021</v>
      </c>
      <c r="N110" s="1096"/>
      <c r="O110" s="1096"/>
      <c r="P110" s="1096"/>
      <c r="Q110" s="1129">
        <v>2022</v>
      </c>
      <c r="R110" s="1130"/>
      <c r="S110" s="253"/>
      <c r="T110" s="288"/>
      <c r="U110" s="1126">
        <v>2023</v>
      </c>
      <c r="V110" s="1127"/>
      <c r="W110" s="1127"/>
      <c r="X110" s="1128"/>
      <c r="Y110" s="1126">
        <v>2024</v>
      </c>
      <c r="Z110" s="1127"/>
      <c r="AA110" s="1127"/>
      <c r="AB110" s="1127"/>
      <c r="AC110" s="259">
        <v>2025</v>
      </c>
    </row>
    <row r="111" spans="3:30" x14ac:dyDescent="0.3">
      <c r="D111" s="1214"/>
      <c r="E111" s="1215"/>
      <c r="F111" s="153" t="s">
        <v>329</v>
      </c>
      <c r="G111" s="152" t="s">
        <v>238</v>
      </c>
      <c r="H111" s="204" t="s">
        <v>327</v>
      </c>
      <c r="I111" s="152" t="s">
        <v>328</v>
      </c>
      <c r="J111" s="152" t="s">
        <v>329</v>
      </c>
      <c r="K111" s="152" t="s">
        <v>238</v>
      </c>
      <c r="L111" s="204" t="s">
        <v>327</v>
      </c>
      <c r="M111" s="153" t="s">
        <v>328</v>
      </c>
      <c r="N111" s="152" t="s">
        <v>329</v>
      </c>
      <c r="O111" s="152" t="s">
        <v>238</v>
      </c>
      <c r="P111" s="152" t="s">
        <v>327</v>
      </c>
      <c r="Q111" s="153" t="s">
        <v>328</v>
      </c>
      <c r="R111" s="152" t="s">
        <v>329</v>
      </c>
      <c r="S111" s="204" t="s">
        <v>238</v>
      </c>
      <c r="T111" s="369" t="s">
        <v>327</v>
      </c>
      <c r="U111" s="274" t="s">
        <v>328</v>
      </c>
      <c r="V111" s="275" t="s">
        <v>329</v>
      </c>
      <c r="W111" s="275" t="s">
        <v>238</v>
      </c>
      <c r="X111" s="276" t="s">
        <v>327</v>
      </c>
      <c r="Y111" s="274" t="s">
        <v>328</v>
      </c>
      <c r="Z111" s="270" t="s">
        <v>329</v>
      </c>
      <c r="AA111" s="275" t="s">
        <v>238</v>
      </c>
      <c r="AB111" s="275" t="s">
        <v>327</v>
      </c>
      <c r="AC111" s="278" t="s">
        <v>328</v>
      </c>
    </row>
    <row r="112" spans="3:30" x14ac:dyDescent="0.3">
      <c r="D112" s="1207" t="s">
        <v>576</v>
      </c>
      <c r="E112" s="1208"/>
      <c r="F112" s="287"/>
      <c r="G112" s="283"/>
      <c r="H112" s="283"/>
      <c r="I112" s="283"/>
      <c r="J112" s="283"/>
      <c r="K112" s="283"/>
      <c r="L112" s="283"/>
      <c r="M112" s="283"/>
      <c r="N112" s="283"/>
      <c r="O112" s="283"/>
      <c r="P112" s="283"/>
      <c r="Q112" s="283"/>
      <c r="R112" s="283"/>
      <c r="S112" s="643"/>
      <c r="T112" s="243"/>
      <c r="U112" s="243"/>
      <c r="V112" s="243"/>
      <c r="W112" s="243"/>
      <c r="X112" s="243"/>
      <c r="Y112" s="243"/>
      <c r="Z112" s="243"/>
      <c r="AA112" s="243"/>
      <c r="AB112" s="243"/>
      <c r="AC112" s="244"/>
    </row>
    <row r="113" spans="4:32" x14ac:dyDescent="0.3">
      <c r="D113" s="515" t="s">
        <v>544</v>
      </c>
      <c r="F113" s="738"/>
      <c r="G113" s="165"/>
      <c r="H113" s="165">
        <f t="shared" ref="H113:S113" si="39">H10/H120</f>
        <v>0.11520931070611083</v>
      </c>
      <c r="I113" s="165">
        <f t="shared" si="39"/>
        <v>0.11566144134388082</v>
      </c>
      <c r="J113" s="165">
        <f t="shared" si="39"/>
        <v>0.11281835698020669</v>
      </c>
      <c r="K113" s="165">
        <f t="shared" si="39"/>
        <v>0.11518678305073408</v>
      </c>
      <c r="L113" s="165">
        <f t="shared" si="39"/>
        <v>0.11990448353254346</v>
      </c>
      <c r="M113" s="165">
        <f t="shared" si="39"/>
        <v>0.12789328127541891</v>
      </c>
      <c r="N113" s="165">
        <f t="shared" si="39"/>
        <v>0.13083976407289996</v>
      </c>
      <c r="O113" s="165">
        <f t="shared" si="39"/>
        <v>0.13349080813015168</v>
      </c>
      <c r="P113" s="165">
        <f t="shared" si="39"/>
        <v>0.13507699001667917</v>
      </c>
      <c r="Q113" s="165">
        <f t="shared" si="39"/>
        <v>0.15293907130714859</v>
      </c>
      <c r="R113" s="165">
        <f t="shared" si="39"/>
        <v>0.15280309534169892</v>
      </c>
      <c r="S113" s="718">
        <f t="shared" si="39"/>
        <v>0.15269234107809379</v>
      </c>
      <c r="T113" s="705">
        <f>S113</f>
        <v>0.15269234107809379</v>
      </c>
      <c r="U113" s="705">
        <f>T113+U114</f>
        <v>0.1326923410780938</v>
      </c>
      <c r="V113" s="705">
        <f t="shared" ref="V113:AC113" si="40">U113+V114</f>
        <v>0.1326923410780938</v>
      </c>
      <c r="W113" s="705">
        <f t="shared" si="40"/>
        <v>0.1326923410780938</v>
      </c>
      <c r="X113" s="705">
        <f t="shared" si="40"/>
        <v>0.1326923410780938</v>
      </c>
      <c r="Y113" s="705">
        <f t="shared" si="40"/>
        <v>0.1326923410780938</v>
      </c>
      <c r="Z113" s="705">
        <f t="shared" si="40"/>
        <v>0.1326923410780938</v>
      </c>
      <c r="AA113" s="705">
        <f t="shared" si="40"/>
        <v>0.1326923410780938</v>
      </c>
      <c r="AB113" s="705">
        <f t="shared" si="40"/>
        <v>0.1326923410780938</v>
      </c>
      <c r="AC113" s="705">
        <f t="shared" si="40"/>
        <v>0.1326923410780938</v>
      </c>
    </row>
    <row r="114" spans="4:32" x14ac:dyDescent="0.3">
      <c r="D114" s="515" t="s">
        <v>968</v>
      </c>
      <c r="F114" s="738"/>
      <c r="G114" s="165"/>
      <c r="H114" s="165"/>
      <c r="I114" s="165"/>
      <c r="J114" s="165"/>
      <c r="K114" s="165"/>
      <c r="L114" s="165"/>
      <c r="M114" s="165"/>
      <c r="N114" s="165"/>
      <c r="O114" s="165"/>
      <c r="P114" s="165"/>
      <c r="Q114" s="165"/>
      <c r="R114" s="165"/>
      <c r="S114" s="718"/>
      <c r="T114" s="705"/>
      <c r="U114" s="713">
        <v>-0.02</v>
      </c>
      <c r="V114" s="705"/>
      <c r="W114" s="705"/>
      <c r="X114" s="705"/>
      <c r="Y114" s="705"/>
      <c r="Z114" s="705"/>
      <c r="AA114" s="705"/>
      <c r="AB114" s="705"/>
      <c r="AC114" s="705"/>
    </row>
    <row r="115" spans="4:32" x14ac:dyDescent="0.3">
      <c r="D115" s="515" t="s">
        <v>545</v>
      </c>
      <c r="F115" s="738"/>
      <c r="G115" s="165"/>
      <c r="H115" s="165">
        <f t="shared" ref="H115:S115" si="41">H13/H125</f>
        <v>0.15062717402761674</v>
      </c>
      <c r="I115" s="165">
        <f t="shared" si="41"/>
        <v>0.15103642270684339</v>
      </c>
      <c r="J115" s="165">
        <f t="shared" si="41"/>
        <v>0.15387605940440088</v>
      </c>
      <c r="K115" s="165">
        <f t="shared" si="41"/>
        <v>0.15183673469387757</v>
      </c>
      <c r="L115" s="165">
        <f t="shared" si="41"/>
        <v>0.1496195679926467</v>
      </c>
      <c r="M115" s="165">
        <f t="shared" si="41"/>
        <v>0.14955735161391731</v>
      </c>
      <c r="N115" s="165">
        <f t="shared" si="41"/>
        <v>0.14822588114733906</v>
      </c>
      <c r="O115" s="165">
        <f t="shared" si="41"/>
        <v>0.14724543781628582</v>
      </c>
      <c r="P115" s="165">
        <f t="shared" si="41"/>
        <v>0.14666765802020501</v>
      </c>
      <c r="Q115" s="165">
        <f t="shared" si="41"/>
        <v>0.1478248151161409</v>
      </c>
      <c r="R115" s="165">
        <f t="shared" si="41"/>
        <v>0.14783370514545832</v>
      </c>
      <c r="S115" s="718">
        <f t="shared" si="41"/>
        <v>0.1477836887306056</v>
      </c>
      <c r="T115" s="705">
        <f t="shared" ref="T115:AC115" si="42">S115</f>
        <v>0.1477836887306056</v>
      </c>
      <c r="U115" s="705">
        <f t="shared" si="42"/>
        <v>0.1477836887306056</v>
      </c>
      <c r="V115" s="705">
        <f t="shared" si="42"/>
        <v>0.1477836887306056</v>
      </c>
      <c r="W115" s="705">
        <f t="shared" si="42"/>
        <v>0.1477836887306056</v>
      </c>
      <c r="X115" s="705">
        <f t="shared" si="42"/>
        <v>0.1477836887306056</v>
      </c>
      <c r="Y115" s="705">
        <f t="shared" si="42"/>
        <v>0.1477836887306056</v>
      </c>
      <c r="Z115" s="705">
        <f t="shared" si="42"/>
        <v>0.1477836887306056</v>
      </c>
      <c r="AA115" s="705">
        <f t="shared" si="42"/>
        <v>0.1477836887306056</v>
      </c>
      <c r="AB115" s="705">
        <f t="shared" si="42"/>
        <v>0.1477836887306056</v>
      </c>
      <c r="AC115" s="705">
        <f t="shared" si="42"/>
        <v>0.1477836887306056</v>
      </c>
    </row>
    <row r="116" spans="4:32" x14ac:dyDescent="0.3">
      <c r="D116" s="515" t="s">
        <v>546</v>
      </c>
      <c r="F116" s="738"/>
      <c r="G116" s="165"/>
      <c r="H116" s="165">
        <f t="shared" ref="H116:S116" si="43">H14/H126</f>
        <v>1.2100690881729256E-2</v>
      </c>
      <c r="I116" s="165">
        <f t="shared" si="43"/>
        <v>1.2922258694477915E-2</v>
      </c>
      <c r="J116" s="165">
        <f t="shared" si="43"/>
        <v>1.016107526552131E-2</v>
      </c>
      <c r="K116" s="165">
        <f t="shared" si="43"/>
        <v>1.0362298192331481E-2</v>
      </c>
      <c r="L116" s="165">
        <f t="shared" si="43"/>
        <v>1.0626628273687096E-2</v>
      </c>
      <c r="M116" s="165">
        <f t="shared" si="43"/>
        <v>1.0349271387502891E-2</v>
      </c>
      <c r="N116" s="165">
        <f t="shared" si="43"/>
        <v>1.1211939165902553E-2</v>
      </c>
      <c r="O116" s="165">
        <f t="shared" si="43"/>
        <v>1.0949198937283633E-2</v>
      </c>
      <c r="P116" s="165">
        <f t="shared" si="43"/>
        <v>1.135730718004601E-2</v>
      </c>
      <c r="Q116" s="165">
        <f t="shared" si="43"/>
        <v>1.1994216227747885E-2</v>
      </c>
      <c r="R116" s="165">
        <f t="shared" si="43"/>
        <v>1.2131183630433398E-2</v>
      </c>
      <c r="S116" s="718">
        <f t="shared" si="43"/>
        <v>1.1565841377853641E-2</v>
      </c>
      <c r="T116" s="705">
        <f t="shared" ref="T116:AC116" si="44">S116</f>
        <v>1.1565841377853641E-2</v>
      </c>
      <c r="U116" s="705">
        <f t="shared" si="44"/>
        <v>1.1565841377853641E-2</v>
      </c>
      <c r="V116" s="705">
        <f t="shared" si="44"/>
        <v>1.1565841377853641E-2</v>
      </c>
      <c r="W116" s="705">
        <f t="shared" si="44"/>
        <v>1.1565841377853641E-2</v>
      </c>
      <c r="X116" s="705">
        <f t="shared" si="44"/>
        <v>1.1565841377853641E-2</v>
      </c>
      <c r="Y116" s="705">
        <f t="shared" si="44"/>
        <v>1.1565841377853641E-2</v>
      </c>
      <c r="Z116" s="705">
        <f t="shared" si="44"/>
        <v>1.1565841377853641E-2</v>
      </c>
      <c r="AA116" s="705">
        <f t="shared" si="44"/>
        <v>1.1565841377853641E-2</v>
      </c>
      <c r="AB116" s="705">
        <f t="shared" si="44"/>
        <v>1.1565841377853641E-2</v>
      </c>
      <c r="AC116" s="705">
        <f t="shared" si="44"/>
        <v>1.1565841377853641E-2</v>
      </c>
    </row>
    <row r="117" spans="4:32" x14ac:dyDescent="0.3">
      <c r="D117" s="399" t="s">
        <v>547</v>
      </c>
      <c r="F117" s="738"/>
      <c r="G117" s="165"/>
      <c r="H117" s="165">
        <f t="shared" ref="H117:S117" si="45">H17/H127</f>
        <v>0.11697176543592926</v>
      </c>
      <c r="I117" s="165">
        <f t="shared" si="45"/>
        <v>0.10545412659102689</v>
      </c>
      <c r="J117" s="165">
        <f t="shared" si="45"/>
        <v>0.11132677978836643</v>
      </c>
      <c r="K117" s="165">
        <f t="shared" si="45"/>
        <v>0.10700112684336878</v>
      </c>
      <c r="L117" s="165">
        <f t="shared" si="45"/>
        <v>0.11630892472013966</v>
      </c>
      <c r="M117" s="165">
        <f t="shared" si="45"/>
        <v>0.11594202898550723</v>
      </c>
      <c r="N117" s="165">
        <f t="shared" si="45"/>
        <v>0.11690415853101242</v>
      </c>
      <c r="O117" s="165">
        <f t="shared" si="45"/>
        <v>0.11448309893905748</v>
      </c>
      <c r="P117" s="165">
        <f t="shared" si="45"/>
        <v>0.12475442043222006</v>
      </c>
      <c r="Q117" s="165">
        <f t="shared" si="45"/>
        <v>0.12899247749414233</v>
      </c>
      <c r="R117" s="712">
        <f t="shared" si="45"/>
        <v>0.13911536492181653</v>
      </c>
      <c r="S117" s="712">
        <f t="shared" si="45"/>
        <v>0.13319533458062977</v>
      </c>
      <c r="T117" s="705">
        <f t="shared" ref="T117" si="46">S117</f>
        <v>0.13319533458062977</v>
      </c>
      <c r="U117" s="705">
        <f>T117+U118</f>
        <v>0.12119533458062977</v>
      </c>
      <c r="V117" s="705">
        <f t="shared" ref="V117:AC117" si="47">U117+V118</f>
        <v>0.12119533458062977</v>
      </c>
      <c r="W117" s="705">
        <f t="shared" si="47"/>
        <v>0.12119533458062977</v>
      </c>
      <c r="X117" s="705">
        <f t="shared" si="47"/>
        <v>0.12119533458062977</v>
      </c>
      <c r="Y117" s="705">
        <f t="shared" si="47"/>
        <v>0.12119533458062977</v>
      </c>
      <c r="Z117" s="705">
        <f t="shared" si="47"/>
        <v>0.12119533458062977</v>
      </c>
      <c r="AA117" s="705">
        <f t="shared" si="47"/>
        <v>0.12119533458062977</v>
      </c>
      <c r="AB117" s="705">
        <f t="shared" si="47"/>
        <v>0.12119533458062977</v>
      </c>
      <c r="AC117" s="705">
        <f t="shared" si="47"/>
        <v>0.12119533458062977</v>
      </c>
    </row>
    <row r="118" spans="4:32" x14ac:dyDescent="0.3">
      <c r="D118" s="399" t="s">
        <v>968</v>
      </c>
      <c r="F118" s="738"/>
      <c r="G118" s="165"/>
      <c r="H118" s="165"/>
      <c r="I118" s="165"/>
      <c r="J118" s="165"/>
      <c r="K118" s="165"/>
      <c r="L118" s="165"/>
      <c r="M118" s="165"/>
      <c r="N118" s="165"/>
      <c r="O118" s="165"/>
      <c r="P118" s="165"/>
      <c r="Q118" s="165"/>
      <c r="R118" s="712"/>
      <c r="S118" s="712"/>
      <c r="T118" s="705"/>
      <c r="U118" s="705">
        <v>-1.2E-2</v>
      </c>
      <c r="V118" s="705"/>
      <c r="W118" s="705"/>
      <c r="X118" s="705"/>
      <c r="Y118" s="705"/>
      <c r="Z118" s="705"/>
      <c r="AA118" s="705"/>
      <c r="AB118" s="705"/>
      <c r="AC118" s="705"/>
    </row>
    <row r="119" spans="4:32" x14ac:dyDescent="0.3">
      <c r="D119" s="593" t="s">
        <v>577</v>
      </c>
      <c r="F119" s="284"/>
      <c r="G119" s="139"/>
      <c r="H119" s="139"/>
      <c r="I119" s="139"/>
      <c r="J119" s="139"/>
      <c r="K119" s="139"/>
      <c r="L119" s="139"/>
      <c r="M119" s="139"/>
      <c r="N119" s="139"/>
      <c r="O119" s="139"/>
      <c r="P119" s="139"/>
      <c r="Q119" s="139"/>
      <c r="R119" s="139"/>
      <c r="S119" s="154"/>
      <c r="T119" s="357"/>
      <c r="U119" s="357"/>
      <c r="V119" s="357"/>
      <c r="W119" s="357"/>
      <c r="X119" s="357"/>
      <c r="Y119" s="357"/>
      <c r="Z119" s="357"/>
      <c r="AA119" s="357"/>
      <c r="AB119" s="357"/>
      <c r="AC119" s="369"/>
    </row>
    <row r="120" spans="4:32" ht="14.7" customHeight="1" x14ac:dyDescent="0.3">
      <c r="D120" s="784" t="s">
        <v>578</v>
      </c>
      <c r="F120" s="462">
        <f>SUM(F121:F124)</f>
        <v>14677.800000000003</v>
      </c>
      <c r="G120" s="426">
        <f t="shared" ref="G120:O120" si="48">SUM(G121:G124)</f>
        <v>14803.5</v>
      </c>
      <c r="H120" s="426">
        <f t="shared" si="48"/>
        <v>14984.9</v>
      </c>
      <c r="I120" s="426">
        <f t="shared" si="48"/>
        <v>15144.2</v>
      </c>
      <c r="J120" s="426">
        <f t="shared" si="48"/>
        <v>14272.5</v>
      </c>
      <c r="K120" s="426">
        <f t="shared" si="48"/>
        <v>14950.5</v>
      </c>
      <c r="L120" s="426">
        <f t="shared" si="48"/>
        <v>15327.199999999999</v>
      </c>
      <c r="M120" s="426">
        <f t="shared" si="48"/>
        <v>15367.5</v>
      </c>
      <c r="N120" s="426">
        <f t="shared" si="48"/>
        <v>15835.400000000001</v>
      </c>
      <c r="O120" s="426">
        <f t="shared" si="48"/>
        <v>16171.900000000001</v>
      </c>
      <c r="P120" s="426">
        <f t="shared" ref="P120:S120" si="49">SUM(P121:P124)</f>
        <v>16547.599999999999</v>
      </c>
      <c r="Q120" s="426">
        <f t="shared" si="49"/>
        <v>16765.5</v>
      </c>
      <c r="R120" s="426">
        <f t="shared" si="49"/>
        <v>17006.199999999997</v>
      </c>
      <c r="S120" s="719">
        <f t="shared" si="49"/>
        <v>17280.5</v>
      </c>
      <c r="T120" s="357"/>
      <c r="U120" s="357"/>
      <c r="V120" s="357"/>
      <c r="W120" s="357"/>
      <c r="X120" s="357"/>
      <c r="Y120" s="357"/>
      <c r="Z120" s="357"/>
      <c r="AA120" s="357"/>
      <c r="AB120" s="357"/>
      <c r="AC120" s="369"/>
      <c r="AD120" s="803"/>
      <c r="AE120" s="803"/>
      <c r="AF120" s="803"/>
    </row>
    <row r="121" spans="4:32" x14ac:dyDescent="0.3">
      <c r="D121" s="841" t="s">
        <v>852</v>
      </c>
      <c r="E121" s="155" t="s">
        <v>848</v>
      </c>
      <c r="F121" s="462">
        <f>'Haver Pivoted'!GQ81</f>
        <v>9284.7000000000007</v>
      </c>
      <c r="G121" s="426">
        <f>'Haver Pivoted'!GR81</f>
        <v>9340.5</v>
      </c>
      <c r="H121" s="426">
        <f>'Haver Pivoted'!GS81</f>
        <v>9487</v>
      </c>
      <c r="I121" s="426">
        <f>'Haver Pivoted'!GT81</f>
        <v>9634.1</v>
      </c>
      <c r="J121" s="426">
        <f>'Haver Pivoted'!GU81</f>
        <v>9002.7000000000007</v>
      </c>
      <c r="K121" s="426">
        <f>'Haver Pivoted'!GV81</f>
        <v>9432.5</v>
      </c>
      <c r="L121" s="426">
        <f>'Haver Pivoted'!GW81</f>
        <v>9791.5</v>
      </c>
      <c r="M121" s="426">
        <f>'Haver Pivoted'!GX81</f>
        <v>9861.1</v>
      </c>
      <c r="N121" s="426">
        <f>'Haver Pivoted'!GY81</f>
        <v>10148.700000000001</v>
      </c>
      <c r="O121" s="426">
        <f>'Haver Pivoted'!GZ81</f>
        <v>10433.6</v>
      </c>
      <c r="P121" s="426">
        <f>'Haver Pivoted'!HA81</f>
        <v>10759.7</v>
      </c>
      <c r="Q121" s="426">
        <f>'Haver Pivoted'!HB81</f>
        <v>10939.3</v>
      </c>
      <c r="R121" s="426">
        <f>'Haver Pivoted'!HC81</f>
        <v>11071.9</v>
      </c>
      <c r="S121" s="719">
        <f>'Haver Pivoted'!HD81</f>
        <v>11259.7</v>
      </c>
      <c r="T121" s="357"/>
      <c r="U121" s="357"/>
      <c r="V121" s="357"/>
      <c r="W121" s="357"/>
      <c r="X121" s="357"/>
      <c r="Y121" s="357"/>
      <c r="Z121" s="357"/>
      <c r="AA121" s="357"/>
      <c r="AB121" s="357"/>
      <c r="AC121" s="369"/>
    </row>
    <row r="122" spans="4:32" x14ac:dyDescent="0.3">
      <c r="D122" s="841" t="s">
        <v>579</v>
      </c>
      <c r="E122" s="155" t="s">
        <v>849</v>
      </c>
      <c r="F122" s="462">
        <f>'Haver Pivoted'!GQ82</f>
        <v>1575.2</v>
      </c>
      <c r="G122" s="426">
        <f>'Haver Pivoted'!GR82</f>
        <v>1615.3</v>
      </c>
      <c r="H122" s="426">
        <f>'Haver Pivoted'!GS82</f>
        <v>1631.9</v>
      </c>
      <c r="I122" s="426">
        <f>'Haver Pivoted'!GT82</f>
        <v>1643.2</v>
      </c>
      <c r="J122" s="426">
        <f>'Haver Pivoted'!GU82</f>
        <v>1475.6</v>
      </c>
      <c r="K122" s="426">
        <f>'Haver Pivoted'!GV82</f>
        <v>1751.6</v>
      </c>
      <c r="L122" s="426">
        <f>'Haver Pivoted'!GW82</f>
        <v>1702</v>
      </c>
      <c r="M122" s="426">
        <f>'Haver Pivoted'!GX82</f>
        <v>1655</v>
      </c>
      <c r="N122" s="426">
        <f>'Haver Pivoted'!GY82</f>
        <v>1776.9</v>
      </c>
      <c r="O122" s="426">
        <f>'Haver Pivoted'!GZ82</f>
        <v>1792.7</v>
      </c>
      <c r="P122" s="426">
        <f>'Haver Pivoted'!HA82</f>
        <v>1789.8</v>
      </c>
      <c r="Q122" s="426">
        <f>'Haver Pivoted'!HB82</f>
        <v>1811.4</v>
      </c>
      <c r="R122" s="426">
        <f>'Haver Pivoted'!HC82</f>
        <v>1835.4</v>
      </c>
      <c r="S122" s="719">
        <f>'Haver Pivoted'!HD82</f>
        <v>1859</v>
      </c>
      <c r="T122" s="357"/>
      <c r="U122" s="357"/>
      <c r="V122" s="357"/>
      <c r="W122" s="357"/>
      <c r="X122" s="357"/>
      <c r="Y122" s="357"/>
      <c r="Z122" s="357"/>
      <c r="AA122" s="357"/>
      <c r="AB122" s="357"/>
      <c r="AC122" s="369"/>
    </row>
    <row r="123" spans="4:32" x14ac:dyDescent="0.3">
      <c r="D123" s="841" t="s">
        <v>580</v>
      </c>
      <c r="E123" s="155" t="s">
        <v>855</v>
      </c>
      <c r="F123" s="462">
        <f>'Haver Pivoted'!GQ83</f>
        <v>696.1</v>
      </c>
      <c r="G123" s="426">
        <f>'Haver Pivoted'!GR83</f>
        <v>699.1</v>
      </c>
      <c r="H123" s="426">
        <f>'Haver Pivoted'!GS83</f>
        <v>708</v>
      </c>
      <c r="I123" s="426">
        <f>'Haver Pivoted'!GT83</f>
        <v>722.6</v>
      </c>
      <c r="J123" s="426">
        <f>'Haver Pivoted'!GU83</f>
        <v>717.9</v>
      </c>
      <c r="K123" s="426">
        <f>'Haver Pivoted'!GV83</f>
        <v>722.6</v>
      </c>
      <c r="L123" s="426">
        <f>'Haver Pivoted'!GW83</f>
        <v>716.3</v>
      </c>
      <c r="M123" s="426">
        <f>'Haver Pivoted'!GX83</f>
        <v>719.4</v>
      </c>
      <c r="N123" s="426">
        <f>'Haver Pivoted'!GY83</f>
        <v>713.5</v>
      </c>
      <c r="O123" s="426">
        <f>'Haver Pivoted'!GZ83</f>
        <v>722.7</v>
      </c>
      <c r="P123" s="426">
        <f>'Haver Pivoted'!HA83</f>
        <v>739.6</v>
      </c>
      <c r="Q123" s="426">
        <f>'Haver Pivoted'!HB83</f>
        <v>744.9</v>
      </c>
      <c r="R123" s="426">
        <f>'Haver Pivoted'!HC83</f>
        <v>775.9</v>
      </c>
      <c r="S123" s="719">
        <f>'Haver Pivoted'!HD83</f>
        <v>794.9</v>
      </c>
      <c r="T123" s="357"/>
      <c r="U123" s="357"/>
      <c r="V123" s="357"/>
      <c r="W123" s="357"/>
      <c r="X123" s="357"/>
      <c r="Y123" s="357"/>
      <c r="Z123" s="357"/>
      <c r="AA123" s="357"/>
      <c r="AB123" s="357"/>
      <c r="AC123" s="369"/>
    </row>
    <row r="124" spans="4:32" x14ac:dyDescent="0.3">
      <c r="D124" s="841" t="s">
        <v>581</v>
      </c>
      <c r="E124" s="155" t="s">
        <v>851</v>
      </c>
      <c r="F124" s="462">
        <f>'Haver Pivoted'!GQ84</f>
        <v>3121.8</v>
      </c>
      <c r="G124" s="426">
        <f>'Haver Pivoted'!GR84</f>
        <v>3148.6</v>
      </c>
      <c r="H124" s="426">
        <f>'Haver Pivoted'!GS84</f>
        <v>3158</v>
      </c>
      <c r="I124" s="426">
        <f>'Haver Pivoted'!GT84</f>
        <v>3144.3</v>
      </c>
      <c r="J124" s="426">
        <f>'Haver Pivoted'!GU84</f>
        <v>3076.3</v>
      </c>
      <c r="K124" s="426">
        <f>'Haver Pivoted'!GV84</f>
        <v>3043.8</v>
      </c>
      <c r="L124" s="426">
        <f>'Haver Pivoted'!GW84</f>
        <v>3117.4</v>
      </c>
      <c r="M124" s="426">
        <f>'Haver Pivoted'!GX84</f>
        <v>3132</v>
      </c>
      <c r="N124" s="426">
        <f>'Haver Pivoted'!GY84</f>
        <v>3196.3</v>
      </c>
      <c r="O124" s="426">
        <f>'Haver Pivoted'!GZ84</f>
        <v>3222.9</v>
      </c>
      <c r="P124" s="426">
        <f>'Haver Pivoted'!HA84</f>
        <v>3258.5</v>
      </c>
      <c r="Q124" s="426">
        <f>'Haver Pivoted'!HB84</f>
        <v>3269.9</v>
      </c>
      <c r="R124" s="426">
        <f>'Haver Pivoted'!HC84</f>
        <v>3323</v>
      </c>
      <c r="S124" s="719">
        <f>'Haver Pivoted'!HD84</f>
        <v>3366.9</v>
      </c>
      <c r="T124" s="357"/>
      <c r="U124" s="357"/>
      <c r="V124" s="357"/>
      <c r="W124" s="357"/>
      <c r="X124" s="357"/>
      <c r="Y124" s="357"/>
      <c r="Z124" s="357"/>
      <c r="AA124" s="357"/>
      <c r="AB124" s="357"/>
      <c r="AC124" s="369"/>
    </row>
    <row r="125" spans="4:32" x14ac:dyDescent="0.3">
      <c r="D125" s="784" t="s">
        <v>566</v>
      </c>
      <c r="F125" s="462">
        <f>F121</f>
        <v>9284.7000000000007</v>
      </c>
      <c r="G125" s="426">
        <f t="shared" ref="G125:O125" si="50">G121</f>
        <v>9340.5</v>
      </c>
      <c r="H125" s="426">
        <f t="shared" si="50"/>
        <v>9487</v>
      </c>
      <c r="I125" s="426">
        <f t="shared" si="50"/>
        <v>9634.1</v>
      </c>
      <c r="J125" s="426">
        <f t="shared" si="50"/>
        <v>9002.7000000000007</v>
      </c>
      <c r="K125" s="426">
        <f t="shared" si="50"/>
        <v>9432.5</v>
      </c>
      <c r="L125" s="426">
        <f t="shared" si="50"/>
        <v>9791.5</v>
      </c>
      <c r="M125" s="426">
        <f t="shared" si="50"/>
        <v>9861.1</v>
      </c>
      <c r="N125" s="426">
        <f t="shared" si="50"/>
        <v>10148.700000000001</v>
      </c>
      <c r="O125" s="426">
        <f t="shared" si="50"/>
        <v>10433.6</v>
      </c>
      <c r="P125" s="426">
        <f t="shared" ref="P125:S125" si="51">P121</f>
        <v>10759.7</v>
      </c>
      <c r="Q125" s="426">
        <f t="shared" si="51"/>
        <v>10939.3</v>
      </c>
      <c r="R125" s="426">
        <f t="shared" si="51"/>
        <v>11071.9</v>
      </c>
      <c r="S125" s="719">
        <f t="shared" si="51"/>
        <v>11259.7</v>
      </c>
      <c r="T125" s="357"/>
      <c r="U125" s="357"/>
      <c r="V125" s="357"/>
      <c r="W125" s="357"/>
      <c r="X125" s="357"/>
      <c r="Y125" s="357"/>
      <c r="Z125" s="357"/>
      <c r="AA125" s="357"/>
      <c r="AB125" s="357"/>
      <c r="AC125" s="369"/>
    </row>
    <row r="126" spans="4:32" x14ac:dyDescent="0.3">
      <c r="D126" s="784" t="s">
        <v>567</v>
      </c>
      <c r="E126" s="155" t="s">
        <v>585</v>
      </c>
      <c r="F126" s="462">
        <f>'Haver Pivoted'!GQ5</f>
        <v>14323.7</v>
      </c>
      <c r="G126" s="426">
        <f>'Haver Pivoted'!GR5</f>
        <v>14482.2</v>
      </c>
      <c r="H126" s="426">
        <f>'Haver Pivoted'!GS5</f>
        <v>14619</v>
      </c>
      <c r="I126" s="426">
        <f>'Haver Pivoted'!GT5</f>
        <v>14440.2</v>
      </c>
      <c r="J126" s="426">
        <f>'Haver Pivoted'!GU5</f>
        <v>13049.8</v>
      </c>
      <c r="K126" s="426">
        <f>'Haver Pivoted'!GV5</f>
        <v>14388.7</v>
      </c>
      <c r="L126" s="426">
        <f>'Haver Pivoted'!GW5</f>
        <v>14586</v>
      </c>
      <c r="M126" s="426">
        <f>'Haver Pivoted'!GX5</f>
        <v>15131.5</v>
      </c>
      <c r="N126" s="426">
        <f>'Haver Pivoted'!GY5</f>
        <v>15813.5</v>
      </c>
      <c r="O126" s="426">
        <f>'Haver Pivoted'!GZ5</f>
        <v>16147.3</v>
      </c>
      <c r="P126" s="426">
        <f>'Haver Pivoted'!HA5</f>
        <v>16518</v>
      </c>
      <c r="Q126" s="426">
        <f>'Haver Pivoted'!HB5</f>
        <v>16874.8</v>
      </c>
      <c r="R126" s="426">
        <f>'Haver Pivoted'!HC5</f>
        <v>17261.3</v>
      </c>
      <c r="S126" s="719">
        <f>'Haver Pivoted'!HD5</f>
        <v>17517.099999999999</v>
      </c>
      <c r="T126" s="357"/>
      <c r="U126" s="357"/>
      <c r="V126" s="357"/>
      <c r="W126" s="357"/>
      <c r="X126" s="357"/>
      <c r="Y126" s="357"/>
      <c r="Z126" s="357"/>
      <c r="AA126" s="357"/>
      <c r="AB126" s="357"/>
      <c r="AC126" s="369"/>
    </row>
    <row r="127" spans="4:32" x14ac:dyDescent="0.3">
      <c r="D127" s="784" t="s">
        <v>582</v>
      </c>
      <c r="E127" s="155" t="s">
        <v>850</v>
      </c>
      <c r="F127" s="462">
        <f>'Haver Pivoted'!GQ85</f>
        <v>1872</v>
      </c>
      <c r="G127" s="426">
        <f>'Haver Pivoted'!GR85</f>
        <v>1882</v>
      </c>
      <c r="H127" s="426">
        <f>'Haver Pivoted'!GS85</f>
        <v>1933.8</v>
      </c>
      <c r="I127" s="426">
        <f>'Haver Pivoted'!GT85</f>
        <v>1736.3</v>
      </c>
      <c r="J127" s="426">
        <f>'Haver Pivoted'!GU85</f>
        <v>1597.1</v>
      </c>
      <c r="K127" s="426">
        <f>'Haver Pivoted'!GV85</f>
        <v>2041.1</v>
      </c>
      <c r="L127" s="426">
        <f>'Haver Pivoted'!GW85</f>
        <v>1947.4</v>
      </c>
      <c r="M127" s="426">
        <f>'Haver Pivoted'!GX85</f>
        <v>2152.8000000000002</v>
      </c>
      <c r="N127" s="426">
        <f>'Haver Pivoted'!GY85</f>
        <v>2407.1</v>
      </c>
      <c r="O127" s="426">
        <f>'Haver Pivoted'!GZ85</f>
        <v>2431.8000000000002</v>
      </c>
      <c r="P127" s="426">
        <f>'Haver Pivoted'!HA85</f>
        <v>2443.1999999999998</v>
      </c>
      <c r="Q127" s="426">
        <f>'Haver Pivoted'!HB85</f>
        <v>2432.6999999999998</v>
      </c>
      <c r="R127" s="721">
        <f>'Haver Pivoted'!HC85</f>
        <v>2538.9</v>
      </c>
      <c r="S127" s="721">
        <f>'Haver Pivoted'!HD85</f>
        <v>2512.1</v>
      </c>
      <c r="T127" s="357"/>
      <c r="U127" s="357"/>
      <c r="V127" s="357"/>
      <c r="W127" s="357"/>
      <c r="X127" s="357"/>
      <c r="Y127" s="357"/>
      <c r="Z127" s="357"/>
      <c r="AA127" s="357"/>
      <c r="AB127" s="357"/>
      <c r="AC127" s="369"/>
    </row>
    <row r="128" spans="4:32" x14ac:dyDescent="0.3">
      <c r="D128" s="593" t="s">
        <v>583</v>
      </c>
      <c r="F128" s="284"/>
      <c r="G128" s="139"/>
      <c r="H128" s="139"/>
      <c r="I128" s="139"/>
      <c r="J128" s="139"/>
      <c r="K128" s="139"/>
      <c r="L128" s="139"/>
      <c r="M128" s="139"/>
      <c r="N128" s="139"/>
      <c r="O128" s="139"/>
      <c r="P128" s="139"/>
      <c r="Q128" s="139"/>
      <c r="R128" s="139"/>
      <c r="S128" s="154"/>
      <c r="T128" s="357"/>
      <c r="U128" s="357"/>
      <c r="V128" s="357"/>
      <c r="W128" s="357"/>
      <c r="X128" s="357"/>
      <c r="Y128" s="357"/>
      <c r="Z128" s="357"/>
      <c r="AA128" s="357"/>
      <c r="AB128" s="357"/>
      <c r="AC128" s="369"/>
    </row>
    <row r="129" spans="4:29" x14ac:dyDescent="0.3">
      <c r="D129" s="835" t="s">
        <v>548</v>
      </c>
      <c r="F129" s="738">
        <f t="shared" ref="F129:S129" si="52">F23/F120</f>
        <v>3.6040823556663798E-2</v>
      </c>
      <c r="G129" s="165">
        <f t="shared" si="52"/>
        <v>3.3451548620258724E-2</v>
      </c>
      <c r="H129" s="165">
        <f t="shared" si="52"/>
        <v>3.2672890709981382E-2</v>
      </c>
      <c r="I129" s="165">
        <f t="shared" si="52"/>
        <v>3.2850860395398897E-2</v>
      </c>
      <c r="J129" s="165">
        <f t="shared" si="52"/>
        <v>3.419162725521107E-2</v>
      </c>
      <c r="K129" s="165">
        <f t="shared" si="52"/>
        <v>3.4473763419283633E-2</v>
      </c>
      <c r="L129" s="165">
        <f t="shared" si="52"/>
        <v>3.4115820241139933E-2</v>
      </c>
      <c r="M129" s="165">
        <f t="shared" si="52"/>
        <v>3.5373352855051249E-2</v>
      </c>
      <c r="N129" s="165">
        <f t="shared" si="52"/>
        <v>3.5780592848933403E-2</v>
      </c>
      <c r="O129" s="165">
        <f t="shared" si="52"/>
        <v>3.3044973070573025E-2</v>
      </c>
      <c r="P129" s="165">
        <f t="shared" si="52"/>
        <v>3.449442819502526E-2</v>
      </c>
      <c r="Q129" s="165">
        <f t="shared" si="52"/>
        <v>3.4672392711222445E-2</v>
      </c>
      <c r="R129" s="165">
        <f t="shared" si="52"/>
        <v>3.4681469111265309E-2</v>
      </c>
      <c r="S129" s="718">
        <f t="shared" si="52"/>
        <v>3.5033708515378605E-2</v>
      </c>
      <c r="T129" s="705">
        <f t="shared" ref="T129:AC131" si="53">S129</f>
        <v>3.5033708515378605E-2</v>
      </c>
      <c r="U129" s="705">
        <f t="shared" si="53"/>
        <v>3.5033708515378605E-2</v>
      </c>
      <c r="V129" s="705">
        <f t="shared" si="53"/>
        <v>3.5033708515378605E-2</v>
      </c>
      <c r="W129" s="705">
        <f t="shared" si="53"/>
        <v>3.5033708515378605E-2</v>
      </c>
      <c r="X129" s="705">
        <f>W129</f>
        <v>3.5033708515378605E-2</v>
      </c>
      <c r="Y129" s="705">
        <f t="shared" si="53"/>
        <v>3.5033708515378605E-2</v>
      </c>
      <c r="Z129" s="705">
        <f t="shared" si="53"/>
        <v>3.5033708515378605E-2</v>
      </c>
      <c r="AA129" s="705">
        <f t="shared" si="53"/>
        <v>3.5033708515378605E-2</v>
      </c>
      <c r="AB129" s="705">
        <f t="shared" si="53"/>
        <v>3.5033708515378605E-2</v>
      </c>
      <c r="AC129" s="707">
        <f t="shared" si="53"/>
        <v>3.5033708515378605E-2</v>
      </c>
    </row>
    <row r="130" spans="4:29" x14ac:dyDescent="0.3">
      <c r="D130" s="835" t="s">
        <v>545</v>
      </c>
      <c r="F130" s="738">
        <f t="shared" ref="F130:S130" si="54">F24/F125</f>
        <v>2.2402447036522452E-3</v>
      </c>
      <c r="G130" s="165">
        <f t="shared" si="54"/>
        <v>2.2161554520635941E-3</v>
      </c>
      <c r="H130" s="165">
        <f t="shared" si="54"/>
        <v>2.1819331717086539E-3</v>
      </c>
      <c r="I130" s="165">
        <f t="shared" si="54"/>
        <v>2.1486179300609291E-3</v>
      </c>
      <c r="J130" s="165">
        <f t="shared" si="54"/>
        <v>2.1993401979406176E-3</v>
      </c>
      <c r="K130" s="165">
        <f t="shared" si="54"/>
        <v>2.1733368672144184E-3</v>
      </c>
      <c r="L130" s="165">
        <f t="shared" si="54"/>
        <v>2.1753561762753409E-3</v>
      </c>
      <c r="M130" s="165">
        <f t="shared" si="54"/>
        <v>2.2309884292827371E-3</v>
      </c>
      <c r="N130" s="165">
        <f t="shared" si="54"/>
        <v>2.2367396809443571E-3</v>
      </c>
      <c r="O130" s="165">
        <f t="shared" si="54"/>
        <v>2.2235853396718294E-3</v>
      </c>
      <c r="P130" s="165">
        <f t="shared" si="54"/>
        <v>2.1747818247720659E-3</v>
      </c>
      <c r="Q130" s="165">
        <f t="shared" si="54"/>
        <v>2.1390765405464702E-3</v>
      </c>
      <c r="R130" s="165">
        <f t="shared" si="54"/>
        <v>2.1315221416378402E-3</v>
      </c>
      <c r="S130" s="718">
        <f t="shared" si="54"/>
        <v>2.1314955105375807E-3</v>
      </c>
      <c r="T130" s="705">
        <f t="shared" si="53"/>
        <v>2.1314955105375807E-3</v>
      </c>
      <c r="U130" s="705">
        <f t="shared" si="53"/>
        <v>2.1314955105375807E-3</v>
      </c>
      <c r="V130" s="705">
        <f t="shared" si="53"/>
        <v>2.1314955105375807E-3</v>
      </c>
      <c r="W130" s="705">
        <f t="shared" si="53"/>
        <v>2.1314955105375807E-3</v>
      </c>
      <c r="X130" s="705">
        <f>W130</f>
        <v>2.1314955105375807E-3</v>
      </c>
      <c r="Y130" s="705">
        <f t="shared" si="53"/>
        <v>2.1314955105375807E-3</v>
      </c>
      <c r="Z130" s="705">
        <f t="shared" si="53"/>
        <v>2.1314955105375807E-3</v>
      </c>
      <c r="AA130" s="705">
        <f t="shared" si="53"/>
        <v>2.1314955105375807E-3</v>
      </c>
      <c r="AB130" s="705">
        <f t="shared" si="53"/>
        <v>2.1314955105375807E-3</v>
      </c>
      <c r="AC130" s="707">
        <f t="shared" si="53"/>
        <v>2.1314955105375807E-3</v>
      </c>
    </row>
    <row r="131" spans="4:29" x14ac:dyDescent="0.3">
      <c r="D131" s="835" t="s">
        <v>546</v>
      </c>
      <c r="F131" s="738">
        <f t="shared" ref="F131:S131" si="55">F25/F126</f>
        <v>9.3886356178920244E-2</v>
      </c>
      <c r="G131" s="165">
        <f t="shared" si="55"/>
        <v>9.4826752841419115E-2</v>
      </c>
      <c r="H131" s="165">
        <f t="shared" si="55"/>
        <v>9.3898351460428214E-2</v>
      </c>
      <c r="I131" s="165">
        <f t="shared" si="55"/>
        <v>9.5518067616792005E-2</v>
      </c>
      <c r="J131" s="165">
        <f t="shared" si="55"/>
        <v>9.9143281889377613E-2</v>
      </c>
      <c r="K131" s="165">
        <f t="shared" si="55"/>
        <v>9.7117877223098684E-2</v>
      </c>
      <c r="L131" s="165">
        <f t="shared" si="55"/>
        <v>9.6764020293432063E-2</v>
      </c>
      <c r="M131" s="165">
        <f t="shared" si="55"/>
        <v>9.4306578990846907E-2</v>
      </c>
      <c r="N131" s="165">
        <f t="shared" si="55"/>
        <v>9.4817719037531223E-2</v>
      </c>
      <c r="O131" s="165">
        <f t="shared" si="55"/>
        <v>9.309296291020791E-2</v>
      </c>
      <c r="P131" s="165">
        <f t="shared" si="55"/>
        <v>9.236590386245308E-2</v>
      </c>
      <c r="Q131" s="165">
        <f t="shared" si="55"/>
        <v>9.1716642567615622E-2</v>
      </c>
      <c r="R131" s="165">
        <f t="shared" si="55"/>
        <v>9.072897174604462E-2</v>
      </c>
      <c r="S131" s="718">
        <f t="shared" si="55"/>
        <v>9.0717070748011941E-2</v>
      </c>
      <c r="T131" s="705">
        <f t="shared" si="53"/>
        <v>9.0717070748011941E-2</v>
      </c>
      <c r="U131" s="705">
        <f t="shared" si="53"/>
        <v>9.0717070748011941E-2</v>
      </c>
      <c r="V131" s="705">
        <f t="shared" si="53"/>
        <v>9.0717070748011941E-2</v>
      </c>
      <c r="W131" s="705">
        <f t="shared" si="53"/>
        <v>9.0717070748011941E-2</v>
      </c>
      <c r="X131" s="705">
        <f>W131</f>
        <v>9.0717070748011941E-2</v>
      </c>
      <c r="Y131" s="705">
        <f t="shared" si="53"/>
        <v>9.0717070748011941E-2</v>
      </c>
      <c r="Z131" s="705">
        <f t="shared" si="53"/>
        <v>9.0717070748011941E-2</v>
      </c>
      <c r="AA131" s="705">
        <f t="shared" si="53"/>
        <v>9.0717070748011941E-2</v>
      </c>
      <c r="AB131" s="705">
        <f t="shared" si="53"/>
        <v>9.0717070748011941E-2</v>
      </c>
      <c r="AC131" s="707">
        <f t="shared" si="53"/>
        <v>9.0717070748011941E-2</v>
      </c>
    </row>
    <row r="132" spans="4:29" x14ac:dyDescent="0.3">
      <c r="D132" s="836" t="s">
        <v>584</v>
      </c>
      <c r="E132" s="265"/>
      <c r="F132" s="182">
        <f t="shared" ref="F132:S132" si="56">F26/F127</f>
        <v>3.9797008547008544E-2</v>
      </c>
      <c r="G132" s="183">
        <f t="shared" si="56"/>
        <v>3.9001062699256114E-2</v>
      </c>
      <c r="H132" s="183">
        <f t="shared" si="56"/>
        <v>3.728410383700486E-2</v>
      </c>
      <c r="I132" s="183">
        <f t="shared" si="56"/>
        <v>3.8990957783793127E-2</v>
      </c>
      <c r="J132" s="183">
        <f t="shared" si="56"/>
        <v>4.0698766514307184E-2</v>
      </c>
      <c r="K132" s="183">
        <f t="shared" si="56"/>
        <v>3.9635490666797321E-2</v>
      </c>
      <c r="L132" s="183">
        <f t="shared" si="56"/>
        <v>4.3545239806922049E-2</v>
      </c>
      <c r="M132" s="183">
        <f t="shared" si="56"/>
        <v>4.0876997398736528E-2</v>
      </c>
      <c r="N132" s="183">
        <f t="shared" si="56"/>
        <v>3.7514021021145774E-2</v>
      </c>
      <c r="O132" s="183">
        <f t="shared" si="56"/>
        <v>3.8818981824163171E-2</v>
      </c>
      <c r="P132" s="183">
        <f t="shared" si="56"/>
        <v>4.52275703994761E-2</v>
      </c>
      <c r="Q132" s="183">
        <f t="shared" si="56"/>
        <v>6.8195831791836234E-2</v>
      </c>
      <c r="R132" s="722">
        <f t="shared" si="56"/>
        <v>4.3247075505140016E-2</v>
      </c>
      <c r="S132" s="722">
        <f t="shared" si="56"/>
        <v>4.0444249830818839E-2</v>
      </c>
      <c r="T132" s="708">
        <f>S132</f>
        <v>4.0444249830818839E-2</v>
      </c>
      <c r="U132" s="708">
        <f t="shared" ref="U132:AC132" si="57">T132</f>
        <v>4.0444249830818839E-2</v>
      </c>
      <c r="V132" s="708">
        <f t="shared" si="57"/>
        <v>4.0444249830818839E-2</v>
      </c>
      <c r="W132" s="708">
        <f t="shared" si="57"/>
        <v>4.0444249830818839E-2</v>
      </c>
      <c r="X132" s="708">
        <f>W132</f>
        <v>4.0444249830818839E-2</v>
      </c>
      <c r="Y132" s="708">
        <f t="shared" si="57"/>
        <v>4.0444249830818839E-2</v>
      </c>
      <c r="Z132" s="708">
        <f t="shared" si="57"/>
        <v>4.0444249830818839E-2</v>
      </c>
      <c r="AA132" s="708">
        <f t="shared" si="57"/>
        <v>4.0444249830818839E-2</v>
      </c>
      <c r="AB132" s="708">
        <f t="shared" si="57"/>
        <v>4.0444249830818839E-2</v>
      </c>
      <c r="AC132" s="709">
        <f t="shared" si="57"/>
        <v>4.0444249830818839E-2</v>
      </c>
    </row>
    <row r="133" spans="4:29" x14ac:dyDescent="0.3">
      <c r="D133" s="268"/>
      <c r="E133" s="155"/>
      <c r="F133" s="165"/>
      <c r="G133" s="165"/>
      <c r="H133" s="165"/>
      <c r="I133" s="165"/>
      <c r="J133" s="165"/>
      <c r="K133" s="165"/>
      <c r="L133" s="165"/>
      <c r="M133" s="165"/>
      <c r="N133" s="165"/>
      <c r="O133" s="165"/>
      <c r="P133" s="165"/>
      <c r="Q133" s="165"/>
      <c r="R133" s="712"/>
      <c r="S133" s="712"/>
      <c r="T133" s="705"/>
      <c r="U133" s="705"/>
      <c r="V133" s="705"/>
      <c r="W133" s="705"/>
      <c r="X133" s="705"/>
      <c r="Y133" s="705"/>
      <c r="Z133" s="705"/>
      <c r="AA133" s="705"/>
      <c r="AB133" s="705"/>
      <c r="AC133" s="705"/>
    </row>
    <row r="134" spans="4:29" x14ac:dyDescent="0.3">
      <c r="D134" s="268"/>
      <c r="E134" s="155"/>
      <c r="F134" s="165"/>
      <c r="G134" s="165"/>
      <c r="H134" s="165"/>
      <c r="I134" s="165"/>
      <c r="J134" s="165"/>
      <c r="K134" s="165"/>
      <c r="L134" s="165"/>
      <c r="M134" s="165"/>
      <c r="N134" s="165"/>
      <c r="O134" s="165"/>
      <c r="P134" s="165"/>
      <c r="Q134" s="165"/>
      <c r="R134" s="712"/>
      <c r="S134" s="712"/>
      <c r="T134" s="705"/>
      <c r="U134" s="705"/>
      <c r="V134" s="705"/>
      <c r="W134" s="705"/>
      <c r="X134" s="705"/>
      <c r="Y134" s="705"/>
      <c r="Z134" s="705"/>
      <c r="AA134" s="705"/>
      <c r="AB134" s="705"/>
      <c r="AC134" s="705"/>
    </row>
    <row r="135" spans="4:29" x14ac:dyDescent="0.3">
      <c r="D135" s="593" t="s">
        <v>1813</v>
      </c>
      <c r="F135" s="284"/>
      <c r="G135" s="139"/>
      <c r="H135" s="139"/>
      <c r="I135" s="139"/>
      <c r="J135" s="139"/>
      <c r="K135" s="139"/>
      <c r="L135" s="139"/>
      <c r="M135" s="139"/>
      <c r="N135" s="139"/>
      <c r="O135" s="139"/>
      <c r="P135" s="139"/>
      <c r="Q135" s="139"/>
      <c r="R135" s="139"/>
      <c r="S135" s="154"/>
      <c r="T135" s="357"/>
      <c r="U135" s="357"/>
      <c r="V135" s="357"/>
      <c r="W135" s="357"/>
      <c r="X135" s="357"/>
      <c r="Y135" s="357"/>
      <c r="Z135" s="357"/>
      <c r="AA135" s="357"/>
      <c r="AB135" s="357"/>
      <c r="AC135" s="369"/>
    </row>
    <row r="136" spans="4:29" x14ac:dyDescent="0.3">
      <c r="D136" s="784" t="s">
        <v>578</v>
      </c>
      <c r="F136" s="165" t="e">
        <f>F120/E120-1</f>
        <v>#DIV/0!</v>
      </c>
      <c r="G136" s="165">
        <f>(G120/F120)^4-1</f>
        <v>3.4698380469732282E-2</v>
      </c>
      <c r="H136" s="165">
        <f t="shared" ref="H136:S136" si="58">(H120/G120)^4-1</f>
        <v>4.9923760445010679E-2</v>
      </c>
      <c r="I136" s="165">
        <f t="shared" si="58"/>
        <v>4.3205695538489852E-2</v>
      </c>
      <c r="J136" s="165">
        <f t="shared" si="58"/>
        <v>-0.21111288829196628</v>
      </c>
      <c r="K136" s="165">
        <f t="shared" si="58"/>
        <v>0.2039893976975653</v>
      </c>
      <c r="L136" s="165">
        <f t="shared" si="58"/>
        <v>0.10465949131480801</v>
      </c>
      <c r="M136" s="165">
        <f t="shared" si="58"/>
        <v>1.0558802843273263E-2</v>
      </c>
      <c r="N136" s="165">
        <f t="shared" si="58"/>
        <v>0.12746550927768152</v>
      </c>
      <c r="O136" s="165">
        <f t="shared" si="58"/>
        <v>8.7747356366950635E-2</v>
      </c>
      <c r="P136" s="165">
        <f t="shared" si="58"/>
        <v>9.6215323061816349E-2</v>
      </c>
      <c r="Q136" s="165">
        <f t="shared" si="58"/>
        <v>5.3721843023527782E-2</v>
      </c>
      <c r="R136" s="165">
        <f t="shared" si="58"/>
        <v>5.8676051825151676E-2</v>
      </c>
      <c r="S136" s="165">
        <f t="shared" si="58"/>
        <v>6.609544648068888E-2</v>
      </c>
      <c r="T136" s="357"/>
      <c r="U136" s="357"/>
      <c r="V136" s="357"/>
      <c r="W136" s="357"/>
      <c r="X136" s="357"/>
      <c r="Y136" s="357"/>
      <c r="Z136" s="357"/>
      <c r="AA136" s="357"/>
      <c r="AB136" s="357"/>
      <c r="AC136" s="369"/>
    </row>
    <row r="137" spans="4:29" x14ac:dyDescent="0.3">
      <c r="D137" s="841" t="s">
        <v>852</v>
      </c>
      <c r="E137" s="155" t="s">
        <v>848</v>
      </c>
      <c r="F137" s="165" t="e">
        <f t="shared" ref="F137" si="59">F121/E121-1</f>
        <v>#VALUE!</v>
      </c>
      <c r="G137" s="165">
        <f t="shared" ref="G137:S137" si="60">(G121/F121)^4-1</f>
        <v>2.4257130985616993E-2</v>
      </c>
      <c r="H137" s="165">
        <f t="shared" si="60"/>
        <v>6.4229034399477136E-2</v>
      </c>
      <c r="I137" s="165">
        <f t="shared" si="60"/>
        <v>6.3479192755366398E-2</v>
      </c>
      <c r="J137" s="165">
        <f t="shared" si="60"/>
        <v>-0.23748829732952048</v>
      </c>
      <c r="K137" s="165">
        <f t="shared" si="60"/>
        <v>0.20508073180198716</v>
      </c>
      <c r="L137" s="165">
        <f t="shared" si="60"/>
        <v>0.1611535586248285</v>
      </c>
      <c r="M137" s="165">
        <f t="shared" si="60"/>
        <v>2.873742311872407E-2</v>
      </c>
      <c r="N137" s="165">
        <f t="shared" si="60"/>
        <v>0.12186398788851394</v>
      </c>
      <c r="O137" s="165">
        <f t="shared" si="60"/>
        <v>0.11710776964011727</v>
      </c>
      <c r="P137" s="165">
        <f t="shared" si="60"/>
        <v>0.13100342179485458</v>
      </c>
      <c r="Q137" s="165">
        <f t="shared" si="60"/>
        <v>6.8458061444058416E-2</v>
      </c>
      <c r="R137" s="165">
        <f t="shared" si="60"/>
        <v>4.9374455409313622E-2</v>
      </c>
      <c r="S137" s="165">
        <f t="shared" si="60"/>
        <v>6.9593264230530583E-2</v>
      </c>
      <c r="T137" s="357"/>
      <c r="U137" s="357"/>
      <c r="V137" s="357"/>
      <c r="W137" s="357"/>
      <c r="X137" s="357"/>
      <c r="Y137" s="357"/>
      <c r="Z137" s="357"/>
      <c r="AA137" s="357"/>
      <c r="AB137" s="357"/>
      <c r="AC137" s="369"/>
    </row>
    <row r="138" spans="4:29" x14ac:dyDescent="0.3">
      <c r="D138" s="841" t="s">
        <v>579</v>
      </c>
      <c r="E138" s="155" t="s">
        <v>849</v>
      </c>
      <c r="F138" s="165" t="e">
        <f t="shared" ref="F138" si="61">F122/E122-1</f>
        <v>#VALUE!</v>
      </c>
      <c r="G138" s="165">
        <f t="shared" ref="G138:S138" si="62">(G122/F122)^4-1</f>
        <v>0.10578312944398705</v>
      </c>
      <c r="H138" s="165">
        <f t="shared" si="62"/>
        <v>4.1744934553236801E-2</v>
      </c>
      <c r="I138" s="165">
        <f t="shared" si="62"/>
        <v>2.7986793488743444E-2</v>
      </c>
      <c r="J138" s="165">
        <f t="shared" si="62"/>
        <v>-0.34970130690663714</v>
      </c>
      <c r="K138" s="165">
        <f t="shared" si="62"/>
        <v>0.98547836855144699</v>
      </c>
      <c r="L138" s="165">
        <f t="shared" si="62"/>
        <v>-0.1085469464882084</v>
      </c>
      <c r="M138" s="165">
        <f t="shared" si="62"/>
        <v>-0.10596654721724863</v>
      </c>
      <c r="N138" s="165">
        <f t="shared" si="62"/>
        <v>0.32880103280025574</v>
      </c>
      <c r="O138" s="165">
        <f t="shared" si="62"/>
        <v>3.6044774195732154E-2</v>
      </c>
      <c r="P138" s="165">
        <f t="shared" si="62"/>
        <v>-6.4550024300153996E-3</v>
      </c>
      <c r="Q138" s="165">
        <f t="shared" si="62"/>
        <v>4.9154478043828886E-2</v>
      </c>
      <c r="R138" s="165">
        <f t="shared" si="62"/>
        <v>5.4060298595324685E-2</v>
      </c>
      <c r="S138" s="165">
        <f t="shared" si="62"/>
        <v>5.2433465970311399E-2</v>
      </c>
      <c r="T138" s="357"/>
      <c r="U138" s="357"/>
      <c r="V138" s="357"/>
      <c r="W138" s="357"/>
      <c r="X138" s="357"/>
      <c r="Y138" s="357"/>
      <c r="Z138" s="357"/>
      <c r="AA138" s="357"/>
      <c r="AB138" s="357"/>
      <c r="AC138" s="369"/>
    </row>
    <row r="139" spans="4:29" x14ac:dyDescent="0.3">
      <c r="D139" s="841" t="s">
        <v>580</v>
      </c>
      <c r="E139" s="155" t="s">
        <v>855</v>
      </c>
      <c r="F139" s="165" t="e">
        <f t="shared" ref="F139" si="63">F123/E123-1</f>
        <v>#VALUE!</v>
      </c>
      <c r="G139" s="165">
        <f t="shared" ref="G139:S139" si="64">(G123/F123)^4-1</f>
        <v>1.7350665401546284E-2</v>
      </c>
      <c r="H139" s="165">
        <f t="shared" si="64"/>
        <v>5.1903311323329371E-2</v>
      </c>
      <c r="I139" s="165">
        <f t="shared" si="64"/>
        <v>8.5072603128263369E-2</v>
      </c>
      <c r="J139" s="165">
        <f t="shared" si="64"/>
        <v>-2.5764424405961162E-2</v>
      </c>
      <c r="K139" s="165">
        <f t="shared" si="64"/>
        <v>2.6445784830072538E-2</v>
      </c>
      <c r="L139" s="165">
        <f t="shared" si="64"/>
        <v>-3.4420635784840226E-2</v>
      </c>
      <c r="M139" s="165">
        <f t="shared" si="64"/>
        <v>1.7423885940878847E-2</v>
      </c>
      <c r="N139" s="165">
        <f t="shared" si="64"/>
        <v>-3.2403751505907019E-2</v>
      </c>
      <c r="O139" s="165">
        <f t="shared" si="64"/>
        <v>5.2582897021147934E-2</v>
      </c>
      <c r="P139" s="165">
        <f t="shared" si="64"/>
        <v>9.6870587526498575E-2</v>
      </c>
      <c r="Q139" s="165">
        <f t="shared" si="64"/>
        <v>2.8973729785401803E-2</v>
      </c>
      <c r="R139" s="165">
        <f t="shared" si="64"/>
        <v>0.17714811192574409</v>
      </c>
      <c r="S139" s="165">
        <f t="shared" si="64"/>
        <v>0.101607744588458</v>
      </c>
      <c r="T139" s="357"/>
      <c r="U139" s="357"/>
      <c r="V139" s="357"/>
      <c r="W139" s="357"/>
      <c r="X139" s="357"/>
      <c r="Y139" s="357"/>
      <c r="Z139" s="357"/>
      <c r="AA139" s="357"/>
      <c r="AB139" s="357"/>
      <c r="AC139" s="369"/>
    </row>
    <row r="140" spans="4:29" x14ac:dyDescent="0.3">
      <c r="D140" s="841" t="s">
        <v>581</v>
      </c>
      <c r="E140" s="155" t="s">
        <v>851</v>
      </c>
      <c r="F140" s="165" t="e">
        <f t="shared" ref="F140" si="65">F124/E124-1</f>
        <v>#VALUE!</v>
      </c>
      <c r="G140" s="165">
        <f t="shared" ref="G140:S140" si="66">(G124/F124)^4-1</f>
        <v>3.4783891285258939E-2</v>
      </c>
      <c r="H140" s="165">
        <f t="shared" si="66"/>
        <v>1.1995399534317164E-2</v>
      </c>
      <c r="I140" s="165">
        <f t="shared" si="66"/>
        <v>-1.72401618421828E-2</v>
      </c>
      <c r="J140" s="165">
        <f t="shared" si="66"/>
        <v>-8.3739764588403598E-2</v>
      </c>
      <c r="K140" s="165">
        <f t="shared" si="66"/>
        <v>-4.1593591819862108E-2</v>
      </c>
      <c r="L140" s="165">
        <f t="shared" si="66"/>
        <v>0.10028621896444267</v>
      </c>
      <c r="M140" s="165">
        <f t="shared" si="66"/>
        <v>1.8865576255239436E-2</v>
      </c>
      <c r="N140" s="165">
        <f t="shared" si="66"/>
        <v>8.4683729354623427E-2</v>
      </c>
      <c r="O140" s="165">
        <f t="shared" si="66"/>
        <v>3.3706346430805167E-2</v>
      </c>
      <c r="P140" s="165">
        <f t="shared" si="66"/>
        <v>4.492129388861188E-2</v>
      </c>
      <c r="Q140" s="165">
        <f t="shared" si="66"/>
        <v>1.4067779320086293E-2</v>
      </c>
      <c r="R140" s="165">
        <f t="shared" si="66"/>
        <v>6.6555550049419487E-2</v>
      </c>
      <c r="S140" s="165">
        <f t="shared" si="66"/>
        <v>5.3900244910736417E-2</v>
      </c>
      <c r="T140" s="357"/>
      <c r="U140" s="357"/>
      <c r="V140" s="357"/>
      <c r="W140" s="357"/>
      <c r="X140" s="357"/>
      <c r="Y140" s="357"/>
      <c r="Z140" s="357"/>
      <c r="AA140" s="357"/>
      <c r="AB140" s="357"/>
      <c r="AC140" s="369"/>
    </row>
    <row r="141" spans="4:29" x14ac:dyDescent="0.3">
      <c r="D141" s="784" t="s">
        <v>566</v>
      </c>
      <c r="F141" s="165" t="e">
        <f t="shared" ref="F141" si="67">F125/E125-1</f>
        <v>#DIV/0!</v>
      </c>
      <c r="G141" s="165">
        <f t="shared" ref="G141:S141" si="68">(G125/F125)^4-1</f>
        <v>2.4257130985616993E-2</v>
      </c>
      <c r="H141" s="165">
        <f t="shared" si="68"/>
        <v>6.4229034399477136E-2</v>
      </c>
      <c r="I141" s="165">
        <f t="shared" si="68"/>
        <v>6.3479192755366398E-2</v>
      </c>
      <c r="J141" s="165">
        <f t="shared" si="68"/>
        <v>-0.23748829732952048</v>
      </c>
      <c r="K141" s="165">
        <f t="shared" si="68"/>
        <v>0.20508073180198716</v>
      </c>
      <c r="L141" s="165">
        <f t="shared" si="68"/>
        <v>0.1611535586248285</v>
      </c>
      <c r="M141" s="165">
        <f t="shared" si="68"/>
        <v>2.873742311872407E-2</v>
      </c>
      <c r="N141" s="165">
        <f t="shared" si="68"/>
        <v>0.12186398788851394</v>
      </c>
      <c r="O141" s="165">
        <f t="shared" si="68"/>
        <v>0.11710776964011727</v>
      </c>
      <c r="P141" s="165">
        <f t="shared" si="68"/>
        <v>0.13100342179485458</v>
      </c>
      <c r="Q141" s="165">
        <f t="shared" si="68"/>
        <v>6.8458061444058416E-2</v>
      </c>
      <c r="R141" s="165">
        <f t="shared" si="68"/>
        <v>4.9374455409313622E-2</v>
      </c>
      <c r="S141" s="165">
        <f t="shared" si="68"/>
        <v>6.9593264230530583E-2</v>
      </c>
      <c r="T141" s="357"/>
      <c r="U141" s="357"/>
      <c r="V141" s="357"/>
      <c r="W141" s="357"/>
      <c r="X141" s="357"/>
      <c r="Y141" s="357"/>
      <c r="Z141" s="357"/>
      <c r="AA141" s="357"/>
      <c r="AB141" s="357"/>
      <c r="AC141" s="369"/>
    </row>
    <row r="142" spans="4:29" x14ac:dyDescent="0.3">
      <c r="D142" s="784" t="s">
        <v>567</v>
      </c>
      <c r="E142" s="155" t="s">
        <v>585</v>
      </c>
      <c r="F142" s="165" t="e">
        <f t="shared" ref="F142" si="69">F126/E126-1</f>
        <v>#VALUE!</v>
      </c>
      <c r="G142" s="165">
        <f t="shared" ref="G142:S142" si="70">(G126/F126)^4-1</f>
        <v>4.5002423223402754E-2</v>
      </c>
      <c r="H142" s="165">
        <f t="shared" si="70"/>
        <v>3.8323064342955293E-2</v>
      </c>
      <c r="I142" s="165">
        <f t="shared" si="70"/>
        <v>-4.8032396760868568E-2</v>
      </c>
      <c r="J142" s="165">
        <f t="shared" si="70"/>
        <v>-0.33300498256979416</v>
      </c>
      <c r="K142" s="165">
        <f t="shared" si="70"/>
        <v>0.47798765988551417</v>
      </c>
      <c r="L142" s="165">
        <f t="shared" si="70"/>
        <v>5.5987082820652123E-2</v>
      </c>
      <c r="M142" s="165">
        <f t="shared" si="70"/>
        <v>0.15819874984710092</v>
      </c>
      <c r="N142" s="165">
        <f t="shared" si="70"/>
        <v>0.1928451879925992</v>
      </c>
      <c r="O142" s="165">
        <f t="shared" si="70"/>
        <v>8.7145430326741824E-2</v>
      </c>
      <c r="P142" s="165">
        <f t="shared" si="70"/>
        <v>9.5040522503139657E-2</v>
      </c>
      <c r="Q142" s="165">
        <f t="shared" si="70"/>
        <v>8.9242780231497676E-2</v>
      </c>
      <c r="R142" s="165">
        <f t="shared" si="70"/>
        <v>9.481178927373124E-2</v>
      </c>
      <c r="S142" s="165">
        <f t="shared" si="70"/>
        <v>6.0607843328261746E-2</v>
      </c>
      <c r="T142" s="357"/>
      <c r="U142" s="357"/>
      <c r="V142" s="357"/>
      <c r="W142" s="357"/>
      <c r="X142" s="357"/>
      <c r="Y142" s="357"/>
      <c r="Z142" s="357"/>
      <c r="AA142" s="357"/>
      <c r="AB142" s="357"/>
      <c r="AC142" s="369"/>
    </row>
    <row r="143" spans="4:29" x14ac:dyDescent="0.3">
      <c r="D143" s="784" t="s">
        <v>582</v>
      </c>
      <c r="E143" s="155" t="s">
        <v>850</v>
      </c>
      <c r="F143" s="165" t="e">
        <f t="shared" ref="F143" si="71">F127/E127-1</f>
        <v>#VALUE!</v>
      </c>
      <c r="G143" s="165">
        <f t="shared" ref="G143:S143" si="72">(G127/F127)^4-1</f>
        <v>2.1539346032199758E-2</v>
      </c>
      <c r="H143" s="165">
        <f t="shared" si="72"/>
        <v>0.11472501548972591</v>
      </c>
      <c r="I143" s="165">
        <f t="shared" si="72"/>
        <v>-0.35009057164746982</v>
      </c>
      <c r="J143" s="165">
        <f t="shared" si="72"/>
        <v>-0.28413788741165624</v>
      </c>
      <c r="K143" s="165">
        <f t="shared" si="72"/>
        <v>1.667649037274042</v>
      </c>
      <c r="L143" s="165">
        <f t="shared" si="72"/>
        <v>-0.17136450639292922</v>
      </c>
      <c r="M143" s="165">
        <f t="shared" si="72"/>
        <v>0.49346165457827729</v>
      </c>
      <c r="N143" s="165">
        <f t="shared" si="72"/>
        <v>0.56301012914725668</v>
      </c>
      <c r="O143" s="165">
        <f t="shared" si="72"/>
        <v>4.1681341019436546E-2</v>
      </c>
      <c r="P143" s="165">
        <f t="shared" si="72"/>
        <v>1.8883812263239985E-2</v>
      </c>
      <c r="Q143" s="165">
        <f t="shared" si="72"/>
        <v>-1.7080068525602621E-2</v>
      </c>
      <c r="R143" s="165">
        <f t="shared" si="72"/>
        <v>0.18639186970056576</v>
      </c>
      <c r="S143" s="165">
        <f t="shared" si="72"/>
        <v>-4.155915873861038E-2</v>
      </c>
      <c r="T143" s="357"/>
      <c r="U143" s="357"/>
      <c r="V143" s="357"/>
      <c r="W143" s="357"/>
      <c r="X143" s="357"/>
      <c r="Y143" s="357"/>
      <c r="Z143" s="357"/>
      <c r="AA143" s="357"/>
      <c r="AB143" s="357"/>
      <c r="AC143" s="369"/>
    </row>
    <row r="146" spans="4:30" x14ac:dyDescent="0.3">
      <c r="D146" s="844" t="s">
        <v>413</v>
      </c>
      <c r="E146" s="165"/>
      <c r="F146" s="165"/>
      <c r="G146" s="165"/>
      <c r="H146" s="165"/>
      <c r="I146" s="165"/>
      <c r="J146" s="165"/>
      <c r="K146" s="165"/>
      <c r="L146" s="165"/>
      <c r="M146" s="165"/>
      <c r="N146" s="165"/>
      <c r="O146" s="165"/>
      <c r="P146" s="165"/>
      <c r="Q146" s="165"/>
      <c r="R146" s="165"/>
      <c r="S146" s="165"/>
      <c r="T146" s="165"/>
      <c r="U146" s="165"/>
      <c r="V146" s="165"/>
      <c r="W146" s="165"/>
      <c r="X146" s="165"/>
      <c r="Y146" s="165"/>
    </row>
    <row r="147" spans="4:30" x14ac:dyDescent="0.3">
      <c r="D147" s="1192" t="s">
        <v>975</v>
      </c>
      <c r="E147" s="1196"/>
      <c r="F147" s="1095">
        <v>2019</v>
      </c>
      <c r="G147" s="1096"/>
      <c r="H147" s="1103"/>
      <c r="I147" s="1095">
        <v>2020</v>
      </c>
      <c r="J147" s="1096"/>
      <c r="K147" s="1096"/>
      <c r="L147" s="1103"/>
      <c r="M147" s="1095">
        <v>2021</v>
      </c>
      <c r="N147" s="1096"/>
      <c r="O147" s="1096"/>
      <c r="P147" s="1096"/>
      <c r="Q147" s="1129">
        <v>2022</v>
      </c>
      <c r="R147" s="1130"/>
      <c r="S147" s="253"/>
      <c r="T147" s="288"/>
      <c r="U147" s="1126">
        <v>2023</v>
      </c>
      <c r="V147" s="1127"/>
      <c r="W147" s="1127"/>
      <c r="X147" s="1128"/>
      <c r="Y147" s="1126">
        <v>2024</v>
      </c>
      <c r="Z147" s="1127"/>
      <c r="AA147" s="1127"/>
      <c r="AB147" s="1127"/>
      <c r="AC147" s="259">
        <v>2025</v>
      </c>
    </row>
    <row r="148" spans="4:30" x14ac:dyDescent="0.3">
      <c r="D148" s="1197"/>
      <c r="E148" s="1198"/>
      <c r="F148" s="153" t="s">
        <v>329</v>
      </c>
      <c r="G148" s="152" t="s">
        <v>238</v>
      </c>
      <c r="H148" s="204" t="s">
        <v>327</v>
      </c>
      <c r="I148" s="153" t="s">
        <v>328</v>
      </c>
      <c r="J148" s="152" t="s">
        <v>329</v>
      </c>
      <c r="K148" s="152" t="s">
        <v>238</v>
      </c>
      <c r="L148" s="204" t="s">
        <v>327</v>
      </c>
      <c r="M148" s="153" t="s">
        <v>328</v>
      </c>
      <c r="N148" s="152" t="s">
        <v>329</v>
      </c>
      <c r="O148" s="152" t="s">
        <v>238</v>
      </c>
      <c r="P148" s="152" t="s">
        <v>327</v>
      </c>
      <c r="Q148" s="153" t="s">
        <v>328</v>
      </c>
      <c r="R148" s="152" t="s">
        <v>329</v>
      </c>
      <c r="S148" s="204" t="s">
        <v>238</v>
      </c>
      <c r="T148" s="369" t="s">
        <v>327</v>
      </c>
      <c r="U148" s="274" t="s">
        <v>328</v>
      </c>
      <c r="V148" s="275" t="s">
        <v>329</v>
      </c>
      <c r="W148" s="275" t="s">
        <v>238</v>
      </c>
      <c r="X148" s="276" t="s">
        <v>327</v>
      </c>
      <c r="Y148" s="274" t="s">
        <v>328</v>
      </c>
      <c r="Z148" s="270" t="s">
        <v>329</v>
      </c>
      <c r="AA148" s="275" t="s">
        <v>238</v>
      </c>
      <c r="AB148" s="275" t="s">
        <v>327</v>
      </c>
      <c r="AC148" s="278" t="s">
        <v>328</v>
      </c>
      <c r="AD148" s="165"/>
    </row>
    <row r="149" spans="4:30" x14ac:dyDescent="0.3">
      <c r="D149" s="854" t="s">
        <v>565</v>
      </c>
      <c r="E149" s="811"/>
      <c r="F149" s="305">
        <f>F150+F151</f>
        <v>14660.3</v>
      </c>
      <c r="G149" s="306">
        <f t="shared" ref="G149:AC149" si="73">G150+G151</f>
        <v>14748</v>
      </c>
      <c r="H149" s="306">
        <f t="shared" si="73"/>
        <v>14896.1</v>
      </c>
      <c r="I149" s="306">
        <f t="shared" si="73"/>
        <v>15018.7</v>
      </c>
      <c r="J149" s="306">
        <f t="shared" si="73"/>
        <v>14127</v>
      </c>
      <c r="K149" s="306">
        <f t="shared" si="73"/>
        <v>14803.099999999999</v>
      </c>
      <c r="L149" s="306">
        <f t="shared" si="73"/>
        <v>15014.2</v>
      </c>
      <c r="M149" s="306">
        <f t="shared" si="73"/>
        <v>15152.900000000001</v>
      </c>
      <c r="N149" s="306">
        <f t="shared" si="73"/>
        <v>15654.4</v>
      </c>
      <c r="O149" s="306">
        <f t="shared" si="73"/>
        <v>15799.3</v>
      </c>
      <c r="P149" s="306">
        <f t="shared" si="73"/>
        <v>15983.8</v>
      </c>
      <c r="Q149" s="306">
        <f>Q150+Q151</f>
        <v>16571.400000000001</v>
      </c>
      <c r="R149" s="306">
        <f t="shared" si="73"/>
        <v>16848</v>
      </c>
      <c r="S149" s="425">
        <f t="shared" si="73"/>
        <v>17094.3</v>
      </c>
      <c r="T149" s="842">
        <f t="shared" si="73"/>
        <v>17315.8</v>
      </c>
      <c r="U149" s="842">
        <f t="shared" si="73"/>
        <v>17535.5</v>
      </c>
      <c r="V149" s="842">
        <f t="shared" si="73"/>
        <v>17756.5</v>
      </c>
      <c r="W149" s="842">
        <f t="shared" si="73"/>
        <v>17973.8</v>
      </c>
      <c r="X149" s="842">
        <f t="shared" si="73"/>
        <v>18172.2</v>
      </c>
      <c r="Y149" s="842">
        <f t="shared" si="73"/>
        <v>18369</v>
      </c>
      <c r="Z149" s="842">
        <f t="shared" si="73"/>
        <v>18550.099999999999</v>
      </c>
      <c r="AA149" s="842">
        <f t="shared" si="73"/>
        <v>18735.8</v>
      </c>
      <c r="AB149" s="842">
        <f t="shared" si="73"/>
        <v>18924.199999999997</v>
      </c>
      <c r="AC149" s="843">
        <f t="shared" si="73"/>
        <v>19105.7</v>
      </c>
      <c r="AD149" s="165"/>
    </row>
    <row r="150" spans="4:30" x14ac:dyDescent="0.3">
      <c r="D150" s="282" t="s">
        <v>566</v>
      </c>
      <c r="E150" s="539"/>
      <c r="F150" s="462">
        <v>9274.9</v>
      </c>
      <c r="G150" s="426">
        <v>9311.2999999999993</v>
      </c>
      <c r="H150" s="426">
        <v>9422.5</v>
      </c>
      <c r="I150" s="426">
        <v>9526.1</v>
      </c>
      <c r="J150" s="426">
        <v>8908.7999999999993</v>
      </c>
      <c r="K150" s="426">
        <v>9343.2999999999993</v>
      </c>
      <c r="L150" s="426">
        <v>9546</v>
      </c>
      <c r="M150" s="426">
        <v>9702.2000000000007</v>
      </c>
      <c r="N150" s="426">
        <v>9950.4</v>
      </c>
      <c r="O150" s="426">
        <v>10175.1</v>
      </c>
      <c r="P150" s="426">
        <v>10336.6</v>
      </c>
      <c r="Q150" s="426">
        <v>10995.9</v>
      </c>
      <c r="R150" s="426">
        <v>11172.6</v>
      </c>
      <c r="S150" s="724">
        <v>11320.4</v>
      </c>
      <c r="T150" s="454">
        <v>11443.5</v>
      </c>
      <c r="U150" s="454">
        <v>11560.2</v>
      </c>
      <c r="V150" s="454">
        <v>11675.6</v>
      </c>
      <c r="W150" s="454">
        <v>11786</v>
      </c>
      <c r="X150" s="454">
        <v>11879</v>
      </c>
      <c r="Y150" s="454">
        <v>11978</v>
      </c>
      <c r="Z150" s="454">
        <v>12076.9</v>
      </c>
      <c r="AA150" s="454">
        <v>12178.3</v>
      </c>
      <c r="AB150" s="454">
        <v>12278.8</v>
      </c>
      <c r="AC150" s="455">
        <v>12377.5</v>
      </c>
      <c r="AD150" s="165"/>
    </row>
    <row r="151" spans="4:30" x14ac:dyDescent="0.3">
      <c r="D151" s="282" t="s">
        <v>974</v>
      </c>
      <c r="E151" s="539"/>
      <c r="F151" s="462">
        <v>5385.4</v>
      </c>
      <c r="G151" s="426">
        <v>5436.7</v>
      </c>
      <c r="H151" s="426">
        <v>5473.6</v>
      </c>
      <c r="I151" s="426">
        <v>5492.6</v>
      </c>
      <c r="J151" s="426">
        <v>5218.2</v>
      </c>
      <c r="K151" s="426">
        <v>5459.8</v>
      </c>
      <c r="L151" s="426">
        <v>5468.2</v>
      </c>
      <c r="M151" s="426">
        <v>5450.7</v>
      </c>
      <c r="N151" s="426">
        <v>5704</v>
      </c>
      <c r="O151" s="426">
        <v>5624.2</v>
      </c>
      <c r="P151" s="426">
        <v>5647.2</v>
      </c>
      <c r="Q151" s="426">
        <v>5575.5</v>
      </c>
      <c r="R151" s="426">
        <v>5675.4</v>
      </c>
      <c r="S151" s="724">
        <v>5773.9</v>
      </c>
      <c r="T151" s="454">
        <v>5872.3</v>
      </c>
      <c r="U151" s="454">
        <v>5975.3</v>
      </c>
      <c r="V151" s="454">
        <v>6080.9</v>
      </c>
      <c r="W151" s="454">
        <v>6187.8</v>
      </c>
      <c r="X151" s="454">
        <v>6293.2</v>
      </c>
      <c r="Y151" s="454">
        <v>6391</v>
      </c>
      <c r="Z151" s="454">
        <v>6473.2</v>
      </c>
      <c r="AA151" s="454">
        <v>6557.5</v>
      </c>
      <c r="AB151" s="454">
        <v>6645.4</v>
      </c>
      <c r="AC151" s="455">
        <v>6728.2</v>
      </c>
      <c r="AD151" s="165"/>
    </row>
    <row r="152" spans="4:30" x14ac:dyDescent="0.3">
      <c r="D152" s="284" t="s">
        <v>567</v>
      </c>
      <c r="E152" s="539"/>
      <c r="F152" s="548"/>
      <c r="G152" s="539"/>
      <c r="H152" s="426"/>
      <c r="I152" s="426"/>
      <c r="J152" s="426"/>
      <c r="K152" s="426"/>
      <c r="L152" s="426"/>
      <c r="M152" s="426">
        <v>15041</v>
      </c>
      <c r="N152" s="426">
        <v>15551</v>
      </c>
      <c r="O152" s="426">
        <v>15824</v>
      </c>
      <c r="P152" s="426">
        <v>16056</v>
      </c>
      <c r="Q152" s="426">
        <v>16690.7</v>
      </c>
      <c r="R152" s="426">
        <v>16993</v>
      </c>
      <c r="S152" s="724">
        <v>17251.3</v>
      </c>
      <c r="T152" s="454">
        <v>17488.099999999999</v>
      </c>
      <c r="U152" s="454">
        <v>17692.3</v>
      </c>
      <c r="V152" s="454">
        <v>17892.599999999999</v>
      </c>
      <c r="W152" s="454">
        <v>18086.3</v>
      </c>
      <c r="X152" s="454">
        <v>18268.2</v>
      </c>
      <c r="Y152" s="454">
        <v>18446.3</v>
      </c>
      <c r="Z152" s="454">
        <v>18612.400000000001</v>
      </c>
      <c r="AA152" s="454">
        <v>18774.5</v>
      </c>
      <c r="AB152" s="454">
        <v>18946.900000000001</v>
      </c>
      <c r="AC152" s="455">
        <v>19117.900000000001</v>
      </c>
    </row>
    <row r="153" spans="4:30" ht="18.75" customHeight="1" x14ac:dyDescent="0.3">
      <c r="D153" s="285" t="s">
        <v>574</v>
      </c>
      <c r="E153" s="543"/>
      <c r="F153" s="574"/>
      <c r="G153" s="543"/>
      <c r="H153" s="736"/>
      <c r="I153" s="736"/>
      <c r="J153" s="736"/>
      <c r="K153" s="736"/>
      <c r="L153" s="736"/>
      <c r="M153" s="736">
        <v>1874</v>
      </c>
      <c r="N153" s="736">
        <v>2307</v>
      </c>
      <c r="O153" s="736">
        <v>2443</v>
      </c>
      <c r="P153" s="736">
        <v>2460</v>
      </c>
      <c r="Q153" s="736">
        <v>2329.5</v>
      </c>
      <c r="R153" s="736">
        <v>2420.1999999999998</v>
      </c>
      <c r="S153" s="737">
        <v>2468.6999999999998</v>
      </c>
      <c r="T153" s="739">
        <v>2486.6999999999998</v>
      </c>
      <c r="U153" s="739">
        <v>2482.1999999999998</v>
      </c>
      <c r="V153" s="739">
        <v>2468.8000000000002</v>
      </c>
      <c r="W153" s="739">
        <v>2453.8000000000002</v>
      </c>
      <c r="X153" s="739">
        <v>2440.6999999999998</v>
      </c>
      <c r="Y153" s="739">
        <v>2429.4</v>
      </c>
      <c r="Z153" s="739">
        <v>2426.5</v>
      </c>
      <c r="AA153" s="739">
        <v>2418</v>
      </c>
      <c r="AB153" s="739">
        <v>2431.3000000000002</v>
      </c>
      <c r="AC153" s="740">
        <v>2440.1</v>
      </c>
    </row>
    <row r="154" spans="4:30" x14ac:dyDescent="0.3">
      <c r="R154" s="155"/>
      <c r="S154" s="155"/>
      <c r="T154" s="155"/>
      <c r="U154" s="155"/>
      <c r="V154" s="155"/>
      <c r="W154" s="155"/>
      <c r="X154" s="155"/>
    </row>
    <row r="156" spans="4:30" ht="14.55" customHeight="1" x14ac:dyDescent="0.3"/>
    <row r="157" spans="4:30" ht="14.55" customHeight="1" x14ac:dyDescent="0.3"/>
    <row r="158" spans="4:30" ht="14.55" customHeight="1" x14ac:dyDescent="0.3"/>
  </sheetData>
  <mergeCells count="43">
    <mergeCell ref="Y99:AB99"/>
    <mergeCell ref="D91:E92"/>
    <mergeCell ref="U147:X147"/>
    <mergeCell ref="M147:P147"/>
    <mergeCell ref="M110:P110"/>
    <mergeCell ref="F110:H110"/>
    <mergeCell ref="I110:L110"/>
    <mergeCell ref="U110:X110"/>
    <mergeCell ref="Q110:R110"/>
    <mergeCell ref="D112:E112"/>
    <mergeCell ref="O57:V57"/>
    <mergeCell ref="P58:S58"/>
    <mergeCell ref="D110:E111"/>
    <mergeCell ref="D99:E100"/>
    <mergeCell ref="F99:H99"/>
    <mergeCell ref="U91:X91"/>
    <mergeCell ref="I99:L99"/>
    <mergeCell ref="M99:P99"/>
    <mergeCell ref="Q99:R99"/>
    <mergeCell ref="U99:X99"/>
    <mergeCell ref="Y147:AB147"/>
    <mergeCell ref="Y6:AB6"/>
    <mergeCell ref="D147:E148"/>
    <mergeCell ref="U6:X6"/>
    <mergeCell ref="F147:H147"/>
    <mergeCell ref="F6:H6"/>
    <mergeCell ref="I6:L6"/>
    <mergeCell ref="D5:E7"/>
    <mergeCell ref="M6:P6"/>
    <mergeCell ref="D32:F32"/>
    <mergeCell ref="I147:L147"/>
    <mergeCell ref="Q6:R6"/>
    <mergeCell ref="Q147:R147"/>
    <mergeCell ref="Y110:AB110"/>
    <mergeCell ref="T5:AC5"/>
    <mergeCell ref="F5:S5"/>
    <mergeCell ref="F91:H91"/>
    <mergeCell ref="I91:L91"/>
    <mergeCell ref="M91:P91"/>
    <mergeCell ref="Q91:R91"/>
    <mergeCell ref="D1:AC1"/>
    <mergeCell ref="D2:AC3"/>
    <mergeCell ref="Y91:AB91"/>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Q54"/>
  <sheetViews>
    <sheetView zoomScale="67" workbookViewId="0">
      <selection activeCell="A51" sqref="A51:P53"/>
    </sheetView>
  </sheetViews>
  <sheetFormatPr defaultColWidth="11.5546875" defaultRowHeight="14.4" x14ac:dyDescent="0.3"/>
  <cols>
    <col min="3" max="3" width="33.77734375" customWidth="1"/>
  </cols>
  <sheetData>
    <row r="3" spans="1:17" x14ac:dyDescent="0.3">
      <c r="A3" s="786" t="s">
        <v>588</v>
      </c>
      <c r="B3" s="155"/>
    </row>
    <row r="4" spans="1:17" x14ac:dyDescent="0.3">
      <c r="A4" s="873" t="s">
        <v>589</v>
      </c>
      <c r="B4" s="875"/>
      <c r="C4" s="875"/>
    </row>
    <row r="7" spans="1:17" x14ac:dyDescent="0.3">
      <c r="A7" s="1217" t="s">
        <v>590</v>
      </c>
      <c r="B7" s="1218"/>
      <c r="C7" s="1218"/>
      <c r="D7" s="1218"/>
      <c r="E7" s="1218"/>
      <c r="F7" s="1218"/>
      <c r="G7" s="1218"/>
      <c r="H7" s="1218"/>
      <c r="I7" s="1218"/>
      <c r="J7" s="1218"/>
      <c r="K7" s="1218"/>
      <c r="L7" s="1218"/>
      <c r="M7" s="1218"/>
      <c r="N7" s="1218"/>
      <c r="O7" s="1218"/>
      <c r="P7" s="1218"/>
    </row>
    <row r="8" spans="1:17" x14ac:dyDescent="0.3">
      <c r="A8" s="265" t="s">
        <v>591</v>
      </c>
      <c r="B8" s="265"/>
      <c r="C8" s="265"/>
      <c r="D8" s="868"/>
      <c r="E8" s="265"/>
      <c r="F8" s="265"/>
      <c r="G8" s="265"/>
      <c r="H8" s="265"/>
      <c r="I8" s="265"/>
      <c r="J8" s="265"/>
      <c r="K8" s="265"/>
      <c r="L8" s="265"/>
      <c r="M8" s="265"/>
      <c r="N8" s="265"/>
      <c r="O8" s="265"/>
      <c r="P8" s="265"/>
    </row>
    <row r="9" spans="1:17" x14ac:dyDescent="0.3">
      <c r="A9" s="155"/>
      <c r="B9" s="155"/>
      <c r="C9" s="155"/>
      <c r="D9" s="869"/>
      <c r="E9" s="155"/>
      <c r="F9" s="155"/>
      <c r="G9" s="155"/>
      <c r="H9" s="155"/>
      <c r="I9" s="155"/>
      <c r="J9" s="155"/>
      <c r="K9" s="155"/>
      <c r="L9" s="155"/>
      <c r="M9" s="155"/>
      <c r="N9" s="155"/>
      <c r="O9" s="155"/>
      <c r="P9" s="155"/>
    </row>
    <row r="10" spans="1:17" x14ac:dyDescent="0.3">
      <c r="A10" s="155"/>
      <c r="B10" s="155"/>
      <c r="C10" s="155"/>
      <c r="D10" s="869"/>
      <c r="E10" s="155"/>
      <c r="F10" s="155"/>
      <c r="G10" s="155"/>
      <c r="H10" s="155"/>
      <c r="I10" s="155"/>
      <c r="J10" s="155"/>
      <c r="K10" s="155"/>
      <c r="L10" s="155"/>
      <c r="M10" s="155"/>
      <c r="N10" s="155"/>
      <c r="O10" s="1219" t="s">
        <v>360</v>
      </c>
      <c r="P10" s="1219"/>
    </row>
    <row r="11" spans="1:17" x14ac:dyDescent="0.3">
      <c r="A11" s="155"/>
      <c r="B11" s="155"/>
      <c r="C11" s="196"/>
      <c r="D11" s="269"/>
      <c r="E11" s="196"/>
      <c r="F11" s="196"/>
      <c r="G11" s="196"/>
      <c r="H11" s="196"/>
      <c r="I11" s="196"/>
      <c r="J11" s="196"/>
      <c r="K11" s="196"/>
      <c r="L11" s="196"/>
      <c r="M11" s="196"/>
      <c r="N11" s="196"/>
      <c r="O11" s="536" t="s">
        <v>592</v>
      </c>
      <c r="P11" s="536" t="s">
        <v>592</v>
      </c>
    </row>
    <row r="12" spans="1:17" x14ac:dyDescent="0.3">
      <c r="A12" s="265"/>
      <c r="B12" s="265"/>
      <c r="C12" s="265"/>
      <c r="D12" s="868">
        <v>2020</v>
      </c>
      <c r="E12" s="868">
        <v>2021</v>
      </c>
      <c r="F12" s="868">
        <v>2022</v>
      </c>
      <c r="G12" s="868">
        <v>2023</v>
      </c>
      <c r="H12" s="868">
        <v>2024</v>
      </c>
      <c r="I12" s="868">
        <v>2025</v>
      </c>
      <c r="J12" s="868">
        <v>2026</v>
      </c>
      <c r="K12" s="868">
        <v>2027</v>
      </c>
      <c r="L12" s="868">
        <v>2028</v>
      </c>
      <c r="M12" s="868">
        <v>2029</v>
      </c>
      <c r="N12" s="868">
        <v>2030</v>
      </c>
      <c r="O12" s="878">
        <v>2025</v>
      </c>
      <c r="P12" s="878">
        <v>2030</v>
      </c>
    </row>
    <row r="13" spans="1:17" x14ac:dyDescent="0.3">
      <c r="A13" s="196" t="s">
        <v>593</v>
      </c>
      <c r="B13" s="196"/>
      <c r="C13" s="196"/>
      <c r="D13" s="877">
        <v>540.56299999999999</v>
      </c>
      <c r="E13" s="877">
        <v>0</v>
      </c>
      <c r="F13" s="877">
        <v>0</v>
      </c>
      <c r="G13" s="877">
        <v>0</v>
      </c>
      <c r="H13" s="877">
        <v>0</v>
      </c>
      <c r="I13" s="877">
        <v>0</v>
      </c>
      <c r="J13" s="877">
        <v>0</v>
      </c>
      <c r="K13" s="877">
        <v>0</v>
      </c>
      <c r="L13" s="877">
        <v>0</v>
      </c>
      <c r="M13" s="877">
        <v>0</v>
      </c>
      <c r="N13" s="877">
        <v>0</v>
      </c>
      <c r="O13" s="877">
        <v>0</v>
      </c>
      <c r="P13" s="877">
        <v>0</v>
      </c>
      <c r="Q13" t="s">
        <v>50</v>
      </c>
    </row>
    <row r="14" spans="1:17" x14ac:dyDescent="0.3">
      <c r="A14" s="155" t="s">
        <v>594</v>
      </c>
      <c r="B14" s="155"/>
      <c r="C14" s="155"/>
      <c r="D14" s="269"/>
      <c r="E14" s="196"/>
      <c r="F14" s="196"/>
      <c r="G14" s="196"/>
      <c r="H14" s="196"/>
      <c r="I14" s="196"/>
      <c r="J14" s="196"/>
      <c r="K14" s="196"/>
      <c r="L14" s="196"/>
      <c r="M14" s="196"/>
      <c r="N14" s="196"/>
      <c r="O14" s="196"/>
      <c r="P14" s="196"/>
      <c r="Q14" t="s">
        <v>595</v>
      </c>
    </row>
    <row r="15" spans="1:17" x14ac:dyDescent="0.3">
      <c r="A15" s="155"/>
      <c r="B15" s="155" t="s">
        <v>596</v>
      </c>
      <c r="C15" s="155"/>
      <c r="D15" s="269">
        <v>285.56</v>
      </c>
      <c r="E15" s="269">
        <v>5</v>
      </c>
      <c r="F15" s="269">
        <v>0</v>
      </c>
      <c r="G15" s="269">
        <v>0</v>
      </c>
      <c r="H15" s="269">
        <v>0</v>
      </c>
      <c r="I15" s="269">
        <v>0</v>
      </c>
      <c r="J15" s="269">
        <v>0</v>
      </c>
      <c r="K15" s="269">
        <v>0</v>
      </c>
      <c r="L15" s="269">
        <v>0</v>
      </c>
      <c r="M15" s="269">
        <v>0</v>
      </c>
      <c r="N15" s="269">
        <v>0</v>
      </c>
      <c r="O15" s="269">
        <v>5</v>
      </c>
      <c r="P15" s="269">
        <v>5</v>
      </c>
    </row>
    <row r="16" spans="1:17" x14ac:dyDescent="0.3">
      <c r="A16" s="196"/>
      <c r="B16" s="155" t="s">
        <v>597</v>
      </c>
      <c r="C16" s="196"/>
      <c r="D16" s="269">
        <v>67.209999999999994</v>
      </c>
      <c r="E16" s="269">
        <v>13.68</v>
      </c>
      <c r="F16" s="269">
        <v>0</v>
      </c>
      <c r="G16" s="269">
        <v>0</v>
      </c>
      <c r="H16" s="269">
        <v>0</v>
      </c>
      <c r="I16" s="269">
        <v>0</v>
      </c>
      <c r="J16" s="269">
        <v>0</v>
      </c>
      <c r="K16" s="269">
        <v>0</v>
      </c>
      <c r="L16" s="269">
        <v>0</v>
      </c>
      <c r="M16" s="269">
        <v>0</v>
      </c>
      <c r="N16" s="269">
        <v>0</v>
      </c>
      <c r="O16" s="269">
        <v>13.68</v>
      </c>
      <c r="P16" s="269">
        <v>13.68</v>
      </c>
    </row>
    <row r="17" spans="1:17" x14ac:dyDescent="0.3">
      <c r="A17" s="196"/>
      <c r="B17" s="155" t="s">
        <v>598</v>
      </c>
      <c r="C17" s="196"/>
      <c r="D17" s="269">
        <v>11.12</v>
      </c>
      <c r="E17" s="269">
        <v>47.8</v>
      </c>
      <c r="F17" s="269">
        <v>0</v>
      </c>
      <c r="G17" s="269">
        <v>0</v>
      </c>
      <c r="H17" s="269">
        <v>0</v>
      </c>
      <c r="I17" s="269">
        <v>0</v>
      </c>
      <c r="J17" s="269">
        <v>0</v>
      </c>
      <c r="K17" s="269">
        <v>0</v>
      </c>
      <c r="L17" s="269">
        <v>0</v>
      </c>
      <c r="M17" s="269">
        <v>0</v>
      </c>
      <c r="N17" s="269">
        <v>0</v>
      </c>
      <c r="O17" s="269">
        <v>47.8</v>
      </c>
      <c r="P17" s="269">
        <v>47.8</v>
      </c>
    </row>
    <row r="18" spans="1:17" x14ac:dyDescent="0.3">
      <c r="A18" s="196"/>
      <c r="B18" s="155" t="s">
        <v>599</v>
      </c>
      <c r="C18" s="196"/>
      <c r="D18" s="269">
        <v>6.2149999999999999</v>
      </c>
      <c r="E18" s="269">
        <v>5.0049999999999999</v>
      </c>
      <c r="F18" s="269">
        <v>0</v>
      </c>
      <c r="G18" s="269">
        <v>0</v>
      </c>
      <c r="H18" s="269">
        <v>0</v>
      </c>
      <c r="I18" s="269">
        <v>0</v>
      </c>
      <c r="J18" s="269">
        <v>0</v>
      </c>
      <c r="K18" s="269">
        <v>0</v>
      </c>
      <c r="L18" s="269">
        <v>0</v>
      </c>
      <c r="M18" s="269">
        <v>0</v>
      </c>
      <c r="N18" s="269">
        <v>0</v>
      </c>
      <c r="O18" s="269">
        <v>5.0049999999999999</v>
      </c>
      <c r="P18" s="269">
        <v>5.0049999999999999</v>
      </c>
    </row>
    <row r="19" spans="1:17" x14ac:dyDescent="0.3">
      <c r="A19" s="196"/>
      <c r="B19" s="155"/>
      <c r="C19" s="196"/>
      <c r="D19" s="269" t="s">
        <v>600</v>
      </c>
      <c r="E19" s="269" t="s">
        <v>600</v>
      </c>
      <c r="F19" s="269" t="s">
        <v>600</v>
      </c>
      <c r="G19" s="269" t="s">
        <v>600</v>
      </c>
      <c r="H19" s="269" t="s">
        <v>600</v>
      </c>
      <c r="I19" s="269" t="s">
        <v>600</v>
      </c>
      <c r="J19" s="269" t="s">
        <v>600</v>
      </c>
      <c r="K19" s="269" t="s">
        <v>600</v>
      </c>
      <c r="L19" s="269" t="s">
        <v>600</v>
      </c>
      <c r="M19" s="269" t="s">
        <v>600</v>
      </c>
      <c r="N19" s="269" t="s">
        <v>600</v>
      </c>
      <c r="O19" s="269" t="s">
        <v>600</v>
      </c>
      <c r="P19" s="269" t="s">
        <v>600</v>
      </c>
    </row>
    <row r="20" spans="1:17" x14ac:dyDescent="0.3">
      <c r="A20" s="196"/>
      <c r="B20" s="155"/>
      <c r="C20" s="196" t="s">
        <v>601</v>
      </c>
      <c r="D20" s="269">
        <v>370.10500000000002</v>
      </c>
      <c r="E20" s="269">
        <v>71.484999999999999</v>
      </c>
      <c r="F20" s="269">
        <v>0</v>
      </c>
      <c r="G20" s="269">
        <v>0</v>
      </c>
      <c r="H20" s="269">
        <v>0</v>
      </c>
      <c r="I20" s="269">
        <v>0</v>
      </c>
      <c r="J20" s="269">
        <v>0</v>
      </c>
      <c r="K20" s="269">
        <v>0</v>
      </c>
      <c r="L20" s="269">
        <v>0</v>
      </c>
      <c r="M20" s="269">
        <v>0</v>
      </c>
      <c r="N20" s="269">
        <v>0</v>
      </c>
      <c r="O20" s="269">
        <v>71.484999999999999</v>
      </c>
      <c r="P20" s="269">
        <v>71.484999999999999</v>
      </c>
    </row>
    <row r="21" spans="1:17" x14ac:dyDescent="0.3">
      <c r="A21" s="196"/>
      <c r="B21" s="155"/>
      <c r="C21" s="196"/>
      <c r="D21" s="269"/>
      <c r="E21" s="269"/>
      <c r="F21" s="269"/>
      <c r="G21" s="269"/>
      <c r="H21" s="269"/>
      <c r="I21" s="269"/>
      <c r="J21" s="269"/>
      <c r="K21" s="269"/>
      <c r="L21" s="269"/>
      <c r="M21" s="269"/>
      <c r="N21" s="269"/>
      <c r="O21" s="269"/>
      <c r="P21" s="269"/>
    </row>
    <row r="22" spans="1:17" ht="16.95" customHeight="1" x14ac:dyDescent="0.3">
      <c r="A22" s="196" t="s">
        <v>602</v>
      </c>
      <c r="B22" s="155"/>
      <c r="C22" s="196"/>
      <c r="D22" s="269">
        <v>271.98399999999998</v>
      </c>
      <c r="E22" s="269">
        <v>9.327</v>
      </c>
      <c r="F22" s="269">
        <v>0</v>
      </c>
      <c r="G22" s="269">
        <v>0</v>
      </c>
      <c r="H22" s="269">
        <v>0</v>
      </c>
      <c r="I22" s="269">
        <v>0</v>
      </c>
      <c r="J22" s="269">
        <v>0</v>
      </c>
      <c r="K22" s="269">
        <v>0</v>
      </c>
      <c r="L22" s="269">
        <v>0</v>
      </c>
      <c r="M22" s="269">
        <v>0</v>
      </c>
      <c r="N22" s="269">
        <v>0</v>
      </c>
      <c r="O22" s="269">
        <v>9.327</v>
      </c>
      <c r="P22" s="269">
        <v>9.327</v>
      </c>
      <c r="Q22" t="s">
        <v>603</v>
      </c>
    </row>
    <row r="23" spans="1:17" x14ac:dyDescent="0.3">
      <c r="A23" s="196" t="s">
        <v>149</v>
      </c>
      <c r="B23" s="155"/>
      <c r="C23" s="155"/>
      <c r="D23" s="269">
        <v>149.97300000000001</v>
      </c>
      <c r="E23" s="269">
        <v>2.5999999999999999E-2</v>
      </c>
      <c r="F23" s="269">
        <v>0</v>
      </c>
      <c r="G23" s="269">
        <v>0</v>
      </c>
      <c r="H23" s="269">
        <v>0</v>
      </c>
      <c r="I23" s="269">
        <v>0</v>
      </c>
      <c r="J23" s="269">
        <v>0</v>
      </c>
      <c r="K23" s="269">
        <v>0</v>
      </c>
      <c r="L23" s="269">
        <v>0</v>
      </c>
      <c r="M23" s="269">
        <v>0</v>
      </c>
      <c r="N23" s="269">
        <v>0</v>
      </c>
      <c r="O23" s="269">
        <v>2.5999999999999999E-2</v>
      </c>
      <c r="P23" s="269">
        <v>2.5999999999999999E-2</v>
      </c>
      <c r="Q23" t="s">
        <v>51</v>
      </c>
    </row>
    <row r="24" spans="1:17" x14ac:dyDescent="0.3">
      <c r="A24" s="196" t="s">
        <v>604</v>
      </c>
      <c r="B24" s="155"/>
      <c r="C24" s="155"/>
      <c r="D24" s="269">
        <v>135.41999999999999</v>
      </c>
      <c r="E24" s="269">
        <v>72.537999999999997</v>
      </c>
      <c r="F24" s="269">
        <v>10.331</v>
      </c>
      <c r="G24" s="269">
        <v>4.2670000000000003</v>
      </c>
      <c r="H24" s="269">
        <v>1.347</v>
      </c>
      <c r="I24" s="269">
        <v>0.67400000000000004</v>
      </c>
      <c r="J24" s="269">
        <v>0</v>
      </c>
      <c r="K24" s="269">
        <v>0</v>
      </c>
      <c r="L24" s="269">
        <v>0</v>
      </c>
      <c r="M24" s="269">
        <v>0</v>
      </c>
      <c r="N24" s="269">
        <v>0</v>
      </c>
      <c r="O24" s="269">
        <v>89.156999999999996</v>
      </c>
      <c r="P24" s="269">
        <v>89.156999999999996</v>
      </c>
      <c r="Q24" t="s">
        <v>605</v>
      </c>
    </row>
    <row r="25" spans="1:17" x14ac:dyDescent="0.3">
      <c r="A25" s="196" t="s">
        <v>606</v>
      </c>
      <c r="B25" s="155"/>
      <c r="C25" s="155"/>
      <c r="D25" s="269"/>
      <c r="E25" s="269"/>
      <c r="F25" s="269"/>
      <c r="G25" s="269"/>
      <c r="H25" s="269"/>
      <c r="I25" s="269"/>
      <c r="J25" s="269"/>
      <c r="K25" s="269"/>
      <c r="L25" s="269"/>
      <c r="M25" s="269"/>
      <c r="N25" s="269"/>
      <c r="O25" s="269"/>
      <c r="P25" s="269"/>
    </row>
    <row r="26" spans="1:17" x14ac:dyDescent="0.3">
      <c r="A26" s="196" t="s">
        <v>607</v>
      </c>
      <c r="B26" s="155"/>
      <c r="C26" s="155"/>
      <c r="D26" s="269">
        <v>40.831000000000003</v>
      </c>
      <c r="E26" s="269">
        <v>79.391999999999996</v>
      </c>
      <c r="F26" s="269">
        <v>47.442999999999998</v>
      </c>
      <c r="G26" s="269">
        <v>4.7220000000000004</v>
      </c>
      <c r="H26" s="269">
        <v>0</v>
      </c>
      <c r="I26" s="269">
        <v>0</v>
      </c>
      <c r="J26" s="269">
        <v>0</v>
      </c>
      <c r="K26" s="269">
        <v>0</v>
      </c>
      <c r="L26" s="269">
        <v>0</v>
      </c>
      <c r="M26" s="269">
        <v>0</v>
      </c>
      <c r="N26" s="269">
        <v>0</v>
      </c>
      <c r="O26" s="269">
        <v>131.55699999999999</v>
      </c>
      <c r="P26" s="269">
        <v>131.55699999999999</v>
      </c>
      <c r="Q26" t="s">
        <v>133</v>
      </c>
    </row>
    <row r="27" spans="1:17" x14ac:dyDescent="0.3">
      <c r="A27" s="196" t="s">
        <v>608</v>
      </c>
      <c r="B27" s="155"/>
      <c r="C27" s="155"/>
      <c r="D27" s="269">
        <v>58.054000000000002</v>
      </c>
      <c r="E27" s="269">
        <v>14.755000000000001</v>
      </c>
      <c r="F27" s="269">
        <v>3.4750000000000001</v>
      </c>
      <c r="G27" s="269">
        <v>3.9249999999999998</v>
      </c>
      <c r="H27" s="269">
        <v>4.375</v>
      </c>
      <c r="I27" s="269">
        <v>4.375</v>
      </c>
      <c r="J27" s="269">
        <v>4.5</v>
      </c>
      <c r="K27" s="269">
        <v>4.5</v>
      </c>
      <c r="L27" s="269">
        <v>4.5</v>
      </c>
      <c r="M27" s="269">
        <v>4.5</v>
      </c>
      <c r="N27" s="269">
        <v>4.5</v>
      </c>
      <c r="O27" s="269">
        <v>30.905000000000001</v>
      </c>
      <c r="P27" s="269">
        <v>53.405000000000001</v>
      </c>
    </row>
    <row r="28" spans="1:17" x14ac:dyDescent="0.3">
      <c r="A28" s="196" t="s">
        <v>609</v>
      </c>
      <c r="B28" s="155"/>
      <c r="C28" s="155"/>
      <c r="D28" s="269">
        <v>47.372999999999998</v>
      </c>
      <c r="E28" s="269">
        <v>-46.081000000000003</v>
      </c>
      <c r="F28" s="269">
        <v>0</v>
      </c>
      <c r="G28" s="269">
        <v>0</v>
      </c>
      <c r="H28" s="269">
        <v>0</v>
      </c>
      <c r="I28" s="269">
        <v>0</v>
      </c>
      <c r="J28" s="269">
        <v>0</v>
      </c>
      <c r="K28" s="269">
        <v>0</v>
      </c>
      <c r="L28" s="269">
        <v>0</v>
      </c>
      <c r="M28" s="269">
        <v>0</v>
      </c>
      <c r="N28" s="269">
        <v>0</v>
      </c>
      <c r="O28" s="269">
        <v>-46.081000000000003</v>
      </c>
      <c r="P28" s="269">
        <v>-46.081000000000003</v>
      </c>
      <c r="Q28" t="s">
        <v>55</v>
      </c>
    </row>
    <row r="29" spans="1:17" x14ac:dyDescent="0.3">
      <c r="A29" s="196" t="s">
        <v>610</v>
      </c>
      <c r="B29" s="155"/>
      <c r="C29" s="155"/>
      <c r="D29" s="269">
        <v>24.475000000000001</v>
      </c>
      <c r="E29" s="269">
        <v>32.784999999999997</v>
      </c>
      <c r="F29" s="269">
        <v>8.4600000000000009</v>
      </c>
      <c r="G29" s="269">
        <v>0</v>
      </c>
      <c r="H29" s="269">
        <v>0</v>
      </c>
      <c r="I29" s="269">
        <v>0</v>
      </c>
      <c r="J29" s="269">
        <v>0</v>
      </c>
      <c r="K29" s="269">
        <v>0</v>
      </c>
      <c r="L29" s="269">
        <v>0</v>
      </c>
      <c r="M29" s="269">
        <v>0</v>
      </c>
      <c r="N29" s="269">
        <v>0</v>
      </c>
      <c r="O29" s="269">
        <v>41.244999999999997</v>
      </c>
      <c r="P29" s="269">
        <v>41.244999999999997</v>
      </c>
      <c r="Q29" t="s">
        <v>611</v>
      </c>
    </row>
    <row r="30" spans="1:17" x14ac:dyDescent="0.3">
      <c r="A30" s="196" t="s">
        <v>612</v>
      </c>
      <c r="B30" s="155"/>
      <c r="C30" s="155"/>
      <c r="D30" s="269">
        <v>27.5</v>
      </c>
      <c r="E30" s="269">
        <v>0.86</v>
      </c>
      <c r="F30" s="269">
        <v>-0.22</v>
      </c>
      <c r="G30" s="269">
        <v>-0.49</v>
      </c>
      <c r="H30" s="269">
        <v>-0.56000000000000005</v>
      </c>
      <c r="I30" s="269">
        <v>-0.98</v>
      </c>
      <c r="J30" s="269">
        <v>-0.76</v>
      </c>
      <c r="K30" s="269">
        <v>-0.74</v>
      </c>
      <c r="L30" s="269">
        <v>-0.72</v>
      </c>
      <c r="M30" s="269">
        <v>-0.7</v>
      </c>
      <c r="N30" s="269">
        <v>-0.69</v>
      </c>
      <c r="O30" s="269">
        <v>-1.39</v>
      </c>
      <c r="P30" s="269">
        <v>-5</v>
      </c>
      <c r="Q30" t="s">
        <v>52</v>
      </c>
    </row>
    <row r="31" spans="1:17" x14ac:dyDescent="0.3">
      <c r="A31" s="196" t="s">
        <v>150</v>
      </c>
      <c r="B31" s="155"/>
      <c r="C31" s="155"/>
      <c r="D31" s="269">
        <v>11.407999999999999</v>
      </c>
      <c r="E31" s="269">
        <v>10.763</v>
      </c>
      <c r="F31" s="269">
        <v>5.7809999999999997</v>
      </c>
      <c r="G31" s="269">
        <v>0.92300000000000004</v>
      </c>
      <c r="H31" s="269">
        <v>0.52300000000000002</v>
      </c>
      <c r="I31" s="269">
        <v>0.43099999999999999</v>
      </c>
      <c r="J31" s="269">
        <v>0.246</v>
      </c>
      <c r="K31" s="269">
        <v>0</v>
      </c>
      <c r="L31" s="269">
        <v>0</v>
      </c>
      <c r="M31" s="269">
        <v>0</v>
      </c>
      <c r="N31" s="269">
        <v>0</v>
      </c>
      <c r="O31" s="269">
        <v>18.420999999999999</v>
      </c>
      <c r="P31" s="269">
        <v>18.667000000000002</v>
      </c>
      <c r="Q31" t="s">
        <v>613</v>
      </c>
    </row>
    <row r="32" spans="1:17" x14ac:dyDescent="0.3">
      <c r="A32" s="196" t="s">
        <v>614</v>
      </c>
      <c r="B32" s="155"/>
      <c r="C32" s="155"/>
      <c r="D32" s="269">
        <v>99.444000000000003</v>
      </c>
      <c r="E32" s="269">
        <v>61.634</v>
      </c>
      <c r="F32" s="269">
        <v>23.815000000000001</v>
      </c>
      <c r="G32" s="269">
        <v>7.35</v>
      </c>
      <c r="H32" s="269">
        <v>4.4029999999999996</v>
      </c>
      <c r="I32" s="269">
        <v>1.663</v>
      </c>
      <c r="J32" s="269">
        <v>0.74399999999999999</v>
      </c>
      <c r="K32" s="269">
        <v>0.65500000000000003</v>
      </c>
      <c r="L32" s="269">
        <v>0.68799999999999994</v>
      </c>
      <c r="M32" s="269">
        <v>10.603</v>
      </c>
      <c r="N32" s="269">
        <v>-35.328000000000003</v>
      </c>
      <c r="O32" s="269">
        <v>98.864999999999995</v>
      </c>
      <c r="P32" s="269">
        <v>76.227000000000004</v>
      </c>
      <c r="Q32" t="s">
        <v>615</v>
      </c>
    </row>
    <row r="33" spans="1:16" x14ac:dyDescent="0.3">
      <c r="A33" s="196"/>
      <c r="B33" s="155"/>
      <c r="C33" s="155"/>
      <c r="D33" s="269"/>
      <c r="E33" s="269"/>
      <c r="F33" s="269"/>
      <c r="G33" s="269"/>
      <c r="H33" s="269"/>
      <c r="I33" s="269"/>
      <c r="J33" s="269"/>
      <c r="K33" s="269"/>
      <c r="L33" s="269"/>
      <c r="M33" s="269"/>
      <c r="N33" s="269"/>
      <c r="O33" s="269"/>
      <c r="P33" s="269"/>
    </row>
    <row r="34" spans="1:16" x14ac:dyDescent="0.3">
      <c r="A34" s="879"/>
      <c r="B34" s="879"/>
      <c r="C34" s="879" t="s">
        <v>360</v>
      </c>
      <c r="D34" s="880">
        <v>1777.13</v>
      </c>
      <c r="E34" s="880">
        <v>307.48399999999998</v>
      </c>
      <c r="F34" s="880">
        <v>99.084999999999994</v>
      </c>
      <c r="G34" s="880">
        <v>20.696999999999999</v>
      </c>
      <c r="H34" s="880">
        <v>10.087999999999999</v>
      </c>
      <c r="I34" s="880">
        <v>6.1630000000000003</v>
      </c>
      <c r="J34" s="880">
        <v>4.7300000000000004</v>
      </c>
      <c r="K34" s="880">
        <v>4.415</v>
      </c>
      <c r="L34" s="880">
        <v>4.468</v>
      </c>
      <c r="M34" s="880">
        <v>14.403</v>
      </c>
      <c r="N34" s="880">
        <v>-31.518000000000001</v>
      </c>
      <c r="O34" s="880">
        <v>443.517</v>
      </c>
      <c r="P34" s="880">
        <v>440.01499999999999</v>
      </c>
    </row>
    <row r="35" spans="1:16" x14ac:dyDescent="0.3">
      <c r="A35" s="155"/>
      <c r="B35" s="155"/>
      <c r="C35" s="155"/>
      <c r="D35" s="876"/>
      <c r="E35" s="452"/>
      <c r="F35" s="196"/>
      <c r="G35" s="196"/>
      <c r="H35" s="196"/>
      <c r="I35" s="196"/>
      <c r="J35" s="196"/>
      <c r="K35" s="196"/>
      <c r="L35" s="196"/>
      <c r="M35" s="196"/>
      <c r="N35" s="196"/>
      <c r="O35" s="196"/>
      <c r="P35" s="196"/>
    </row>
    <row r="36" spans="1:16" x14ac:dyDescent="0.3">
      <c r="A36" s="874" t="s">
        <v>616</v>
      </c>
      <c r="B36" s="874"/>
      <c r="C36" s="874"/>
      <c r="D36" s="870"/>
      <c r="E36" s="874"/>
      <c r="F36" s="874"/>
      <c r="G36" s="874"/>
      <c r="H36" s="874"/>
      <c r="I36" s="874"/>
      <c r="J36" s="874"/>
      <c r="K36" s="874"/>
      <c r="L36" s="874"/>
      <c r="M36" s="874"/>
      <c r="N36" s="874"/>
      <c r="O36" s="874"/>
      <c r="P36" s="874"/>
    </row>
    <row r="37" spans="1:16" x14ac:dyDescent="0.3">
      <c r="A37" s="874"/>
      <c r="B37" s="874"/>
      <c r="C37" s="874"/>
      <c r="D37" s="870"/>
      <c r="E37" s="874"/>
      <c r="F37" s="874"/>
      <c r="G37" s="874"/>
      <c r="H37" s="874"/>
      <c r="I37" s="874"/>
      <c r="J37" s="874"/>
      <c r="K37" s="874"/>
      <c r="L37" s="874"/>
      <c r="M37" s="874"/>
      <c r="N37" s="874"/>
      <c r="O37" s="874"/>
      <c r="P37" s="874"/>
    </row>
    <row r="38" spans="1:16" x14ac:dyDescent="0.3">
      <c r="A38" s="1222" t="s">
        <v>617</v>
      </c>
      <c r="B38" s="1222"/>
      <c r="C38" s="1222"/>
      <c r="D38" s="1222"/>
      <c r="E38" s="1222"/>
      <c r="F38" s="1222"/>
      <c r="G38" s="1222"/>
      <c r="H38" s="1222"/>
      <c r="I38" s="1222"/>
      <c r="J38" s="1222"/>
      <c r="K38" s="1222"/>
      <c r="L38" s="1222"/>
      <c r="M38" s="1222"/>
      <c r="N38" s="1222"/>
      <c r="O38" s="1222"/>
      <c r="P38" s="1222"/>
    </row>
    <row r="39" spans="1:16" x14ac:dyDescent="0.3">
      <c r="A39" s="1222"/>
      <c r="B39" s="1222"/>
      <c r="C39" s="1222"/>
      <c r="D39" s="1222"/>
      <c r="E39" s="1222"/>
      <c r="F39" s="1222"/>
      <c r="G39" s="1222"/>
      <c r="H39" s="1222"/>
      <c r="I39" s="1222"/>
      <c r="J39" s="1222"/>
      <c r="K39" s="1222"/>
      <c r="L39" s="1222"/>
      <c r="M39" s="1222"/>
      <c r="N39" s="1222"/>
      <c r="O39" s="1222"/>
      <c r="P39" s="1222"/>
    </row>
    <row r="40" spans="1:16" x14ac:dyDescent="0.3">
      <c r="A40" s="1222"/>
      <c r="B40" s="1222"/>
      <c r="C40" s="1222"/>
      <c r="D40" s="1222"/>
      <c r="E40" s="1222"/>
      <c r="F40" s="1222"/>
      <c r="G40" s="1222"/>
      <c r="H40" s="1222"/>
      <c r="I40" s="1222"/>
      <c r="J40" s="1222"/>
      <c r="K40" s="1222"/>
      <c r="L40" s="1222"/>
      <c r="M40" s="1222"/>
      <c r="N40" s="1222"/>
      <c r="O40" s="1222"/>
      <c r="P40" s="1222"/>
    </row>
    <row r="41" spans="1:16" x14ac:dyDescent="0.3">
      <c r="A41" s="1222"/>
      <c r="B41" s="1222"/>
      <c r="C41" s="1222"/>
      <c r="D41" s="1222"/>
      <c r="E41" s="1222"/>
      <c r="F41" s="1222"/>
      <c r="G41" s="1222"/>
      <c r="H41" s="1222"/>
      <c r="I41" s="1222"/>
      <c r="J41" s="1222"/>
      <c r="K41" s="1222"/>
      <c r="L41" s="1222"/>
      <c r="M41" s="1222"/>
      <c r="N41" s="1222"/>
      <c r="O41" s="1222"/>
      <c r="P41" s="1222"/>
    </row>
    <row r="42" spans="1:16" x14ac:dyDescent="0.3">
      <c r="A42" s="1222"/>
      <c r="B42" s="1222"/>
      <c r="C42" s="1222"/>
      <c r="D42" s="1222"/>
      <c r="E42" s="1222"/>
      <c r="F42" s="1222"/>
      <c r="G42" s="1222"/>
      <c r="H42" s="1222"/>
      <c r="I42" s="1222"/>
      <c r="J42" s="1222"/>
      <c r="K42" s="1222"/>
      <c r="L42" s="1222"/>
      <c r="M42" s="1222"/>
      <c r="N42" s="1222"/>
      <c r="O42" s="1222"/>
      <c r="P42" s="1222"/>
    </row>
    <row r="43" spans="1:16" x14ac:dyDescent="0.3">
      <c r="A43" s="140"/>
      <c r="B43" s="140"/>
      <c r="C43" s="140"/>
      <c r="D43" s="140"/>
      <c r="E43" s="140"/>
      <c r="F43" s="140"/>
      <c r="G43" s="140"/>
      <c r="H43" s="140"/>
      <c r="I43" s="140"/>
      <c r="J43" s="140"/>
      <c r="K43" s="140"/>
      <c r="L43" s="140"/>
      <c r="M43" s="140"/>
      <c r="N43" s="140"/>
      <c r="O43" s="140"/>
      <c r="P43" s="140"/>
    </row>
    <row r="44" spans="1:16" x14ac:dyDescent="0.3">
      <c r="A44" s="1093" t="s">
        <v>618</v>
      </c>
      <c r="B44" s="1093"/>
      <c r="C44" s="1093"/>
      <c r="D44" s="1093"/>
      <c r="E44" s="1093"/>
      <c r="F44" s="1093"/>
      <c r="G44" s="1093"/>
      <c r="H44" s="1093"/>
      <c r="I44" s="1093"/>
      <c r="J44" s="1093"/>
      <c r="K44" s="1093"/>
      <c r="L44" s="1093"/>
      <c r="M44" s="1093"/>
      <c r="N44" s="1093"/>
      <c r="O44" s="1093"/>
      <c r="P44" s="1093"/>
    </row>
    <row r="45" spans="1:16" x14ac:dyDescent="0.3">
      <c r="A45" s="1093"/>
      <c r="B45" s="1093"/>
      <c r="C45" s="1093"/>
      <c r="D45" s="1093"/>
      <c r="E45" s="1093"/>
      <c r="F45" s="1093"/>
      <c r="G45" s="1093"/>
      <c r="H45" s="1093"/>
      <c r="I45" s="1093"/>
      <c r="J45" s="1093"/>
      <c r="K45" s="1093"/>
      <c r="L45" s="1093"/>
      <c r="M45" s="1093"/>
      <c r="N45" s="1093"/>
      <c r="O45" s="1093"/>
      <c r="P45" s="1093"/>
    </row>
    <row r="46" spans="1:16" x14ac:dyDescent="0.3">
      <c r="A46" s="1093"/>
      <c r="B46" s="1093"/>
      <c r="C46" s="1093"/>
      <c r="D46" s="1093"/>
      <c r="E46" s="1093"/>
      <c r="F46" s="1093"/>
      <c r="G46" s="1093"/>
      <c r="H46" s="1093"/>
      <c r="I46" s="1093"/>
      <c r="J46" s="1093"/>
      <c r="K46" s="1093"/>
      <c r="L46" s="1093"/>
      <c r="M46" s="1093"/>
      <c r="N46" s="1093"/>
      <c r="O46" s="1093"/>
      <c r="P46" s="1093"/>
    </row>
    <row r="47" spans="1:16" x14ac:dyDescent="0.3">
      <c r="A47" s="874"/>
      <c r="B47" s="874"/>
      <c r="C47" s="874"/>
      <c r="D47" s="870"/>
      <c r="E47" s="874"/>
      <c r="F47" s="874"/>
      <c r="G47" s="874"/>
      <c r="H47" s="874"/>
      <c r="I47" s="874"/>
      <c r="J47" s="874"/>
      <c r="K47" s="874"/>
      <c r="L47" s="874"/>
      <c r="M47" s="874"/>
      <c r="N47" s="874"/>
      <c r="O47" s="874"/>
      <c r="P47" s="874"/>
    </row>
    <row r="48" spans="1:16" x14ac:dyDescent="0.3">
      <c r="A48" s="1220" t="s">
        <v>619</v>
      </c>
      <c r="B48" s="1221"/>
      <c r="C48" s="1221"/>
      <c r="D48" s="1221"/>
      <c r="E48" s="1221"/>
      <c r="F48" s="1221"/>
      <c r="G48" s="1221"/>
      <c r="H48" s="1221"/>
      <c r="I48" s="1221"/>
      <c r="J48" s="1221"/>
      <c r="K48" s="1221"/>
      <c r="L48" s="1221"/>
      <c r="M48" s="1221"/>
      <c r="N48" s="1221"/>
      <c r="O48" s="1221"/>
      <c r="P48" s="1221"/>
    </row>
    <row r="49" spans="1:16" x14ac:dyDescent="0.3">
      <c r="A49" s="1221"/>
      <c r="B49" s="1221"/>
      <c r="C49" s="1221"/>
      <c r="D49" s="1221"/>
      <c r="E49" s="1221"/>
      <c r="F49" s="1221"/>
      <c r="G49" s="1221"/>
      <c r="H49" s="1221"/>
      <c r="I49" s="1221"/>
      <c r="J49" s="1221"/>
      <c r="K49" s="1221"/>
      <c r="L49" s="1221"/>
      <c r="M49" s="1221"/>
      <c r="N49" s="1221"/>
      <c r="O49" s="1221"/>
      <c r="P49" s="1221"/>
    </row>
    <row r="50" spans="1:16" x14ac:dyDescent="0.3">
      <c r="A50" s="874"/>
      <c r="B50" s="874"/>
      <c r="C50" s="874"/>
      <c r="D50" s="870"/>
      <c r="E50" s="874"/>
      <c r="F50" s="874"/>
      <c r="G50" s="874"/>
      <c r="H50" s="874"/>
      <c r="I50" s="874"/>
      <c r="J50" s="874"/>
      <c r="K50" s="874"/>
      <c r="L50" s="874"/>
      <c r="M50" s="874"/>
      <c r="N50" s="874"/>
      <c r="O50" s="874"/>
      <c r="P50" s="874"/>
    </row>
    <row r="51" spans="1:16" x14ac:dyDescent="0.3">
      <c r="A51" s="1216" t="s">
        <v>620</v>
      </c>
      <c r="B51" s="1216"/>
      <c r="C51" s="1216"/>
      <c r="D51" s="1216"/>
      <c r="E51" s="1216"/>
      <c r="F51" s="1216"/>
      <c r="G51" s="1216"/>
      <c r="H51" s="1216"/>
      <c r="I51" s="1216"/>
      <c r="J51" s="1216"/>
      <c r="K51" s="1216"/>
      <c r="L51" s="1216"/>
      <c r="M51" s="1216"/>
      <c r="N51" s="1216"/>
      <c r="O51" s="1216"/>
      <c r="P51" s="1216"/>
    </row>
    <row r="52" spans="1:16" x14ac:dyDescent="0.3">
      <c r="A52" s="1216"/>
      <c r="B52" s="1216"/>
      <c r="C52" s="1216"/>
      <c r="D52" s="1216"/>
      <c r="E52" s="1216"/>
      <c r="F52" s="1216"/>
      <c r="G52" s="1216"/>
      <c r="H52" s="1216"/>
      <c r="I52" s="1216"/>
      <c r="J52" s="1216"/>
      <c r="K52" s="1216"/>
      <c r="L52" s="1216"/>
      <c r="M52" s="1216"/>
      <c r="N52" s="1216"/>
      <c r="O52" s="1216"/>
      <c r="P52" s="1216"/>
    </row>
    <row r="53" spans="1:16" x14ac:dyDescent="0.3">
      <c r="A53" s="1216"/>
      <c r="B53" s="1216"/>
      <c r="C53" s="1216"/>
      <c r="D53" s="1216"/>
      <c r="E53" s="1216"/>
      <c r="F53" s="1216"/>
      <c r="G53" s="1216"/>
      <c r="H53" s="1216"/>
      <c r="I53" s="1216"/>
      <c r="J53" s="1216"/>
      <c r="K53" s="1216"/>
      <c r="L53" s="1216"/>
      <c r="M53" s="1216"/>
      <c r="N53" s="1216"/>
      <c r="O53" s="1216"/>
      <c r="P53" s="1216"/>
    </row>
    <row r="54" spans="1:16" x14ac:dyDescent="0.3">
      <c r="A54" s="871"/>
      <c r="B54" s="871"/>
      <c r="C54" s="871"/>
      <c r="D54" s="872"/>
      <c r="E54" s="871"/>
      <c r="F54" s="871"/>
      <c r="G54" s="871"/>
      <c r="H54" s="871"/>
      <c r="I54" s="871"/>
      <c r="J54" s="871"/>
      <c r="K54" s="871"/>
      <c r="L54" s="871"/>
      <c r="M54" s="871"/>
      <c r="N54" s="871"/>
      <c r="O54" s="871"/>
      <c r="P54" s="871"/>
    </row>
  </sheetData>
  <mergeCells count="6">
    <mergeCell ref="A51:P53"/>
    <mergeCell ref="A7:P7"/>
    <mergeCell ref="O10:P10"/>
    <mergeCell ref="A48:P49"/>
    <mergeCell ref="A38:P42"/>
    <mergeCell ref="A44:P46"/>
  </mergeCells>
  <hyperlinks>
    <hyperlink ref="A4" r:id="rId1" xr:uid="{00000000-0004-0000-1700-000000000000}"/>
  </hyperlink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98"/>
  <sheetViews>
    <sheetView topLeftCell="A184" workbookViewId="0">
      <selection activeCell="E179" sqref="E179"/>
    </sheetView>
  </sheetViews>
  <sheetFormatPr defaultColWidth="11.5546875" defaultRowHeight="14.4" x14ac:dyDescent="0.3"/>
  <cols>
    <col min="1" max="1" width="36" customWidth="1"/>
    <col min="2" max="2" width="15.5546875" customWidth="1"/>
    <col min="15" max="15" width="19.77734375" customWidth="1"/>
    <col min="16" max="16" width="125.77734375" customWidth="1"/>
  </cols>
  <sheetData>
    <row r="1" spans="1:15" x14ac:dyDescent="0.3">
      <c r="A1" s="111" t="s">
        <v>1489</v>
      </c>
      <c r="D1" s="970">
        <v>2022</v>
      </c>
      <c r="E1" s="970">
        <v>2023</v>
      </c>
      <c r="F1" s="970">
        <v>2024</v>
      </c>
      <c r="G1" s="970">
        <v>2025</v>
      </c>
      <c r="H1" s="970">
        <v>2026</v>
      </c>
      <c r="I1" s="970">
        <v>2027</v>
      </c>
      <c r="J1" s="970">
        <v>2028</v>
      </c>
      <c r="K1" s="970">
        <v>2029</v>
      </c>
      <c r="L1" s="970">
        <v>2030</v>
      </c>
      <c r="M1" s="971">
        <v>2031</v>
      </c>
      <c r="N1" s="972" t="s">
        <v>1286</v>
      </c>
      <c r="O1" s="972" t="s">
        <v>1287</v>
      </c>
    </row>
    <row r="2" spans="1:15" x14ac:dyDescent="0.3">
      <c r="C2" s="1223" t="s">
        <v>1490</v>
      </c>
      <c r="D2" s="1223"/>
      <c r="E2" s="1223"/>
      <c r="F2" s="1223"/>
      <c r="G2" s="1223"/>
      <c r="H2" s="1223"/>
      <c r="I2" s="1223"/>
      <c r="J2" s="1223"/>
      <c r="K2" s="1223"/>
      <c r="L2" s="1223"/>
      <c r="M2" s="1223"/>
      <c r="N2" s="1223"/>
      <c r="O2" s="1223"/>
    </row>
    <row r="3" spans="1:15" x14ac:dyDescent="0.3">
      <c r="A3" s="36" t="s">
        <v>1295</v>
      </c>
      <c r="B3" s="36">
        <v>13601</v>
      </c>
      <c r="C3" s="36" t="s">
        <v>1491</v>
      </c>
      <c r="D3" s="36">
        <v>0</v>
      </c>
      <c r="E3" s="36">
        <v>0</v>
      </c>
      <c r="F3" s="36">
        <v>601</v>
      </c>
      <c r="G3" s="36">
        <v>1038</v>
      </c>
      <c r="H3" s="36">
        <v>1251</v>
      </c>
      <c r="I3" s="36">
        <v>1431</v>
      </c>
      <c r="J3" s="36">
        <v>1492</v>
      </c>
      <c r="K3" s="36">
        <v>1530</v>
      </c>
      <c r="L3" s="36">
        <v>1567</v>
      </c>
      <c r="M3" s="36">
        <v>1606</v>
      </c>
      <c r="N3" s="36">
        <v>2890</v>
      </c>
      <c r="O3" s="36">
        <v>10516</v>
      </c>
    </row>
    <row r="4" spans="1:15" x14ac:dyDescent="0.3">
      <c r="A4" s="36" t="s">
        <v>1308</v>
      </c>
      <c r="B4" s="36">
        <v>10301</v>
      </c>
      <c r="C4" s="36" t="s">
        <v>1491</v>
      </c>
      <c r="D4" s="36">
        <v>0</v>
      </c>
      <c r="E4" s="36">
        <v>3823</v>
      </c>
      <c r="F4" s="36">
        <v>3380</v>
      </c>
      <c r="G4" s="36">
        <v>4970</v>
      </c>
      <c r="H4" s="36">
        <v>6248</v>
      </c>
      <c r="I4" s="36">
        <v>7996</v>
      </c>
      <c r="J4" s="36">
        <v>10106</v>
      </c>
      <c r="K4" s="36">
        <v>12617</v>
      </c>
      <c r="L4" s="36">
        <v>15072</v>
      </c>
      <c r="M4" s="36">
        <v>15388</v>
      </c>
      <c r="N4" s="36">
        <v>18421</v>
      </c>
      <c r="O4" s="36">
        <v>79600</v>
      </c>
    </row>
    <row r="5" spans="1:15" x14ac:dyDescent="0.3">
      <c r="A5" s="36" t="s">
        <v>1310</v>
      </c>
      <c r="B5" s="36">
        <v>13802</v>
      </c>
      <c r="C5" s="36" t="s">
        <v>1491</v>
      </c>
      <c r="D5" s="36">
        <v>0</v>
      </c>
      <c r="E5" s="36">
        <v>55</v>
      </c>
      <c r="F5" s="36">
        <v>55</v>
      </c>
      <c r="G5" s="36">
        <v>55</v>
      </c>
      <c r="H5" s="36">
        <v>55</v>
      </c>
      <c r="I5" s="36">
        <v>55</v>
      </c>
      <c r="J5" s="36">
        <v>55</v>
      </c>
      <c r="K5" s="36">
        <v>55</v>
      </c>
      <c r="L5" s="36">
        <v>55</v>
      </c>
      <c r="M5" s="36">
        <v>55</v>
      </c>
      <c r="N5" s="36">
        <v>220</v>
      </c>
      <c r="O5" s="36">
        <v>495</v>
      </c>
    </row>
    <row r="6" spans="1:15" x14ac:dyDescent="0.3">
      <c r="A6" s="36" t="s">
        <v>1312</v>
      </c>
      <c r="B6" s="36">
        <v>22005</v>
      </c>
      <c r="C6" s="36" t="s">
        <v>1491</v>
      </c>
      <c r="D6" s="36">
        <v>0</v>
      </c>
      <c r="E6" s="36">
        <v>19</v>
      </c>
      <c r="F6" s="36">
        <v>26</v>
      </c>
      <c r="G6" s="36">
        <v>27</v>
      </c>
      <c r="H6" s="36">
        <v>17</v>
      </c>
      <c r="I6" s="36">
        <v>7</v>
      </c>
      <c r="J6" s="36">
        <v>3</v>
      </c>
      <c r="K6" s="36">
        <v>1</v>
      </c>
      <c r="L6" s="36">
        <v>0</v>
      </c>
      <c r="M6" s="36">
        <v>0</v>
      </c>
      <c r="N6" s="36">
        <v>89</v>
      </c>
      <c r="O6" s="36">
        <v>100</v>
      </c>
    </row>
    <row r="7" spans="1:15" x14ac:dyDescent="0.3">
      <c r="A7" s="36" t="s">
        <v>1298</v>
      </c>
      <c r="B7" s="36">
        <v>23001</v>
      </c>
      <c r="C7" s="36" t="s">
        <v>1491</v>
      </c>
      <c r="D7" s="36">
        <v>0</v>
      </c>
      <c r="E7" s="36">
        <v>35</v>
      </c>
      <c r="F7" s="36">
        <v>125</v>
      </c>
      <c r="G7" s="36">
        <v>170</v>
      </c>
      <c r="H7" s="36">
        <v>375</v>
      </c>
      <c r="I7" s="36">
        <v>470</v>
      </c>
      <c r="J7" s="36">
        <v>415</v>
      </c>
      <c r="K7" s="36">
        <v>280</v>
      </c>
      <c r="L7" s="36">
        <v>217</v>
      </c>
      <c r="M7" s="36">
        <v>58</v>
      </c>
      <c r="N7" s="36">
        <v>705</v>
      </c>
      <c r="O7" s="36">
        <v>2145</v>
      </c>
    </row>
    <row r="8" spans="1:15" x14ac:dyDescent="0.3">
      <c r="A8" s="36" t="s">
        <v>1314</v>
      </c>
      <c r="B8" s="36">
        <v>23005</v>
      </c>
      <c r="C8" s="36" t="s">
        <v>1491</v>
      </c>
      <c r="D8" s="36">
        <v>0</v>
      </c>
      <c r="E8" s="36">
        <v>15</v>
      </c>
      <c r="F8" s="36">
        <v>15</v>
      </c>
      <c r="G8" s="36">
        <v>15</v>
      </c>
      <c r="H8" s="36">
        <v>10</v>
      </c>
      <c r="I8" s="36">
        <v>10</v>
      </c>
      <c r="J8" s="36">
        <v>10</v>
      </c>
      <c r="K8" s="36">
        <v>10</v>
      </c>
      <c r="L8" s="36">
        <v>10</v>
      </c>
      <c r="M8" s="36">
        <v>5</v>
      </c>
      <c r="N8" s="36">
        <v>55</v>
      </c>
      <c r="O8" s="36">
        <v>100</v>
      </c>
    </row>
    <row r="9" spans="1:15" x14ac:dyDescent="0.3">
      <c r="A9" s="36" t="s">
        <v>1367</v>
      </c>
      <c r="B9" s="36">
        <v>23003</v>
      </c>
      <c r="C9" s="36" t="s">
        <v>1354</v>
      </c>
      <c r="D9" s="36">
        <v>0</v>
      </c>
      <c r="E9" s="36">
        <v>65</v>
      </c>
      <c r="F9" s="36">
        <v>150</v>
      </c>
      <c r="G9" s="36">
        <v>290</v>
      </c>
      <c r="H9" s="36">
        <v>290</v>
      </c>
      <c r="I9" s="36">
        <v>290</v>
      </c>
      <c r="J9" s="36">
        <v>285</v>
      </c>
      <c r="K9" s="36">
        <v>250</v>
      </c>
      <c r="L9" s="36">
        <v>220</v>
      </c>
      <c r="M9" s="36">
        <v>160</v>
      </c>
      <c r="N9" s="36">
        <v>795</v>
      </c>
      <c r="O9" s="36">
        <v>2000</v>
      </c>
    </row>
    <row r="10" spans="1:15" x14ac:dyDescent="0.3">
      <c r="A10" s="36" t="s">
        <v>1395</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
      <c r="A11" s="36" t="s">
        <v>1397</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
      <c r="A12" s="36" t="s">
        <v>1399</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
      <c r="A14" s="36" t="s">
        <v>1395</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
      <c r="A16" s="36" t="s">
        <v>1402</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
      <c r="A17" s="36" t="s">
        <v>1492</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
      <c r="A18" s="36" t="s">
        <v>1404</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
      <c r="A19" s="36" t="s">
        <v>1406</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
      <c r="A25" s="36" t="s">
        <v>1408</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
      <c r="A26" s="36" t="s">
        <v>1420</v>
      </c>
      <c r="B26" s="36">
        <v>12001</v>
      </c>
      <c r="C26" s="36" t="s">
        <v>1493</v>
      </c>
      <c r="D26" s="36">
        <v>0</v>
      </c>
      <c r="E26" s="36">
        <v>20892</v>
      </c>
      <c r="F26" s="36">
        <v>11288</v>
      </c>
      <c r="G26" s="36">
        <v>9651</v>
      </c>
      <c r="H26" s="36">
        <v>-8548</v>
      </c>
      <c r="I26" s="36">
        <v>-463</v>
      </c>
      <c r="J26" s="36">
        <v>0</v>
      </c>
      <c r="K26" s="36">
        <v>0</v>
      </c>
      <c r="L26" s="36">
        <v>0</v>
      </c>
      <c r="M26" s="36">
        <v>0</v>
      </c>
      <c r="N26" s="36">
        <v>33283</v>
      </c>
      <c r="O26" s="36">
        <v>32820</v>
      </c>
    </row>
    <row r="27" spans="1:15" x14ac:dyDescent="0.3">
      <c r="A27" s="36" t="s">
        <v>1422</v>
      </c>
      <c r="B27" s="36">
        <v>22003</v>
      </c>
      <c r="C27" s="36" t="s">
        <v>1493</v>
      </c>
      <c r="D27" s="36">
        <v>0</v>
      </c>
      <c r="E27" s="36">
        <v>24</v>
      </c>
      <c r="F27" s="36">
        <v>65</v>
      </c>
      <c r="G27" s="36">
        <v>112</v>
      </c>
      <c r="H27" s="36">
        <v>130</v>
      </c>
      <c r="I27" s="36">
        <v>98</v>
      </c>
      <c r="J27" s="36">
        <v>56</v>
      </c>
      <c r="K27" s="36">
        <v>15</v>
      </c>
      <c r="L27" s="36">
        <v>0</v>
      </c>
      <c r="M27" s="36">
        <v>0</v>
      </c>
      <c r="N27" s="36">
        <v>331</v>
      </c>
      <c r="O27" s="36">
        <v>500</v>
      </c>
    </row>
    <row r="28" spans="1:15" x14ac:dyDescent="0.3">
      <c r="A28" s="36" t="s">
        <v>1424</v>
      </c>
      <c r="B28" s="36">
        <v>22004</v>
      </c>
      <c r="C28" s="36" t="s">
        <v>1493</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
      <c r="A29" s="14" t="s">
        <v>1494</v>
      </c>
      <c r="B29" s="36">
        <v>22007</v>
      </c>
      <c r="C29" s="36" t="s">
        <v>1493</v>
      </c>
      <c r="D29" s="36">
        <v>-622</v>
      </c>
      <c r="E29" s="36">
        <v>80</v>
      </c>
      <c r="F29" s="36">
        <v>248</v>
      </c>
      <c r="G29" s="36">
        <v>266</v>
      </c>
      <c r="H29" s="36">
        <v>363</v>
      </c>
      <c r="I29" s="36">
        <v>464</v>
      </c>
      <c r="J29" s="36">
        <v>451</v>
      </c>
      <c r="K29" s="36">
        <v>336</v>
      </c>
      <c r="L29" s="36">
        <v>226</v>
      </c>
      <c r="M29" s="36">
        <v>117</v>
      </c>
      <c r="N29" s="36">
        <v>335</v>
      </c>
      <c r="O29" s="36">
        <v>1929</v>
      </c>
    </row>
    <row r="30" spans="1:15" x14ac:dyDescent="0.3">
      <c r="A30" s="36" t="s">
        <v>1426</v>
      </c>
      <c r="B30" s="36">
        <v>23002</v>
      </c>
      <c r="C30" s="36" t="s">
        <v>1493</v>
      </c>
      <c r="D30" s="36">
        <v>0</v>
      </c>
      <c r="E30" s="36">
        <v>30</v>
      </c>
      <c r="F30" s="36">
        <v>90</v>
      </c>
      <c r="G30" s="36">
        <v>90</v>
      </c>
      <c r="H30" s="36">
        <v>85</v>
      </c>
      <c r="I30" s="36">
        <v>70</v>
      </c>
      <c r="J30" s="36">
        <v>65</v>
      </c>
      <c r="K30" s="36">
        <v>65</v>
      </c>
      <c r="L30" s="36">
        <v>35</v>
      </c>
      <c r="M30" s="36">
        <v>15</v>
      </c>
      <c r="N30" s="36">
        <v>295</v>
      </c>
      <c r="O30" s="36">
        <v>545</v>
      </c>
    </row>
    <row r="31" spans="1:15" x14ac:dyDescent="0.3">
      <c r="A31" s="36" t="s">
        <v>1417</v>
      </c>
      <c r="B31" s="36">
        <v>30002</v>
      </c>
      <c r="C31" s="36" t="s">
        <v>1493</v>
      </c>
      <c r="D31" s="36">
        <v>0</v>
      </c>
      <c r="E31" s="36">
        <v>20</v>
      </c>
      <c r="F31" s="36">
        <v>65</v>
      </c>
      <c r="G31" s="36">
        <v>110</v>
      </c>
      <c r="H31" s="36">
        <v>135</v>
      </c>
      <c r="I31" s="36">
        <v>180</v>
      </c>
      <c r="J31" s="36">
        <v>230</v>
      </c>
      <c r="K31" s="36">
        <v>180</v>
      </c>
      <c r="L31" s="36">
        <v>60</v>
      </c>
      <c r="M31" s="36">
        <v>10</v>
      </c>
      <c r="N31" s="36">
        <v>330</v>
      </c>
      <c r="O31" s="36">
        <v>990</v>
      </c>
    </row>
    <row r="32" spans="1:15" x14ac:dyDescent="0.3">
      <c r="A32" s="36" t="s">
        <v>1495</v>
      </c>
      <c r="B32" s="36">
        <v>13104</v>
      </c>
      <c r="C32" s="36" t="s">
        <v>1496</v>
      </c>
      <c r="D32" s="36">
        <v>0</v>
      </c>
      <c r="E32" s="36">
        <v>20</v>
      </c>
      <c r="F32" s="36">
        <v>145</v>
      </c>
      <c r="G32" s="36">
        <v>225</v>
      </c>
      <c r="H32" s="36">
        <v>238</v>
      </c>
      <c r="I32" s="36">
        <v>222</v>
      </c>
      <c r="J32" s="36">
        <v>206</v>
      </c>
      <c r="K32" s="36">
        <v>186</v>
      </c>
      <c r="L32" s="36">
        <v>165</v>
      </c>
      <c r="M32" s="36">
        <v>142</v>
      </c>
      <c r="N32" s="36">
        <v>628</v>
      </c>
      <c r="O32" s="36">
        <v>1550</v>
      </c>
    </row>
    <row r="33" spans="1:15" x14ac:dyDescent="0.3">
      <c r="A33" s="36" t="s">
        <v>1497</v>
      </c>
      <c r="B33" s="36">
        <v>13105</v>
      </c>
      <c r="C33" s="36" t="s">
        <v>1496</v>
      </c>
      <c r="D33" s="36">
        <v>0</v>
      </c>
      <c r="E33" s="36">
        <v>0</v>
      </c>
      <c r="F33" s="36">
        <v>1050</v>
      </c>
      <c r="G33" s="36">
        <v>1692</v>
      </c>
      <c r="H33" s="36">
        <v>1781</v>
      </c>
      <c r="I33" s="36">
        <v>1842</v>
      </c>
      <c r="J33" s="36">
        <v>1901</v>
      </c>
      <c r="K33" s="36">
        <v>1944</v>
      </c>
      <c r="L33" s="36">
        <v>2054</v>
      </c>
      <c r="M33" s="36">
        <v>2137</v>
      </c>
      <c r="N33" s="36">
        <v>4522</v>
      </c>
      <c r="O33" s="36">
        <v>14401</v>
      </c>
    </row>
    <row r="34" spans="1:15" x14ac:dyDescent="0.3">
      <c r="A34" s="36" t="s">
        <v>1454</v>
      </c>
      <c r="B34" s="36">
        <v>13204</v>
      </c>
      <c r="C34" s="36" t="s">
        <v>1496</v>
      </c>
      <c r="D34" s="36">
        <v>0</v>
      </c>
      <c r="E34" s="36">
        <v>59</v>
      </c>
      <c r="F34" s="36">
        <v>149</v>
      </c>
      <c r="G34" s="36">
        <v>244</v>
      </c>
      <c r="H34" s="36">
        <v>364</v>
      </c>
      <c r="I34" s="36">
        <v>498</v>
      </c>
      <c r="J34" s="36">
        <v>657</v>
      </c>
      <c r="K34" s="36">
        <v>851</v>
      </c>
      <c r="L34" s="36">
        <v>1086</v>
      </c>
      <c r="M34" s="36">
        <v>1410</v>
      </c>
      <c r="N34" s="36">
        <v>815</v>
      </c>
      <c r="O34" s="36">
        <v>5317</v>
      </c>
    </row>
    <row r="35" spans="1:15" x14ac:dyDescent="0.3">
      <c r="A35" s="36" t="s">
        <v>1498</v>
      </c>
      <c r="B35" s="36">
        <v>13502</v>
      </c>
      <c r="C35" s="36" t="s">
        <v>1496</v>
      </c>
      <c r="D35" s="36">
        <v>0</v>
      </c>
      <c r="E35" s="36">
        <v>842</v>
      </c>
      <c r="F35" s="36">
        <v>1201</v>
      </c>
      <c r="G35" s="36">
        <v>1291</v>
      </c>
      <c r="H35" s="36">
        <v>1519</v>
      </c>
      <c r="I35" s="36">
        <v>1710</v>
      </c>
      <c r="J35" s="36">
        <v>1890</v>
      </c>
      <c r="K35" s="36">
        <v>2176</v>
      </c>
      <c r="L35" s="36">
        <v>2189</v>
      </c>
      <c r="M35" s="36">
        <v>1882</v>
      </c>
      <c r="N35" s="36">
        <v>4853</v>
      </c>
      <c r="O35" s="36">
        <v>14699</v>
      </c>
    </row>
    <row r="36" spans="1:15" x14ac:dyDescent="0.3">
      <c r="A36" s="36" t="s">
        <v>1499</v>
      </c>
      <c r="B36" s="36">
        <v>13701</v>
      </c>
      <c r="C36" s="36" t="s">
        <v>1496</v>
      </c>
      <c r="D36" s="36">
        <v>0</v>
      </c>
      <c r="E36" s="36">
        <v>1</v>
      </c>
      <c r="F36" s="36">
        <v>1</v>
      </c>
      <c r="G36" s="36">
        <v>2</v>
      </c>
      <c r="H36" s="36">
        <v>2</v>
      </c>
      <c r="I36" s="36">
        <v>3</v>
      </c>
      <c r="J36" s="36">
        <v>3</v>
      </c>
      <c r="K36" s="36">
        <v>4</v>
      </c>
      <c r="L36" s="36">
        <v>5</v>
      </c>
      <c r="M36" s="36">
        <v>6</v>
      </c>
      <c r="N36" s="36">
        <v>6</v>
      </c>
      <c r="O36" s="36">
        <v>26</v>
      </c>
    </row>
    <row r="37" spans="1:15" x14ac:dyDescent="0.3">
      <c r="A37" s="36" t="s">
        <v>1436</v>
      </c>
      <c r="B37" s="36">
        <v>21001</v>
      </c>
      <c r="C37" s="36" t="s">
        <v>1496</v>
      </c>
      <c r="D37" s="36">
        <v>0</v>
      </c>
      <c r="E37" s="36">
        <v>178</v>
      </c>
      <c r="F37" s="36">
        <v>716</v>
      </c>
      <c r="G37" s="36">
        <v>1268</v>
      </c>
      <c r="H37" s="36">
        <v>2150</v>
      </c>
      <c r="I37" s="36">
        <v>3000</v>
      </c>
      <c r="J37" s="36">
        <v>2906</v>
      </c>
      <c r="K37" s="36">
        <v>2533</v>
      </c>
      <c r="L37" s="36">
        <v>1750</v>
      </c>
      <c r="M37" s="36">
        <v>807</v>
      </c>
      <c r="N37" s="36">
        <v>4312</v>
      </c>
      <c r="O37" s="36">
        <v>15308</v>
      </c>
    </row>
    <row r="38" spans="1:15" x14ac:dyDescent="0.3">
      <c r="A38" s="36">
        <v>0</v>
      </c>
      <c r="B38" s="36">
        <v>21002</v>
      </c>
      <c r="C38" s="36" t="s">
        <v>1496</v>
      </c>
      <c r="D38" s="36">
        <v>0</v>
      </c>
      <c r="E38" s="36">
        <v>86</v>
      </c>
      <c r="F38" s="36">
        <v>95</v>
      </c>
      <c r="G38" s="36">
        <v>125</v>
      </c>
      <c r="H38" s="36">
        <v>225</v>
      </c>
      <c r="I38" s="36">
        <v>225</v>
      </c>
      <c r="J38" s="36">
        <v>245</v>
      </c>
      <c r="K38" s="36">
        <v>240</v>
      </c>
      <c r="L38" s="36">
        <v>109</v>
      </c>
      <c r="M38" s="36">
        <v>50</v>
      </c>
      <c r="N38" s="36">
        <v>531</v>
      </c>
      <c r="O38" s="36">
        <v>1400</v>
      </c>
    </row>
    <row r="39" spans="1:15" x14ac:dyDescent="0.3">
      <c r="A39" s="36" t="s">
        <v>1448</v>
      </c>
      <c r="B39" s="36">
        <v>22002</v>
      </c>
      <c r="C39" s="36" t="s">
        <v>1496</v>
      </c>
      <c r="D39" s="36">
        <v>0</v>
      </c>
      <c r="E39" s="36">
        <v>5</v>
      </c>
      <c r="F39" s="36">
        <v>41</v>
      </c>
      <c r="G39" s="36">
        <v>116</v>
      </c>
      <c r="H39" s="36">
        <v>284</v>
      </c>
      <c r="I39" s="36">
        <v>417</v>
      </c>
      <c r="J39" s="36">
        <v>459</v>
      </c>
      <c r="K39" s="36">
        <v>355</v>
      </c>
      <c r="L39" s="36">
        <v>210</v>
      </c>
      <c r="M39" s="36">
        <v>90</v>
      </c>
      <c r="N39" s="36">
        <v>446</v>
      </c>
      <c r="O39" s="36">
        <v>1977</v>
      </c>
    </row>
    <row r="40" spans="1:15" x14ac:dyDescent="0.3">
      <c r="A40" s="36" t="s">
        <v>1464</v>
      </c>
      <c r="B40" s="36">
        <v>30001</v>
      </c>
      <c r="C40" s="36" t="s">
        <v>1496</v>
      </c>
      <c r="D40" s="36">
        <v>0</v>
      </c>
      <c r="E40" s="36">
        <v>25</v>
      </c>
      <c r="F40" s="36">
        <v>100</v>
      </c>
      <c r="G40" s="36">
        <v>125</v>
      </c>
      <c r="H40" s="36">
        <v>100</v>
      </c>
      <c r="I40" s="36">
        <v>75</v>
      </c>
      <c r="J40" s="36">
        <v>30</v>
      </c>
      <c r="K40" s="36">
        <v>20</v>
      </c>
      <c r="L40" s="36">
        <v>0</v>
      </c>
      <c r="M40" s="36">
        <v>0</v>
      </c>
      <c r="N40" s="36">
        <v>350</v>
      </c>
      <c r="O40" s="36">
        <v>475</v>
      </c>
    </row>
    <row r="42" spans="1:15" x14ac:dyDescent="0.3">
      <c r="C42" s="1224" t="s">
        <v>1500</v>
      </c>
      <c r="D42" s="1224"/>
      <c r="E42" s="1224"/>
      <c r="F42" s="1224"/>
      <c r="G42" s="1224"/>
      <c r="H42" s="1224"/>
      <c r="I42" s="1224"/>
      <c r="J42" s="1224"/>
      <c r="K42" s="1224"/>
      <c r="L42" s="1224"/>
      <c r="M42" s="1224"/>
      <c r="N42" s="1224"/>
      <c r="O42" s="1224"/>
    </row>
    <row r="43" spans="1:15" x14ac:dyDescent="0.3">
      <c r="A43" s="36" t="s">
        <v>1501</v>
      </c>
      <c r="B43" s="36">
        <v>10101</v>
      </c>
      <c r="C43" s="36" t="s">
        <v>1502</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
      <c r="A44" s="36" t="s">
        <v>1503</v>
      </c>
      <c r="B44" s="36" t="s">
        <v>1504</v>
      </c>
      <c r="C44" s="36" t="s">
        <v>1502</v>
      </c>
      <c r="D44" s="36">
        <v>0</v>
      </c>
      <c r="E44" s="36">
        <v>113</v>
      </c>
      <c r="F44" s="36">
        <v>314</v>
      </c>
      <c r="G44" s="36">
        <v>470</v>
      </c>
      <c r="H44" s="36">
        <v>642</v>
      </c>
      <c r="I44" s="36">
        <v>812</v>
      </c>
      <c r="J44" s="36">
        <v>973</v>
      </c>
      <c r="K44" s="36">
        <v>1100</v>
      </c>
      <c r="L44" s="36">
        <v>1181</v>
      </c>
      <c r="M44" s="36">
        <v>1245</v>
      </c>
      <c r="N44" s="36">
        <v>1539</v>
      </c>
      <c r="O44" s="36">
        <v>6850</v>
      </c>
    </row>
    <row r="45" spans="1:15" x14ac:dyDescent="0.3">
      <c r="A45" s="36" t="s">
        <v>1505</v>
      </c>
      <c r="B45" s="36">
        <v>13101</v>
      </c>
      <c r="C45" s="36" t="s">
        <v>1502</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
      <c r="A46" s="36" t="s">
        <v>1506</v>
      </c>
      <c r="B46" s="36">
        <v>13102</v>
      </c>
      <c r="C46" s="36" t="s">
        <v>1502</v>
      </c>
      <c r="D46" s="36">
        <v>0</v>
      </c>
      <c r="E46" s="36">
        <v>-2140</v>
      </c>
      <c r="F46" s="36">
        <v>-1559</v>
      </c>
      <c r="G46" s="36">
        <v>-2458</v>
      </c>
      <c r="H46" s="36">
        <v>-5367</v>
      </c>
      <c r="I46" s="36">
        <v>-2359</v>
      </c>
      <c r="J46" s="36">
        <v>-48</v>
      </c>
      <c r="K46" s="36">
        <v>-38</v>
      </c>
      <c r="L46" s="36">
        <v>-9</v>
      </c>
      <c r="M46" s="36">
        <v>15</v>
      </c>
      <c r="N46" s="36">
        <v>-11523</v>
      </c>
      <c r="O46" s="36">
        <v>-13962</v>
      </c>
    </row>
    <row r="47" spans="1:15" x14ac:dyDescent="0.3">
      <c r="A47" s="36" t="s">
        <v>1507</v>
      </c>
      <c r="B47" s="36">
        <v>13104</v>
      </c>
      <c r="C47" s="36" t="s">
        <v>1502</v>
      </c>
      <c r="D47" s="36">
        <v>0</v>
      </c>
      <c r="E47" s="36">
        <v>-22</v>
      </c>
      <c r="F47" s="36">
        <v>-158</v>
      </c>
      <c r="G47" s="36">
        <v>-244</v>
      </c>
      <c r="H47" s="36">
        <v>-257</v>
      </c>
      <c r="I47" s="36">
        <v>-241</v>
      </c>
      <c r="J47" s="36">
        <v>-223</v>
      </c>
      <c r="K47" s="36">
        <v>-202</v>
      </c>
      <c r="L47" s="36">
        <v>-178</v>
      </c>
      <c r="M47" s="36">
        <v>-154</v>
      </c>
      <c r="N47" s="36">
        <v>-681</v>
      </c>
      <c r="O47" s="36">
        <v>-1679</v>
      </c>
    </row>
    <row r="48" spans="1:15" x14ac:dyDescent="0.3">
      <c r="A48" s="36" t="s">
        <v>1508</v>
      </c>
      <c r="B48" s="36">
        <v>13105</v>
      </c>
      <c r="C48" s="36" t="s">
        <v>1502</v>
      </c>
      <c r="D48" s="36">
        <v>0</v>
      </c>
      <c r="E48" s="36">
        <v>0</v>
      </c>
      <c r="F48" s="36">
        <v>-1138</v>
      </c>
      <c r="G48" s="36">
        <v>-1832</v>
      </c>
      <c r="H48" s="36">
        <v>-1929</v>
      </c>
      <c r="I48" s="36">
        <v>-1996</v>
      </c>
      <c r="J48" s="36">
        <v>-2059</v>
      </c>
      <c r="K48" s="36">
        <v>-2106</v>
      </c>
      <c r="L48" s="36">
        <v>-2225</v>
      </c>
      <c r="M48" s="36">
        <v>-2315</v>
      </c>
      <c r="N48" s="36">
        <v>-4899</v>
      </c>
      <c r="O48" s="36">
        <v>-15600</v>
      </c>
    </row>
    <row r="49" spans="1:15" x14ac:dyDescent="0.3">
      <c r="A49" s="36" t="s">
        <v>1509</v>
      </c>
      <c r="B49" s="36">
        <v>13303</v>
      </c>
      <c r="C49" s="36" t="s">
        <v>1502</v>
      </c>
      <c r="D49" s="36">
        <v>0</v>
      </c>
      <c r="E49" s="36">
        <v>-62</v>
      </c>
      <c r="F49" s="36">
        <v>-50</v>
      </c>
      <c r="G49" s="36">
        <v>-46</v>
      </c>
      <c r="H49" s="36">
        <v>-42</v>
      </c>
      <c r="I49" s="36">
        <v>-38</v>
      </c>
      <c r="J49" s="36">
        <v>-35</v>
      </c>
      <c r="K49" s="36">
        <v>-32</v>
      </c>
      <c r="L49" s="36">
        <v>-30</v>
      </c>
      <c r="M49" s="36">
        <v>-28</v>
      </c>
      <c r="N49" s="36">
        <v>-200</v>
      </c>
      <c r="O49" s="36">
        <v>-362</v>
      </c>
    </row>
    <row r="50" spans="1:15" x14ac:dyDescent="0.3">
      <c r="A50" s="36" t="s">
        <v>1510</v>
      </c>
      <c r="B50" s="36" t="s">
        <v>1511</v>
      </c>
      <c r="C50" s="36" t="s">
        <v>1502</v>
      </c>
      <c r="D50" s="36">
        <v>0</v>
      </c>
      <c r="E50" s="36">
        <v>-2376</v>
      </c>
      <c r="F50" s="36">
        <v>-2679</v>
      </c>
      <c r="G50" s="36">
        <v>-2315</v>
      </c>
      <c r="H50" s="36">
        <v>-2572</v>
      </c>
      <c r="I50" s="36">
        <v>-2467</v>
      </c>
      <c r="J50" s="36">
        <v>-2490</v>
      </c>
      <c r="K50" s="36">
        <v>-2638</v>
      </c>
      <c r="L50" s="36">
        <v>-2569</v>
      </c>
      <c r="M50" s="36">
        <v>-2081</v>
      </c>
      <c r="N50" s="36">
        <v>-9943</v>
      </c>
      <c r="O50" s="36">
        <v>-22188</v>
      </c>
    </row>
    <row r="51" spans="1:15" x14ac:dyDescent="0.3">
      <c r="A51" s="36" t="s">
        <v>1512</v>
      </c>
      <c r="B51" s="36">
        <v>13601</v>
      </c>
      <c r="C51" s="36" t="s">
        <v>1502</v>
      </c>
      <c r="D51" s="36">
        <v>0</v>
      </c>
      <c r="E51" s="36">
        <v>902</v>
      </c>
      <c r="F51" s="36">
        <v>1230</v>
      </c>
      <c r="G51" s="36">
        <v>1271</v>
      </c>
      <c r="H51" s="36">
        <v>1304</v>
      </c>
      <c r="I51" s="36">
        <v>1336</v>
      </c>
      <c r="J51" s="36">
        <v>1368</v>
      </c>
      <c r="K51" s="36">
        <v>1402</v>
      </c>
      <c r="L51" s="36">
        <v>1436</v>
      </c>
      <c r="M51" s="36">
        <v>1470</v>
      </c>
      <c r="N51" s="36">
        <v>4707</v>
      </c>
      <c r="O51" s="36">
        <v>11719</v>
      </c>
    </row>
    <row r="52" spans="1:15" x14ac:dyDescent="0.3">
      <c r="A52" s="36" t="s">
        <v>1513</v>
      </c>
      <c r="B52" s="36" t="s">
        <v>1514</v>
      </c>
      <c r="C52" s="36" t="s">
        <v>1502</v>
      </c>
      <c r="D52" s="36">
        <v>0</v>
      </c>
      <c r="E52" s="36">
        <v>1</v>
      </c>
      <c r="F52" s="36">
        <v>1</v>
      </c>
      <c r="G52" s="36">
        <v>-678</v>
      </c>
      <c r="H52" s="36">
        <v>-858</v>
      </c>
      <c r="I52" s="36">
        <v>-7820</v>
      </c>
      <c r="J52" s="36">
        <v>-11303</v>
      </c>
      <c r="K52" s="36">
        <v>-12736</v>
      </c>
      <c r="L52" s="36">
        <v>-14927</v>
      </c>
      <c r="M52" s="36">
        <v>-17285</v>
      </c>
      <c r="N52" s="36">
        <v>-1535</v>
      </c>
      <c r="O52" s="36">
        <v>-65606</v>
      </c>
    </row>
    <row r="53" spans="1:15" x14ac:dyDescent="0.3">
      <c r="A53" s="36" t="s">
        <v>1515</v>
      </c>
      <c r="B53" s="36">
        <v>13901</v>
      </c>
      <c r="C53" s="36" t="s">
        <v>1502</v>
      </c>
      <c r="D53" s="36">
        <v>0</v>
      </c>
      <c r="E53" s="36">
        <v>103</v>
      </c>
      <c r="F53" s="36">
        <v>135</v>
      </c>
      <c r="G53" s="36">
        <v>131</v>
      </c>
      <c r="H53" s="36">
        <v>130</v>
      </c>
      <c r="I53" s="36">
        <v>130</v>
      </c>
      <c r="J53" s="36">
        <v>131</v>
      </c>
      <c r="K53" s="36">
        <v>132</v>
      </c>
      <c r="L53" s="36">
        <v>133</v>
      </c>
      <c r="M53" s="36">
        <v>134</v>
      </c>
      <c r="N53" s="36">
        <v>498</v>
      </c>
      <c r="O53" s="36">
        <v>1159</v>
      </c>
    </row>
    <row r="54" spans="1:15" x14ac:dyDescent="0.3">
      <c r="A54" s="36" t="s">
        <v>1516</v>
      </c>
      <c r="B54" s="36">
        <v>13902</v>
      </c>
      <c r="C54" s="36" t="s">
        <v>1502</v>
      </c>
      <c r="D54" s="36">
        <v>0</v>
      </c>
      <c r="E54" s="36">
        <v>-16</v>
      </c>
      <c r="F54" s="36">
        <v>-13</v>
      </c>
      <c r="G54" s="36">
        <v>-15</v>
      </c>
      <c r="H54" s="36">
        <v>-16</v>
      </c>
      <c r="I54" s="36">
        <v>-18</v>
      </c>
      <c r="J54" s="36">
        <v>-21</v>
      </c>
      <c r="K54" s="36">
        <v>-22</v>
      </c>
      <c r="L54" s="36">
        <v>-23</v>
      </c>
      <c r="M54" s="36">
        <v>-24</v>
      </c>
      <c r="N54" s="36">
        <v>-60</v>
      </c>
      <c r="O54" s="36">
        <v>-168</v>
      </c>
    </row>
    <row r="55" spans="1:15" x14ac:dyDescent="0.3">
      <c r="A55" s="36" t="s">
        <v>1517</v>
      </c>
      <c r="B55" s="36" t="s">
        <v>1518</v>
      </c>
      <c r="C55" s="36" t="s">
        <v>1502</v>
      </c>
      <c r="D55" s="36">
        <v>0</v>
      </c>
      <c r="E55" s="36">
        <v>0</v>
      </c>
      <c r="F55" s="36">
        <v>0</v>
      </c>
      <c r="G55" s="36">
        <v>0</v>
      </c>
      <c r="H55" s="36">
        <v>0</v>
      </c>
      <c r="I55" s="36">
        <v>17666</v>
      </c>
      <c r="J55" s="36">
        <v>26198</v>
      </c>
      <c r="K55" s="36">
        <v>9453</v>
      </c>
      <c r="L55" s="36">
        <v>-274</v>
      </c>
      <c r="M55" s="36">
        <v>-284</v>
      </c>
      <c r="N55" s="36">
        <v>0</v>
      </c>
      <c r="O55" s="36">
        <v>52759</v>
      </c>
    </row>
    <row r="56" spans="1:15" x14ac:dyDescent="0.3">
      <c r="A56" s="36" t="s">
        <v>1519</v>
      </c>
      <c r="B56" s="36">
        <v>60113</v>
      </c>
      <c r="C56" s="36" t="s">
        <v>1502</v>
      </c>
      <c r="D56" s="36">
        <v>0</v>
      </c>
      <c r="E56" s="36">
        <v>0</v>
      </c>
      <c r="F56" s="36">
        <v>0</v>
      </c>
      <c r="G56" s="36">
        <v>0</v>
      </c>
      <c r="H56" s="36">
        <v>850</v>
      </c>
      <c r="I56" s="138">
        <v>1350</v>
      </c>
      <c r="J56" s="138">
        <v>1400</v>
      </c>
      <c r="K56" s="138">
        <v>1200</v>
      </c>
      <c r="L56" s="138">
        <v>1050</v>
      </c>
      <c r="M56" s="36">
        <v>500</v>
      </c>
      <c r="N56" s="36">
        <v>850</v>
      </c>
      <c r="O56" s="138">
        <v>6350</v>
      </c>
    </row>
    <row r="57" spans="1:15" x14ac:dyDescent="0.3">
      <c r="A57" s="36" t="s">
        <v>1520</v>
      </c>
      <c r="B57" s="36">
        <v>10201</v>
      </c>
      <c r="C57" s="36" t="s">
        <v>1502</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
      <c r="A58" s="36" t="s">
        <v>1527</v>
      </c>
      <c r="B58" s="36">
        <v>13304</v>
      </c>
      <c r="C58" s="36" t="s">
        <v>1532</v>
      </c>
      <c r="D58" s="36">
        <v>0</v>
      </c>
      <c r="E58" s="36">
        <v>-273</v>
      </c>
      <c r="F58" s="36">
        <v>-193</v>
      </c>
      <c r="G58" s="36">
        <v>-203</v>
      </c>
      <c r="H58" s="36">
        <v>-216</v>
      </c>
      <c r="I58" s="36">
        <v>-230</v>
      </c>
      <c r="J58" s="36">
        <v>-241</v>
      </c>
      <c r="K58" s="36">
        <v>-240</v>
      </c>
      <c r="L58" s="36">
        <v>-229</v>
      </c>
      <c r="M58" s="36">
        <v>-217</v>
      </c>
      <c r="N58" s="36">
        <v>-887</v>
      </c>
      <c r="O58" s="36">
        <v>-2043</v>
      </c>
    </row>
    <row r="59" spans="1:15" x14ac:dyDescent="0.3">
      <c r="A59" s="36" t="s">
        <v>1523</v>
      </c>
      <c r="B59" s="36" t="s">
        <v>1524</v>
      </c>
      <c r="C59" s="36" t="s">
        <v>1532</v>
      </c>
      <c r="D59" s="36">
        <v>0</v>
      </c>
      <c r="E59" s="36">
        <v>-2882</v>
      </c>
      <c r="F59" s="36">
        <v>-2038</v>
      </c>
      <c r="G59" s="36">
        <v>-1405</v>
      </c>
      <c r="H59" s="36">
        <v>-554</v>
      </c>
      <c r="I59" s="36">
        <v>-753</v>
      </c>
      <c r="J59" s="36">
        <v>-970</v>
      </c>
      <c r="K59" s="36">
        <v>-1231</v>
      </c>
      <c r="L59" s="36">
        <v>-1581</v>
      </c>
      <c r="M59" s="36">
        <v>-2108</v>
      </c>
      <c r="N59" s="36">
        <v>-6880</v>
      </c>
      <c r="O59" s="36">
        <v>-13523</v>
      </c>
    </row>
    <row r="60" spans="1:15" x14ac:dyDescent="0.3">
      <c r="A60" s="973" t="s">
        <v>1521</v>
      </c>
      <c r="B60" s="974">
        <v>10301</v>
      </c>
      <c r="C60" s="974" t="s">
        <v>239</v>
      </c>
      <c r="D60" s="974">
        <v>0</v>
      </c>
      <c r="E60" s="975">
        <v>2012</v>
      </c>
      <c r="F60" s="975">
        <v>5106</v>
      </c>
      <c r="G60" s="975">
        <v>11125</v>
      </c>
      <c r="H60" s="975">
        <v>16116</v>
      </c>
      <c r="I60" s="975">
        <v>21716</v>
      </c>
      <c r="J60" s="975">
        <v>26314</v>
      </c>
      <c r="K60" s="975">
        <v>31218</v>
      </c>
      <c r="L60" s="975">
        <v>34877</v>
      </c>
      <c r="M60" s="975">
        <v>31904</v>
      </c>
      <c r="N60" s="975">
        <v>34359</v>
      </c>
      <c r="O60" s="976">
        <v>180388</v>
      </c>
    </row>
    <row r="61" spans="1:15" x14ac:dyDescent="0.3">
      <c r="A61" s="36" t="s">
        <v>1522</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
      <c r="A62" s="36" t="s">
        <v>1525</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
      <c r="A63" s="36" t="s">
        <v>1526</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
      <c r="A64" s="36" t="s">
        <v>1528</v>
      </c>
      <c r="B64" s="36" t="s">
        <v>1529</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
      <c r="D67" s="977">
        <v>2022</v>
      </c>
      <c r="E67" s="977">
        <v>2023</v>
      </c>
      <c r="F67" s="977">
        <v>2024</v>
      </c>
      <c r="G67" s="977">
        <v>2025</v>
      </c>
      <c r="H67" s="977">
        <v>2026</v>
      </c>
      <c r="I67" s="977">
        <v>2027</v>
      </c>
      <c r="J67" s="977">
        <v>2028</v>
      </c>
      <c r="K67" s="977">
        <v>2029</v>
      </c>
      <c r="L67" s="977">
        <v>2030</v>
      </c>
      <c r="M67" s="978">
        <v>2031</v>
      </c>
      <c r="N67" s="979" t="s">
        <v>1466</v>
      </c>
      <c r="O67" s="980" t="s">
        <v>1467</v>
      </c>
    </row>
    <row r="68" spans="3:15" x14ac:dyDescent="0.3">
      <c r="C68" s="1225" t="s">
        <v>1530</v>
      </c>
      <c r="D68" s="1226"/>
      <c r="E68" s="1226"/>
      <c r="F68" s="1226"/>
      <c r="G68" s="1226"/>
      <c r="H68" s="1226"/>
      <c r="I68" s="1226"/>
      <c r="J68" s="1226"/>
      <c r="K68" s="1226"/>
      <c r="L68" s="1226"/>
      <c r="M68" s="1226"/>
      <c r="N68" s="1226"/>
      <c r="O68" s="1227"/>
    </row>
    <row r="69" spans="3:15" x14ac:dyDescent="0.3">
      <c r="C69" s="48" t="s">
        <v>1491</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
      <c r="C70" s="48" t="s">
        <v>1354</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293">
        <f t="shared" si="1"/>
        <v>2000</v>
      </c>
    </row>
    <row r="71" spans="3:15" x14ac:dyDescent="0.3">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293">
        <f t="shared" si="2"/>
        <v>18248</v>
      </c>
    </row>
    <row r="72" spans="3:15" x14ac:dyDescent="0.3">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293">
        <f t="shared" si="3"/>
        <v>-248219</v>
      </c>
    </row>
    <row r="73" spans="3:15" x14ac:dyDescent="0.3">
      <c r="C73" s="48" t="s">
        <v>1493</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293">
        <f t="shared" si="4"/>
        <v>46384</v>
      </c>
    </row>
    <row r="74" spans="3:15" x14ac:dyDescent="0.3">
      <c r="C74" s="48" t="s">
        <v>1496</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410">
        <f t="shared" si="5"/>
        <v>16463</v>
      </c>
      <c r="O74" s="295">
        <f t="shared" si="5"/>
        <v>55153</v>
      </c>
    </row>
    <row r="75" spans="3:15" x14ac:dyDescent="0.3">
      <c r="C75" s="1225" t="s">
        <v>1531</v>
      </c>
      <c r="D75" s="1226"/>
      <c r="E75" s="1226"/>
      <c r="F75" s="1226"/>
      <c r="G75" s="1226"/>
      <c r="H75" s="1226"/>
      <c r="I75" s="1226"/>
      <c r="J75" s="1226"/>
      <c r="K75" s="1226"/>
      <c r="L75" s="1226"/>
      <c r="M75" s="1226"/>
      <c r="N75" s="1226"/>
      <c r="O75" s="1227"/>
    </row>
    <row r="76" spans="3:15" x14ac:dyDescent="0.3">
      <c r="C76" s="48" t="s">
        <v>434</v>
      </c>
      <c r="D76" s="36">
        <v>0</v>
      </c>
      <c r="E76" s="36">
        <v>596</v>
      </c>
      <c r="F76" s="36">
        <v>1406</v>
      </c>
      <c r="G76" s="36">
        <v>1885</v>
      </c>
      <c r="H76" s="36">
        <v>2113</v>
      </c>
      <c r="I76" s="36">
        <v>2058</v>
      </c>
      <c r="J76" s="36">
        <v>1745</v>
      </c>
      <c r="K76" s="36">
        <v>1369</v>
      </c>
      <c r="L76" s="36">
        <v>970</v>
      </c>
      <c r="M76" s="36">
        <v>369</v>
      </c>
      <c r="N76" s="694">
        <v>6000</v>
      </c>
      <c r="O76" s="87">
        <v>12511</v>
      </c>
    </row>
    <row r="77" spans="3:15" x14ac:dyDescent="0.3">
      <c r="C77" s="48" t="s">
        <v>134</v>
      </c>
      <c r="D77" s="36">
        <v>0</v>
      </c>
      <c r="E77" s="36">
        <v>754</v>
      </c>
      <c r="F77" s="36">
        <v>2328</v>
      </c>
      <c r="G77" s="36">
        <v>3782</v>
      </c>
      <c r="H77" s="36">
        <v>5158</v>
      </c>
      <c r="I77" s="36">
        <v>4539</v>
      </c>
      <c r="J77" s="36">
        <v>3010</v>
      </c>
      <c r="K77" s="36">
        <v>1730</v>
      </c>
      <c r="L77" s="36">
        <v>790</v>
      </c>
      <c r="M77" s="36">
        <v>244</v>
      </c>
      <c r="N77" s="48">
        <v>12022</v>
      </c>
      <c r="O77" s="293">
        <v>22335</v>
      </c>
    </row>
    <row r="78" spans="3:15" x14ac:dyDescent="0.3">
      <c r="C78" s="48" t="s">
        <v>192</v>
      </c>
      <c r="D78" s="36">
        <v>0</v>
      </c>
      <c r="E78" s="36">
        <v>68</v>
      </c>
      <c r="F78" s="36">
        <v>1363</v>
      </c>
      <c r="G78" s="36">
        <v>2433</v>
      </c>
      <c r="H78" s="36">
        <v>2803</v>
      </c>
      <c r="I78" s="36">
        <v>1741</v>
      </c>
      <c r="J78" s="36">
        <v>570</v>
      </c>
      <c r="K78" s="36">
        <v>35</v>
      </c>
      <c r="L78" s="36">
        <v>0</v>
      </c>
      <c r="M78" s="36">
        <v>0</v>
      </c>
      <c r="N78" s="48">
        <v>6667</v>
      </c>
      <c r="O78" s="293">
        <v>9013</v>
      </c>
    </row>
    <row r="79" spans="3:15" x14ac:dyDescent="0.3">
      <c r="C79" s="48" t="s">
        <v>52</v>
      </c>
      <c r="D79" s="36">
        <v>0</v>
      </c>
      <c r="E79" s="36">
        <v>81</v>
      </c>
      <c r="F79" s="36">
        <v>350</v>
      </c>
      <c r="G79" s="36">
        <v>1354</v>
      </c>
      <c r="H79" s="36">
        <v>2869</v>
      </c>
      <c r="I79" s="36">
        <v>3890</v>
      </c>
      <c r="J79" s="36">
        <v>3430</v>
      </c>
      <c r="K79" s="36">
        <v>2260</v>
      </c>
      <c r="L79" s="36">
        <v>1320</v>
      </c>
      <c r="M79" s="36">
        <v>665</v>
      </c>
      <c r="N79" s="48">
        <v>4654</v>
      </c>
      <c r="O79" s="293">
        <v>16219</v>
      </c>
    </row>
    <row r="80" spans="3:15" x14ac:dyDescent="0.3">
      <c r="C80" s="48" t="s">
        <v>57</v>
      </c>
      <c r="D80" s="36">
        <v>0</v>
      </c>
      <c r="E80" s="36">
        <v>794</v>
      </c>
      <c r="F80" s="36">
        <v>3183</v>
      </c>
      <c r="G80" s="36">
        <v>5818</v>
      </c>
      <c r="H80" s="36">
        <v>7253</v>
      </c>
      <c r="I80" s="36">
        <v>5628</v>
      </c>
      <c r="J80" s="36">
        <v>1977</v>
      </c>
      <c r="K80" s="36">
        <v>229</v>
      </c>
      <c r="L80" s="36">
        <v>33</v>
      </c>
      <c r="M80" s="36">
        <v>1</v>
      </c>
      <c r="N80" s="48">
        <v>17048</v>
      </c>
      <c r="O80" s="293">
        <v>24916</v>
      </c>
    </row>
    <row r="81" spans="1:16" x14ac:dyDescent="0.3">
      <c r="C81" s="48"/>
      <c r="N81" s="410"/>
      <c r="O81" s="295"/>
    </row>
    <row r="82" spans="1:16" x14ac:dyDescent="0.3">
      <c r="C82" s="1225" t="s">
        <v>1500</v>
      </c>
      <c r="D82" s="1226"/>
      <c r="E82" s="1226"/>
      <c r="F82" s="1226"/>
      <c r="G82" s="1226"/>
      <c r="H82" s="1226"/>
      <c r="I82" s="1226"/>
      <c r="J82" s="1226"/>
      <c r="K82" s="1226"/>
      <c r="L82" s="1226"/>
      <c r="M82" s="1226"/>
      <c r="N82" s="1226"/>
      <c r="O82" s="1227"/>
    </row>
    <row r="83" spans="1:16" x14ac:dyDescent="0.3">
      <c r="C83" s="48" t="s">
        <v>1502</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
      <c r="C84" s="48" t="s">
        <v>546</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
      <c r="A87" s="62" t="s">
        <v>1477</v>
      </c>
    </row>
    <row r="88" spans="1:16" x14ac:dyDescent="0.3">
      <c r="A88" s="897" t="s">
        <v>1284</v>
      </c>
      <c r="B88" s="898" t="s">
        <v>1285</v>
      </c>
      <c r="C88" s="899">
        <v>2022</v>
      </c>
      <c r="D88" s="899">
        <v>2023</v>
      </c>
      <c r="E88" s="899">
        <v>2024</v>
      </c>
      <c r="F88" s="899">
        <v>2025</v>
      </c>
      <c r="G88" s="899">
        <v>2026</v>
      </c>
      <c r="H88" s="899">
        <v>2027</v>
      </c>
      <c r="I88" s="899">
        <v>2028</v>
      </c>
      <c r="J88" s="899">
        <v>2029</v>
      </c>
      <c r="K88" s="899">
        <v>2030</v>
      </c>
      <c r="L88" s="899">
        <v>2031</v>
      </c>
      <c r="M88" s="900" t="s">
        <v>1286</v>
      </c>
      <c r="N88" s="900" t="s">
        <v>1287</v>
      </c>
      <c r="O88" s="901" t="s">
        <v>1288</v>
      </c>
      <c r="P88" s="902" t="s">
        <v>1289</v>
      </c>
    </row>
    <row r="89" spans="1:16" x14ac:dyDescent="0.3">
      <c r="A89" s="903" t="s">
        <v>1290</v>
      </c>
      <c r="B89" s="904" t="s">
        <v>1291</v>
      </c>
      <c r="C89" s="905">
        <v>0</v>
      </c>
      <c r="D89" s="905">
        <v>3</v>
      </c>
      <c r="E89" s="905">
        <v>3</v>
      </c>
      <c r="F89" s="905">
        <v>3</v>
      </c>
      <c r="G89" s="905">
        <v>3</v>
      </c>
      <c r="H89" s="905">
        <v>1</v>
      </c>
      <c r="I89" s="905">
        <v>0</v>
      </c>
      <c r="J89" s="905">
        <v>0</v>
      </c>
      <c r="K89" s="905">
        <v>0</v>
      </c>
      <c r="L89" s="905">
        <v>0</v>
      </c>
      <c r="M89" s="905">
        <v>12</v>
      </c>
      <c r="N89" s="905">
        <v>13</v>
      </c>
      <c r="O89" s="906" t="s">
        <v>1292</v>
      </c>
      <c r="P89" s="907"/>
    </row>
    <row r="90" spans="1:16" ht="24" customHeight="1" x14ac:dyDescent="0.3">
      <c r="A90" s="903" t="s">
        <v>1293</v>
      </c>
      <c r="B90" s="904" t="s">
        <v>1294</v>
      </c>
      <c r="C90" s="905">
        <v>0</v>
      </c>
      <c r="D90" s="905">
        <v>65</v>
      </c>
      <c r="E90" s="905">
        <v>1360</v>
      </c>
      <c r="F90" s="905">
        <v>2430</v>
      </c>
      <c r="G90" s="905">
        <v>2800</v>
      </c>
      <c r="H90" s="905">
        <v>1740</v>
      </c>
      <c r="I90" s="905">
        <v>570</v>
      </c>
      <c r="J90" s="905">
        <v>35</v>
      </c>
      <c r="K90" s="905">
        <v>0</v>
      </c>
      <c r="L90" s="905">
        <v>0</v>
      </c>
      <c r="M90" s="905">
        <v>6655</v>
      </c>
      <c r="N90" s="905">
        <v>9000</v>
      </c>
      <c r="O90" s="906" t="s">
        <v>1292</v>
      </c>
      <c r="P90" s="908"/>
    </row>
    <row r="91" spans="1:16" x14ac:dyDescent="0.3">
      <c r="A91" s="909" t="s">
        <v>1295</v>
      </c>
      <c r="B91" s="910" t="s">
        <v>1296</v>
      </c>
      <c r="C91" s="911">
        <v>0</v>
      </c>
      <c r="D91" s="911">
        <v>0</v>
      </c>
      <c r="E91" s="911">
        <v>601</v>
      </c>
      <c r="F91" s="912">
        <v>1038</v>
      </c>
      <c r="G91" s="912">
        <v>1251</v>
      </c>
      <c r="H91" s="912">
        <v>1431</v>
      </c>
      <c r="I91" s="912">
        <v>1492</v>
      </c>
      <c r="J91" s="912">
        <v>1530</v>
      </c>
      <c r="K91" s="912">
        <v>1567</v>
      </c>
      <c r="L91" s="912">
        <v>1606</v>
      </c>
      <c r="M91" s="912">
        <v>2890</v>
      </c>
      <c r="N91" s="912">
        <v>10516</v>
      </c>
      <c r="O91" s="913" t="s">
        <v>1297</v>
      </c>
      <c r="P91" s="914"/>
    </row>
    <row r="92" spans="1:16" x14ac:dyDescent="0.3">
      <c r="A92" s="915" t="s">
        <v>1298</v>
      </c>
      <c r="B92" s="916" t="s">
        <v>1299</v>
      </c>
      <c r="C92" s="977">
        <v>0</v>
      </c>
      <c r="D92" s="977">
        <v>30</v>
      </c>
      <c r="E92" s="977">
        <v>120</v>
      </c>
      <c r="F92" s="977">
        <v>165</v>
      </c>
      <c r="G92" s="977">
        <v>370</v>
      </c>
      <c r="H92" s="977">
        <v>470</v>
      </c>
      <c r="I92" s="977">
        <v>420</v>
      </c>
      <c r="J92" s="977">
        <v>285</v>
      </c>
      <c r="K92" s="977">
        <v>220</v>
      </c>
      <c r="L92" s="978">
        <v>65</v>
      </c>
      <c r="M92" s="977">
        <v>685</v>
      </c>
      <c r="N92" s="917">
        <v>2145</v>
      </c>
      <c r="O92" s="918" t="s">
        <v>1300</v>
      </c>
      <c r="P92" s="919" t="s">
        <v>1301</v>
      </c>
    </row>
    <row r="93" spans="1:16" x14ac:dyDescent="0.3">
      <c r="A93" s="903" t="s">
        <v>1302</v>
      </c>
      <c r="B93" s="904" t="s">
        <v>1303</v>
      </c>
      <c r="C93" s="905">
        <v>0</v>
      </c>
      <c r="D93" s="905">
        <v>2</v>
      </c>
      <c r="E93" s="905">
        <v>10</v>
      </c>
      <c r="F93" s="905">
        <v>25</v>
      </c>
      <c r="G93" s="905">
        <v>28</v>
      </c>
      <c r="H93" s="905">
        <v>17</v>
      </c>
      <c r="I93" s="905">
        <v>11</v>
      </c>
      <c r="J93" s="905">
        <v>4</v>
      </c>
      <c r="K93" s="905">
        <v>2</v>
      </c>
      <c r="L93" s="905">
        <v>1</v>
      </c>
      <c r="M93" s="905">
        <v>65</v>
      </c>
      <c r="N93" s="905">
        <v>100</v>
      </c>
      <c r="O93" s="906" t="s">
        <v>1300</v>
      </c>
      <c r="P93" s="907" t="s">
        <v>1304</v>
      </c>
    </row>
    <row r="94" spans="1:16" ht="24" customHeight="1" x14ac:dyDescent="0.3">
      <c r="A94" s="920" t="s">
        <v>1305</v>
      </c>
      <c r="B94" s="921" t="s">
        <v>1306</v>
      </c>
      <c r="C94" s="905">
        <v>0</v>
      </c>
      <c r="D94" s="905">
        <v>36</v>
      </c>
      <c r="E94" s="905">
        <v>30</v>
      </c>
      <c r="F94" s="905">
        <v>14</v>
      </c>
      <c r="G94" s="905">
        <v>7</v>
      </c>
      <c r="H94" s="905">
        <v>0</v>
      </c>
      <c r="I94" s="905">
        <v>0</v>
      </c>
      <c r="J94" s="905">
        <v>0</v>
      </c>
      <c r="K94" s="905">
        <v>0</v>
      </c>
      <c r="L94" s="905">
        <v>0</v>
      </c>
      <c r="M94" s="905">
        <v>87</v>
      </c>
      <c r="N94" s="905">
        <v>87</v>
      </c>
      <c r="O94" s="906" t="s">
        <v>1300</v>
      </c>
      <c r="P94" s="907" t="s">
        <v>1307</v>
      </c>
    </row>
    <row r="95" spans="1:16" x14ac:dyDescent="0.3">
      <c r="A95" s="903" t="s">
        <v>1308</v>
      </c>
      <c r="B95" s="904" t="s">
        <v>1309</v>
      </c>
      <c r="C95" s="905">
        <v>0</v>
      </c>
      <c r="D95" s="922">
        <v>5240</v>
      </c>
      <c r="E95" s="922">
        <v>4175</v>
      </c>
      <c r="F95" s="922">
        <v>5215</v>
      </c>
      <c r="G95" s="922">
        <v>6493</v>
      </c>
      <c r="H95" s="922">
        <v>7982</v>
      </c>
      <c r="I95" s="922">
        <v>9820</v>
      </c>
      <c r="J95" s="922">
        <v>11813</v>
      </c>
      <c r="K95" s="922">
        <v>14269</v>
      </c>
      <c r="L95" s="922">
        <v>14605</v>
      </c>
      <c r="M95" s="922">
        <v>21123</v>
      </c>
      <c r="N95" s="922">
        <v>79612</v>
      </c>
      <c r="O95" s="923" t="s">
        <v>1300</v>
      </c>
      <c r="P95" s="907"/>
    </row>
    <row r="96" spans="1:16" x14ac:dyDescent="0.3">
      <c r="A96" s="903" t="s">
        <v>1310</v>
      </c>
      <c r="B96" s="904" t="s">
        <v>1311</v>
      </c>
      <c r="C96" s="924">
        <v>0</v>
      </c>
      <c r="D96" s="924">
        <v>55</v>
      </c>
      <c r="E96" s="924">
        <v>55</v>
      </c>
      <c r="F96" s="924">
        <v>55</v>
      </c>
      <c r="G96" s="924">
        <v>55</v>
      </c>
      <c r="H96" s="924">
        <v>55</v>
      </c>
      <c r="I96" s="924">
        <v>55</v>
      </c>
      <c r="J96" s="924">
        <v>55</v>
      </c>
      <c r="K96" s="924">
        <v>55</v>
      </c>
      <c r="L96" s="924">
        <v>55</v>
      </c>
      <c r="M96" s="924">
        <v>220</v>
      </c>
      <c r="N96" s="924">
        <v>495</v>
      </c>
      <c r="O96" s="925" t="s">
        <v>1300</v>
      </c>
      <c r="P96" s="908"/>
    </row>
    <row r="97" spans="1:16" x14ac:dyDescent="0.3">
      <c r="A97" s="903" t="s">
        <v>1312</v>
      </c>
      <c r="B97" s="904" t="s">
        <v>1313</v>
      </c>
      <c r="C97" s="905">
        <v>0</v>
      </c>
      <c r="D97" s="905">
        <v>19</v>
      </c>
      <c r="E97" s="905">
        <v>26</v>
      </c>
      <c r="F97" s="905">
        <v>27</v>
      </c>
      <c r="G97" s="905">
        <v>17</v>
      </c>
      <c r="H97" s="905">
        <v>7</v>
      </c>
      <c r="I97" s="905">
        <v>3</v>
      </c>
      <c r="J97" s="905">
        <v>1</v>
      </c>
      <c r="K97" s="905">
        <v>0</v>
      </c>
      <c r="L97" s="905">
        <v>0</v>
      </c>
      <c r="M97" s="905">
        <v>89</v>
      </c>
      <c r="N97" s="905">
        <v>100</v>
      </c>
      <c r="O97" s="923" t="s">
        <v>1300</v>
      </c>
      <c r="P97" s="908"/>
    </row>
    <row r="98" spans="1:16" x14ac:dyDescent="0.3">
      <c r="A98" s="903" t="s">
        <v>1314</v>
      </c>
      <c r="B98" s="904" t="s">
        <v>1315</v>
      </c>
      <c r="C98" s="905">
        <v>0</v>
      </c>
      <c r="D98" s="905">
        <v>15</v>
      </c>
      <c r="E98" s="905">
        <v>15</v>
      </c>
      <c r="F98" s="905">
        <v>15</v>
      </c>
      <c r="G98" s="905">
        <v>10</v>
      </c>
      <c r="H98" s="905">
        <v>10</v>
      </c>
      <c r="I98" s="905">
        <v>10</v>
      </c>
      <c r="J98" s="905">
        <v>10</v>
      </c>
      <c r="K98" s="905">
        <v>10</v>
      </c>
      <c r="L98" s="905">
        <v>5</v>
      </c>
      <c r="M98" s="905">
        <v>55</v>
      </c>
      <c r="N98" s="905">
        <v>100</v>
      </c>
      <c r="O98" s="906" t="s">
        <v>1300</v>
      </c>
      <c r="P98" s="908"/>
    </row>
    <row r="99" spans="1:16" ht="36" customHeight="1" x14ac:dyDescent="0.3">
      <c r="A99" s="903" t="s">
        <v>1316</v>
      </c>
      <c r="B99" s="904" t="s">
        <v>1317</v>
      </c>
      <c r="C99" s="926">
        <v>0</v>
      </c>
      <c r="D99" s="926">
        <v>22</v>
      </c>
      <c r="E99" s="926">
        <v>96</v>
      </c>
      <c r="F99" s="926">
        <v>170</v>
      </c>
      <c r="G99" s="926">
        <v>213</v>
      </c>
      <c r="H99" s="926">
        <v>160</v>
      </c>
      <c r="I99" s="926">
        <v>47</v>
      </c>
      <c r="J99" s="926">
        <v>2</v>
      </c>
      <c r="K99" s="926">
        <v>0</v>
      </c>
      <c r="L99" s="926">
        <v>0</v>
      </c>
      <c r="M99" s="926">
        <v>501</v>
      </c>
      <c r="N99" s="926">
        <v>710</v>
      </c>
      <c r="O99" s="905" t="s">
        <v>1300</v>
      </c>
      <c r="P99" s="908"/>
    </row>
    <row r="100" spans="1:16" ht="36" customHeight="1" x14ac:dyDescent="0.3">
      <c r="A100" s="903" t="s">
        <v>1318</v>
      </c>
      <c r="B100" s="904" t="s">
        <v>1319</v>
      </c>
      <c r="C100" s="927"/>
      <c r="D100" s="927">
        <v>90</v>
      </c>
      <c r="E100" s="927">
        <v>260</v>
      </c>
      <c r="F100" s="927">
        <v>427</v>
      </c>
      <c r="G100" s="927">
        <v>560</v>
      </c>
      <c r="H100" s="927">
        <v>572</v>
      </c>
      <c r="I100" s="927">
        <v>534</v>
      </c>
      <c r="J100" s="927">
        <v>275</v>
      </c>
      <c r="K100" s="927">
        <v>162</v>
      </c>
      <c r="L100" s="927">
        <v>70</v>
      </c>
      <c r="M100" s="927">
        <v>1347</v>
      </c>
      <c r="N100" s="927">
        <v>2960</v>
      </c>
      <c r="O100" s="928" t="s">
        <v>1300</v>
      </c>
      <c r="P100" s="908"/>
    </row>
    <row r="101" spans="1:16" x14ac:dyDescent="0.3">
      <c r="A101" s="903" t="s">
        <v>1320</v>
      </c>
      <c r="B101" s="904" t="s">
        <v>1321</v>
      </c>
      <c r="C101" s="905">
        <v>0</v>
      </c>
      <c r="D101" s="905">
        <v>40</v>
      </c>
      <c r="E101" s="905">
        <v>60</v>
      </c>
      <c r="F101" s="905">
        <v>52</v>
      </c>
      <c r="G101" s="905">
        <v>40</v>
      </c>
      <c r="H101" s="905">
        <v>27</v>
      </c>
      <c r="I101" s="905">
        <v>19</v>
      </c>
      <c r="J101" s="905">
        <v>10</v>
      </c>
      <c r="K101" s="905">
        <v>2</v>
      </c>
      <c r="L101" s="905">
        <v>0</v>
      </c>
      <c r="M101" s="905">
        <v>192</v>
      </c>
      <c r="N101" s="905">
        <v>250</v>
      </c>
      <c r="O101" s="906" t="s">
        <v>1300</v>
      </c>
      <c r="P101" s="908"/>
    </row>
    <row r="102" spans="1:16" x14ac:dyDescent="0.3">
      <c r="A102" s="920" t="s">
        <v>1322</v>
      </c>
      <c r="B102" s="921" t="s">
        <v>1323</v>
      </c>
      <c r="C102" s="905">
        <v>0</v>
      </c>
      <c r="D102" s="905">
        <v>49</v>
      </c>
      <c r="E102" s="905">
        <v>62</v>
      </c>
      <c r="F102" s="905">
        <v>62</v>
      </c>
      <c r="G102" s="905">
        <v>62</v>
      </c>
      <c r="H102" s="905">
        <v>63</v>
      </c>
      <c r="I102" s="905">
        <v>63</v>
      </c>
      <c r="J102" s="905">
        <v>63</v>
      </c>
      <c r="K102" s="905">
        <v>64</v>
      </c>
      <c r="L102" s="905">
        <v>12</v>
      </c>
      <c r="M102" s="905">
        <v>235</v>
      </c>
      <c r="N102" s="905">
        <v>500</v>
      </c>
      <c r="O102" s="906" t="s">
        <v>1300</v>
      </c>
      <c r="P102" s="908"/>
    </row>
    <row r="103" spans="1:16" x14ac:dyDescent="0.3">
      <c r="A103" s="903" t="s">
        <v>1324</v>
      </c>
      <c r="B103" s="904" t="s">
        <v>1325</v>
      </c>
      <c r="C103" s="905">
        <v>0</v>
      </c>
      <c r="D103" s="905">
        <v>0</v>
      </c>
      <c r="E103" s="905">
        <v>0</v>
      </c>
      <c r="F103" s="905">
        <v>0</v>
      </c>
      <c r="G103" s="905">
        <v>-20</v>
      </c>
      <c r="H103" s="905">
        <v>-28</v>
      </c>
      <c r="I103" s="905">
        <v>-28</v>
      </c>
      <c r="J103" s="905">
        <v>-28</v>
      </c>
      <c r="K103" s="905">
        <v>-28</v>
      </c>
      <c r="L103" s="905">
        <v>-28</v>
      </c>
      <c r="M103" s="905">
        <v>-20</v>
      </c>
      <c r="N103" s="905">
        <v>-160</v>
      </c>
      <c r="O103" s="906" t="s">
        <v>1300</v>
      </c>
      <c r="P103" s="908"/>
    </row>
    <row r="104" spans="1:16" ht="24" customHeight="1" x14ac:dyDescent="0.3">
      <c r="A104" s="903" t="s">
        <v>1326</v>
      </c>
      <c r="B104" s="904" t="s">
        <v>1327</v>
      </c>
      <c r="C104" s="905">
        <v>0</v>
      </c>
      <c r="D104" s="905">
        <v>-235</v>
      </c>
      <c r="E104" s="905">
        <v>-44</v>
      </c>
      <c r="F104" s="905">
        <v>-22</v>
      </c>
      <c r="G104" s="905">
        <v>-26</v>
      </c>
      <c r="H104" s="905">
        <v>-23</v>
      </c>
      <c r="I104" s="905">
        <v>-19</v>
      </c>
      <c r="J104" s="905">
        <v>-41</v>
      </c>
      <c r="K104" s="905">
        <v>-35</v>
      </c>
      <c r="L104" s="905">
        <v>-39</v>
      </c>
      <c r="M104" s="905">
        <v>-327</v>
      </c>
      <c r="N104" s="905">
        <v>-484</v>
      </c>
      <c r="O104" s="906" t="s">
        <v>1300</v>
      </c>
      <c r="P104" s="908"/>
    </row>
    <row r="105" spans="1:16" x14ac:dyDescent="0.3">
      <c r="A105" s="903" t="s">
        <v>1328</v>
      </c>
      <c r="B105" s="904" t="s">
        <v>1329</v>
      </c>
      <c r="C105" s="905">
        <v>0</v>
      </c>
      <c r="D105" s="905">
        <v>7</v>
      </c>
      <c r="E105" s="905">
        <v>8</v>
      </c>
      <c r="F105" s="905">
        <v>6</v>
      </c>
      <c r="G105" s="905">
        <v>2</v>
      </c>
      <c r="H105" s="905">
        <v>1</v>
      </c>
      <c r="I105" s="905">
        <v>0</v>
      </c>
      <c r="J105" s="905">
        <v>0</v>
      </c>
      <c r="K105" s="905">
        <v>0</v>
      </c>
      <c r="L105" s="905">
        <v>0</v>
      </c>
      <c r="M105" s="905">
        <v>23</v>
      </c>
      <c r="N105" s="905">
        <v>24</v>
      </c>
      <c r="O105" s="906" t="s">
        <v>1300</v>
      </c>
      <c r="P105" s="908"/>
    </row>
    <row r="106" spans="1:16" ht="36" customHeight="1" x14ac:dyDescent="0.3">
      <c r="A106" s="903" t="s">
        <v>1330</v>
      </c>
      <c r="B106" s="904" t="s">
        <v>1331</v>
      </c>
      <c r="C106" s="905">
        <v>0</v>
      </c>
      <c r="D106" s="905">
        <v>50</v>
      </c>
      <c r="E106" s="905">
        <v>77</v>
      </c>
      <c r="F106" s="905">
        <v>87</v>
      </c>
      <c r="G106" s="905">
        <v>81</v>
      </c>
      <c r="H106" s="905">
        <v>50</v>
      </c>
      <c r="I106" s="905">
        <v>30</v>
      </c>
      <c r="J106" s="905">
        <v>10</v>
      </c>
      <c r="K106" s="905">
        <v>0</v>
      </c>
      <c r="L106" s="905">
        <v>0</v>
      </c>
      <c r="M106" s="905">
        <v>295</v>
      </c>
      <c r="N106" s="905">
        <v>385</v>
      </c>
      <c r="O106" s="906" t="s">
        <v>1300</v>
      </c>
      <c r="P106" s="908"/>
    </row>
    <row r="107" spans="1:16" x14ac:dyDescent="0.3">
      <c r="A107" s="920" t="s">
        <v>1332</v>
      </c>
      <c r="B107" s="921" t="s">
        <v>1333</v>
      </c>
      <c r="C107" s="905">
        <v>0</v>
      </c>
      <c r="D107" s="905">
        <v>3</v>
      </c>
      <c r="E107" s="905">
        <v>2</v>
      </c>
      <c r="F107" s="905">
        <v>0</v>
      </c>
      <c r="G107" s="905">
        <v>0</v>
      </c>
      <c r="H107" s="905">
        <v>0</v>
      </c>
      <c r="I107" s="905">
        <v>0</v>
      </c>
      <c r="J107" s="905">
        <v>0</v>
      </c>
      <c r="K107" s="905">
        <v>0</v>
      </c>
      <c r="L107" s="905">
        <v>0</v>
      </c>
      <c r="M107" s="905">
        <v>5</v>
      </c>
      <c r="N107" s="905">
        <v>5</v>
      </c>
      <c r="O107" s="906" t="s">
        <v>1334</v>
      </c>
      <c r="P107" s="908"/>
    </row>
    <row r="108" spans="1:16" x14ac:dyDescent="0.3">
      <c r="A108" s="920" t="s">
        <v>1335</v>
      </c>
      <c r="B108" s="921" t="s">
        <v>1336</v>
      </c>
      <c r="C108" s="905">
        <v>0</v>
      </c>
      <c r="D108" s="905">
        <v>70</v>
      </c>
      <c r="E108" s="905">
        <v>80</v>
      </c>
      <c r="F108" s="905">
        <v>62</v>
      </c>
      <c r="G108" s="905">
        <v>25</v>
      </c>
      <c r="H108" s="905">
        <v>13</v>
      </c>
      <c r="I108" s="905">
        <v>0</v>
      </c>
      <c r="J108" s="905">
        <v>0</v>
      </c>
      <c r="K108" s="905">
        <v>0</v>
      </c>
      <c r="L108" s="905">
        <v>0</v>
      </c>
      <c r="M108" s="905">
        <v>237</v>
      </c>
      <c r="N108" s="905">
        <v>250</v>
      </c>
      <c r="O108" s="906" t="s">
        <v>1334</v>
      </c>
      <c r="P108" s="908"/>
    </row>
    <row r="109" spans="1:16" ht="24" customHeight="1" x14ac:dyDescent="0.3">
      <c r="A109" s="920" t="s">
        <v>1337</v>
      </c>
      <c r="B109" s="921" t="s">
        <v>1338</v>
      </c>
      <c r="C109" s="924">
        <v>0</v>
      </c>
      <c r="D109" s="924">
        <v>33</v>
      </c>
      <c r="E109" s="924">
        <v>54</v>
      </c>
      <c r="F109" s="924">
        <v>37</v>
      </c>
      <c r="G109" s="924">
        <v>16</v>
      </c>
      <c r="H109" s="924">
        <v>0</v>
      </c>
      <c r="I109" s="924">
        <v>0</v>
      </c>
      <c r="J109" s="924">
        <v>0</v>
      </c>
      <c r="K109" s="924">
        <v>0</v>
      </c>
      <c r="L109" s="924">
        <v>0</v>
      </c>
      <c r="M109" s="924">
        <v>140</v>
      </c>
      <c r="N109" s="924">
        <v>140</v>
      </c>
      <c r="O109" s="906" t="s">
        <v>1300</v>
      </c>
      <c r="P109" s="908"/>
    </row>
    <row r="110" spans="1:16" x14ac:dyDescent="0.3">
      <c r="A110" s="903" t="s">
        <v>1339</v>
      </c>
      <c r="B110" s="904" t="s">
        <v>1340</v>
      </c>
      <c r="C110" s="905">
        <v>0</v>
      </c>
      <c r="D110" s="905">
        <v>40</v>
      </c>
      <c r="E110" s="905">
        <v>40</v>
      </c>
      <c r="F110" s="905">
        <v>30</v>
      </c>
      <c r="G110" s="905">
        <v>10</v>
      </c>
      <c r="H110" s="905">
        <v>5</v>
      </c>
      <c r="I110" s="905">
        <v>0</v>
      </c>
      <c r="J110" s="905">
        <v>0</v>
      </c>
      <c r="K110" s="905">
        <v>0</v>
      </c>
      <c r="L110" s="905">
        <v>0</v>
      </c>
      <c r="M110" s="905">
        <v>120</v>
      </c>
      <c r="N110" s="905">
        <v>125</v>
      </c>
      <c r="O110" s="906" t="s">
        <v>1300</v>
      </c>
      <c r="P110" s="908"/>
    </row>
    <row r="111" spans="1:16" x14ac:dyDescent="0.3">
      <c r="A111" s="920" t="s">
        <v>1341</v>
      </c>
      <c r="B111" s="904" t="s">
        <v>1342</v>
      </c>
      <c r="C111" s="905">
        <v>0</v>
      </c>
      <c r="D111" s="905">
        <v>5</v>
      </c>
      <c r="E111" s="905">
        <v>8</v>
      </c>
      <c r="F111" s="905">
        <v>8</v>
      </c>
      <c r="G111" s="905">
        <v>8</v>
      </c>
      <c r="H111" s="905">
        <v>4</v>
      </c>
      <c r="I111" s="905">
        <v>0</v>
      </c>
      <c r="J111" s="905">
        <v>0</v>
      </c>
      <c r="K111" s="905">
        <v>0</v>
      </c>
      <c r="L111" s="905">
        <v>0</v>
      </c>
      <c r="M111" s="905">
        <v>29</v>
      </c>
      <c r="N111" s="905">
        <v>33</v>
      </c>
      <c r="O111" s="906" t="s">
        <v>1300</v>
      </c>
      <c r="P111" s="908"/>
    </row>
    <row r="112" spans="1:16" x14ac:dyDescent="0.3">
      <c r="A112" s="903" t="s">
        <v>1343</v>
      </c>
      <c r="B112" s="921" t="s">
        <v>1344</v>
      </c>
      <c r="C112" s="905">
        <v>0</v>
      </c>
      <c r="D112" s="905">
        <v>3</v>
      </c>
      <c r="E112" s="905">
        <v>8</v>
      </c>
      <c r="F112" s="905">
        <v>8</v>
      </c>
      <c r="G112" s="905">
        <v>8</v>
      </c>
      <c r="H112" s="905">
        <v>3</v>
      </c>
      <c r="I112" s="905">
        <v>0</v>
      </c>
      <c r="J112" s="905">
        <v>0</v>
      </c>
      <c r="K112" s="905">
        <v>0</v>
      </c>
      <c r="L112" s="905">
        <v>0</v>
      </c>
      <c r="M112" s="905">
        <v>27</v>
      </c>
      <c r="N112" s="905">
        <v>30</v>
      </c>
      <c r="O112" s="906" t="s">
        <v>1300</v>
      </c>
      <c r="P112" s="908"/>
    </row>
    <row r="113" spans="1:16" ht="24" customHeight="1" x14ac:dyDescent="0.3">
      <c r="A113" s="903" t="s">
        <v>1345</v>
      </c>
      <c r="B113" s="904" t="s">
        <v>1346</v>
      </c>
      <c r="C113" s="924">
        <v>0</v>
      </c>
      <c r="D113" s="924">
        <v>165</v>
      </c>
      <c r="E113" s="924">
        <v>165</v>
      </c>
      <c r="F113" s="924">
        <v>230</v>
      </c>
      <c r="G113" s="924">
        <v>340</v>
      </c>
      <c r="H113" s="924">
        <v>490</v>
      </c>
      <c r="I113" s="924">
        <v>540</v>
      </c>
      <c r="J113" s="924">
        <v>640</v>
      </c>
      <c r="K113" s="924">
        <v>475</v>
      </c>
      <c r="L113" s="924">
        <v>330</v>
      </c>
      <c r="M113" s="924">
        <v>900</v>
      </c>
      <c r="N113" s="924">
        <v>3375</v>
      </c>
      <c r="O113" s="923" t="s">
        <v>1300</v>
      </c>
      <c r="P113" s="908"/>
    </row>
    <row r="114" spans="1:16" ht="24" customHeight="1" x14ac:dyDescent="0.3">
      <c r="A114" s="929" t="s">
        <v>1316</v>
      </c>
      <c r="B114" s="930" t="s">
        <v>1347</v>
      </c>
      <c r="C114" s="905">
        <v>0</v>
      </c>
      <c r="D114" s="905">
        <v>195</v>
      </c>
      <c r="E114" s="905">
        <v>448</v>
      </c>
      <c r="F114" s="905">
        <v>641</v>
      </c>
      <c r="G114" s="905">
        <v>716</v>
      </c>
      <c r="H114" s="905">
        <v>681</v>
      </c>
      <c r="I114" s="905">
        <v>528</v>
      </c>
      <c r="J114" s="905">
        <v>421</v>
      </c>
      <c r="K114" s="905">
        <v>323</v>
      </c>
      <c r="L114" s="905">
        <v>23</v>
      </c>
      <c r="M114" s="922">
        <v>2000</v>
      </c>
      <c r="N114" s="922">
        <v>3976</v>
      </c>
      <c r="O114" s="923" t="s">
        <v>1300</v>
      </c>
      <c r="P114" s="931"/>
    </row>
    <row r="115" spans="1:16" ht="30" customHeight="1" x14ac:dyDescent="0.3">
      <c r="A115" s="915" t="s">
        <v>1348</v>
      </c>
      <c r="B115" s="916" t="s">
        <v>1349</v>
      </c>
      <c r="C115" s="932">
        <v>0</v>
      </c>
      <c r="D115" s="932">
        <v>20</v>
      </c>
      <c r="E115" s="932">
        <v>57</v>
      </c>
      <c r="F115" s="932">
        <v>96</v>
      </c>
      <c r="G115" s="932">
        <v>150</v>
      </c>
      <c r="H115" s="932">
        <v>200</v>
      </c>
      <c r="I115" s="932">
        <v>185</v>
      </c>
      <c r="J115" s="932">
        <v>147</v>
      </c>
      <c r="K115" s="932">
        <v>106</v>
      </c>
      <c r="L115" s="932">
        <v>39</v>
      </c>
      <c r="M115" s="932">
        <v>323</v>
      </c>
      <c r="N115" s="933">
        <v>1000</v>
      </c>
      <c r="O115" s="934" t="s">
        <v>1350</v>
      </c>
      <c r="P115" s="935" t="s">
        <v>1351</v>
      </c>
    </row>
    <row r="116" spans="1:16" x14ac:dyDescent="0.3">
      <c r="A116" s="920" t="s">
        <v>1352</v>
      </c>
      <c r="B116" s="904" t="s">
        <v>1353</v>
      </c>
      <c r="C116" s="905">
        <v>0</v>
      </c>
      <c r="D116" s="905">
        <v>15</v>
      </c>
      <c r="E116" s="905">
        <v>53</v>
      </c>
      <c r="F116" s="905">
        <v>57</v>
      </c>
      <c r="G116" s="905">
        <v>48</v>
      </c>
      <c r="H116" s="905">
        <v>43</v>
      </c>
      <c r="I116" s="905">
        <v>17</v>
      </c>
      <c r="J116" s="905">
        <v>2</v>
      </c>
      <c r="K116" s="905">
        <v>0</v>
      </c>
      <c r="L116" s="905">
        <v>0</v>
      </c>
      <c r="M116" s="905">
        <v>173</v>
      </c>
      <c r="N116" s="905">
        <v>235</v>
      </c>
      <c r="O116" s="906" t="s">
        <v>1354</v>
      </c>
      <c r="P116" s="907" t="s">
        <v>1355</v>
      </c>
    </row>
    <row r="117" spans="1:16" x14ac:dyDescent="0.3">
      <c r="A117" s="903" t="s">
        <v>1356</v>
      </c>
      <c r="B117" s="904" t="s">
        <v>1357</v>
      </c>
      <c r="C117" s="905">
        <v>0</v>
      </c>
      <c r="D117" s="905">
        <v>15</v>
      </c>
      <c r="E117" s="905">
        <v>53</v>
      </c>
      <c r="F117" s="905">
        <v>57</v>
      </c>
      <c r="G117" s="905">
        <v>48</v>
      </c>
      <c r="H117" s="905">
        <v>43</v>
      </c>
      <c r="I117" s="905">
        <v>17</v>
      </c>
      <c r="J117" s="905">
        <v>2</v>
      </c>
      <c r="K117" s="905">
        <v>0</v>
      </c>
      <c r="L117" s="905">
        <v>0</v>
      </c>
      <c r="M117" s="905">
        <v>173</v>
      </c>
      <c r="N117" s="905">
        <v>235</v>
      </c>
      <c r="O117" s="906" t="s">
        <v>1354</v>
      </c>
      <c r="P117" s="907" t="s">
        <v>1355</v>
      </c>
    </row>
    <row r="118" spans="1:16" x14ac:dyDescent="0.3">
      <c r="A118" s="920" t="s">
        <v>1358</v>
      </c>
      <c r="B118" s="921" t="s">
        <v>1359</v>
      </c>
      <c r="C118" s="905">
        <v>0</v>
      </c>
      <c r="D118" s="905">
        <v>42</v>
      </c>
      <c r="E118" s="905">
        <v>18</v>
      </c>
      <c r="F118" s="905">
        <v>0</v>
      </c>
      <c r="G118" s="905">
        <v>0</v>
      </c>
      <c r="H118" s="905">
        <v>0</v>
      </c>
      <c r="I118" s="905">
        <v>0</v>
      </c>
      <c r="J118" s="905">
        <v>0</v>
      </c>
      <c r="K118" s="905">
        <v>0</v>
      </c>
      <c r="L118" s="905">
        <v>0</v>
      </c>
      <c r="M118" s="905">
        <v>60</v>
      </c>
      <c r="N118" s="905">
        <v>60</v>
      </c>
      <c r="O118" s="906" t="s">
        <v>1350</v>
      </c>
      <c r="P118" s="908" t="s">
        <v>1360</v>
      </c>
    </row>
    <row r="119" spans="1:16" x14ac:dyDescent="0.3">
      <c r="A119" s="903" t="s">
        <v>1361</v>
      </c>
      <c r="B119" s="904" t="s">
        <v>1362</v>
      </c>
      <c r="C119" s="905">
        <v>0</v>
      </c>
      <c r="D119" s="905">
        <v>2</v>
      </c>
      <c r="E119" s="905">
        <v>13</v>
      </c>
      <c r="F119" s="905">
        <v>26</v>
      </c>
      <c r="G119" s="905">
        <v>30</v>
      </c>
      <c r="H119" s="905">
        <v>24</v>
      </c>
      <c r="I119" s="905">
        <v>0</v>
      </c>
      <c r="J119" s="905">
        <v>0</v>
      </c>
      <c r="K119" s="905">
        <v>0</v>
      </c>
      <c r="L119" s="905">
        <v>0</v>
      </c>
      <c r="M119" s="905">
        <v>71</v>
      </c>
      <c r="N119" s="905">
        <v>95</v>
      </c>
      <c r="O119" s="906" t="s">
        <v>1350</v>
      </c>
      <c r="P119" s="907" t="s">
        <v>1363</v>
      </c>
    </row>
    <row r="120" spans="1:16" ht="36" customHeight="1" x14ac:dyDescent="0.3">
      <c r="A120" s="903" t="s">
        <v>1364</v>
      </c>
      <c r="B120" s="904" t="s">
        <v>1365</v>
      </c>
      <c r="C120" s="905">
        <v>0</v>
      </c>
      <c r="D120" s="905">
        <v>3</v>
      </c>
      <c r="E120" s="905">
        <v>19</v>
      </c>
      <c r="F120" s="905">
        <v>67</v>
      </c>
      <c r="G120" s="905">
        <v>86</v>
      </c>
      <c r="H120" s="905">
        <v>59</v>
      </c>
      <c r="I120" s="905">
        <v>35</v>
      </c>
      <c r="J120" s="905">
        <v>19</v>
      </c>
      <c r="K120" s="905">
        <v>6</v>
      </c>
      <c r="L120" s="905">
        <v>0</v>
      </c>
      <c r="M120" s="905">
        <v>175</v>
      </c>
      <c r="N120" s="905">
        <v>294</v>
      </c>
      <c r="O120" s="906" t="s">
        <v>1350</v>
      </c>
      <c r="P120" s="931" t="s">
        <v>1366</v>
      </c>
    </row>
    <row r="121" spans="1:16" x14ac:dyDescent="0.3">
      <c r="A121" s="903" t="s">
        <v>1367</v>
      </c>
      <c r="B121" s="904" t="s">
        <v>1368</v>
      </c>
      <c r="C121" s="905">
        <v>0</v>
      </c>
      <c r="D121" s="905">
        <v>65</v>
      </c>
      <c r="E121" s="905">
        <v>150</v>
      </c>
      <c r="F121" s="905">
        <v>290</v>
      </c>
      <c r="G121" s="905">
        <v>290</v>
      </c>
      <c r="H121" s="905">
        <v>290</v>
      </c>
      <c r="I121" s="905">
        <v>285</v>
      </c>
      <c r="J121" s="905">
        <v>250</v>
      </c>
      <c r="K121" s="905">
        <v>220</v>
      </c>
      <c r="L121" s="905">
        <v>160</v>
      </c>
      <c r="M121" s="905">
        <v>795</v>
      </c>
      <c r="N121" s="922">
        <v>2000</v>
      </c>
      <c r="O121" s="906" t="s">
        <v>1350</v>
      </c>
      <c r="P121" s="908"/>
    </row>
    <row r="122" spans="1:16" x14ac:dyDescent="0.3">
      <c r="A122" s="903" t="s">
        <v>1369</v>
      </c>
      <c r="B122" s="904" t="s">
        <v>1370</v>
      </c>
      <c r="C122" s="905">
        <v>0</v>
      </c>
      <c r="D122" s="905">
        <v>5</v>
      </c>
      <c r="E122" s="905">
        <v>20</v>
      </c>
      <c r="F122" s="905">
        <v>65</v>
      </c>
      <c r="G122" s="905">
        <v>105</v>
      </c>
      <c r="H122" s="905">
        <v>140</v>
      </c>
      <c r="I122" s="905">
        <v>175</v>
      </c>
      <c r="J122" s="905">
        <v>210</v>
      </c>
      <c r="K122" s="905">
        <v>150</v>
      </c>
      <c r="L122" s="905">
        <v>35</v>
      </c>
      <c r="M122" s="905">
        <v>195</v>
      </c>
      <c r="N122" s="905">
        <v>905</v>
      </c>
      <c r="O122" s="936" t="s">
        <v>1350</v>
      </c>
      <c r="P122" s="937"/>
    </row>
    <row r="123" spans="1:16" x14ac:dyDescent="0.3">
      <c r="A123" s="903" t="s">
        <v>1371</v>
      </c>
      <c r="B123" s="904" t="s">
        <v>1372</v>
      </c>
      <c r="C123" s="905">
        <v>0</v>
      </c>
      <c r="D123" s="905">
        <v>10</v>
      </c>
      <c r="E123" s="905">
        <v>150</v>
      </c>
      <c r="F123" s="905">
        <v>300</v>
      </c>
      <c r="G123" s="905">
        <v>590</v>
      </c>
      <c r="H123" s="905">
        <v>460</v>
      </c>
      <c r="I123" s="905">
        <v>295</v>
      </c>
      <c r="J123" s="905">
        <v>195</v>
      </c>
      <c r="K123" s="905">
        <v>0</v>
      </c>
      <c r="L123" s="905">
        <v>0</v>
      </c>
      <c r="M123" s="922">
        <v>1050</v>
      </c>
      <c r="N123" s="922">
        <v>2000</v>
      </c>
      <c r="O123" s="906" t="s">
        <v>1350</v>
      </c>
      <c r="P123" s="908"/>
    </row>
    <row r="124" spans="1:16" x14ac:dyDescent="0.3">
      <c r="A124" s="903" t="s">
        <v>1373</v>
      </c>
      <c r="B124" s="904" t="s">
        <v>1374</v>
      </c>
      <c r="C124" s="905"/>
      <c r="D124" s="905"/>
      <c r="E124" s="905"/>
      <c r="F124" s="905"/>
      <c r="G124" s="905"/>
      <c r="H124" s="905"/>
      <c r="I124" s="905"/>
      <c r="J124" s="905"/>
      <c r="K124" s="905"/>
      <c r="L124" s="905"/>
      <c r="M124" s="905"/>
      <c r="N124" s="905"/>
      <c r="O124" s="906"/>
      <c r="P124" s="908"/>
    </row>
    <row r="125" spans="1:16" ht="24" customHeight="1" x14ac:dyDescent="0.3">
      <c r="A125" s="920" t="s">
        <v>1375</v>
      </c>
      <c r="B125" s="921" t="s">
        <v>1376</v>
      </c>
      <c r="C125" s="924">
        <v>0</v>
      </c>
      <c r="D125" s="924">
        <v>72</v>
      </c>
      <c r="E125" s="924">
        <v>123</v>
      </c>
      <c r="F125" s="924">
        <v>122</v>
      </c>
      <c r="G125" s="924">
        <v>115</v>
      </c>
      <c r="H125" s="924">
        <v>55</v>
      </c>
      <c r="I125" s="924">
        <v>55</v>
      </c>
      <c r="J125" s="924">
        <v>33</v>
      </c>
      <c r="K125" s="924">
        <v>0</v>
      </c>
      <c r="L125" s="924">
        <v>0</v>
      </c>
      <c r="M125" s="924">
        <v>432</v>
      </c>
      <c r="N125" s="924">
        <v>575</v>
      </c>
      <c r="O125" s="905" t="s">
        <v>1350</v>
      </c>
      <c r="P125" s="908"/>
    </row>
    <row r="126" spans="1:16" x14ac:dyDescent="0.3">
      <c r="A126" s="903" t="s">
        <v>1377</v>
      </c>
      <c r="B126" s="904" t="s">
        <v>1378</v>
      </c>
      <c r="C126" s="905">
        <v>0</v>
      </c>
      <c r="D126" s="905">
        <v>1</v>
      </c>
      <c r="E126" s="905">
        <v>2</v>
      </c>
      <c r="F126" s="905">
        <v>2</v>
      </c>
      <c r="G126" s="905">
        <v>2</v>
      </c>
      <c r="H126" s="905">
        <v>2</v>
      </c>
      <c r="I126" s="905">
        <v>2</v>
      </c>
      <c r="J126" s="905">
        <v>2</v>
      </c>
      <c r="K126" s="905">
        <v>2</v>
      </c>
      <c r="L126" s="905">
        <v>1</v>
      </c>
      <c r="M126" s="905">
        <v>7</v>
      </c>
      <c r="N126" s="905">
        <v>16</v>
      </c>
      <c r="O126" s="906" t="s">
        <v>1350</v>
      </c>
      <c r="P126" s="908"/>
    </row>
    <row r="127" spans="1:16" x14ac:dyDescent="0.3">
      <c r="A127" s="903" t="s">
        <v>1379</v>
      </c>
      <c r="B127" s="904" t="s">
        <v>1380</v>
      </c>
      <c r="C127" s="905">
        <v>0</v>
      </c>
      <c r="D127" s="905">
        <v>49</v>
      </c>
      <c r="E127" s="905">
        <v>190</v>
      </c>
      <c r="F127" s="905">
        <v>379</v>
      </c>
      <c r="G127" s="905">
        <v>531</v>
      </c>
      <c r="H127" s="905">
        <v>619</v>
      </c>
      <c r="I127" s="905">
        <v>580</v>
      </c>
      <c r="J127" s="905">
        <v>387</v>
      </c>
      <c r="K127" s="905">
        <v>196</v>
      </c>
      <c r="L127" s="905">
        <v>69</v>
      </c>
      <c r="M127" s="922">
        <v>1149</v>
      </c>
      <c r="N127" s="922">
        <v>3000</v>
      </c>
      <c r="O127" s="906" t="s">
        <v>1350</v>
      </c>
      <c r="P127" s="908"/>
    </row>
    <row r="128" spans="1:16" x14ac:dyDescent="0.3">
      <c r="A128" s="920" t="s">
        <v>1381</v>
      </c>
      <c r="B128" s="921" t="s">
        <v>1382</v>
      </c>
      <c r="C128" s="905">
        <v>0</v>
      </c>
      <c r="D128" s="905">
        <v>22</v>
      </c>
      <c r="E128" s="905">
        <v>22</v>
      </c>
      <c r="F128" s="905">
        <v>6</v>
      </c>
      <c r="G128" s="905">
        <v>0</v>
      </c>
      <c r="H128" s="905">
        <v>0</v>
      </c>
      <c r="I128" s="905">
        <v>0</v>
      </c>
      <c r="J128" s="905">
        <v>0</v>
      </c>
      <c r="K128" s="905">
        <v>0</v>
      </c>
      <c r="L128" s="905">
        <v>0</v>
      </c>
      <c r="M128" s="905">
        <v>50</v>
      </c>
      <c r="N128" s="905">
        <v>50</v>
      </c>
      <c r="O128" s="906" t="s">
        <v>1350</v>
      </c>
      <c r="P128" s="907"/>
    </row>
    <row r="129" spans="1:16" x14ac:dyDescent="0.3">
      <c r="A129" s="903" t="s">
        <v>1383</v>
      </c>
      <c r="B129" s="904" t="s">
        <v>1384</v>
      </c>
      <c r="C129" s="905">
        <v>0</v>
      </c>
      <c r="D129" s="905">
        <v>30</v>
      </c>
      <c r="E129" s="905">
        <v>30</v>
      </c>
      <c r="F129" s="905">
        <v>40</v>
      </c>
      <c r="G129" s="905">
        <v>15</v>
      </c>
      <c r="H129" s="905">
        <v>5</v>
      </c>
      <c r="I129" s="905">
        <v>5</v>
      </c>
      <c r="J129" s="905">
        <v>0</v>
      </c>
      <c r="K129" s="905">
        <v>0</v>
      </c>
      <c r="L129" s="905">
        <v>0</v>
      </c>
      <c r="M129" s="905">
        <v>115</v>
      </c>
      <c r="N129" s="905">
        <v>125</v>
      </c>
      <c r="O129" s="906" t="s">
        <v>1350</v>
      </c>
      <c r="P129" s="908"/>
    </row>
    <row r="130" spans="1:16" x14ac:dyDescent="0.3">
      <c r="A130" s="903" t="s">
        <v>1385</v>
      </c>
      <c r="B130" s="904" t="s">
        <v>1386</v>
      </c>
      <c r="C130" s="905">
        <v>0</v>
      </c>
      <c r="D130" s="905">
        <v>10</v>
      </c>
      <c r="E130" s="905">
        <v>230</v>
      </c>
      <c r="F130" s="905">
        <v>660</v>
      </c>
      <c r="G130" s="905">
        <v>945</v>
      </c>
      <c r="H130" s="905">
        <v>605</v>
      </c>
      <c r="I130" s="905">
        <v>100</v>
      </c>
      <c r="J130" s="905">
        <v>0</v>
      </c>
      <c r="K130" s="905">
        <v>0</v>
      </c>
      <c r="L130" s="905">
        <v>0</v>
      </c>
      <c r="M130" s="922">
        <v>1845</v>
      </c>
      <c r="N130" s="922">
        <v>2550</v>
      </c>
      <c r="O130" s="906" t="s">
        <v>1350</v>
      </c>
      <c r="P130" s="908"/>
    </row>
    <row r="131" spans="1:16" x14ac:dyDescent="0.3">
      <c r="A131" s="903" t="s">
        <v>1387</v>
      </c>
      <c r="B131" s="904" t="s">
        <v>1388</v>
      </c>
      <c r="C131" s="905">
        <v>0</v>
      </c>
      <c r="D131" s="905">
        <v>10</v>
      </c>
      <c r="E131" s="905">
        <v>45</v>
      </c>
      <c r="F131" s="905">
        <v>70</v>
      </c>
      <c r="G131" s="905">
        <v>100</v>
      </c>
      <c r="H131" s="905">
        <v>100</v>
      </c>
      <c r="I131" s="905">
        <v>100</v>
      </c>
      <c r="J131" s="905">
        <v>100</v>
      </c>
      <c r="K131" s="905">
        <v>100</v>
      </c>
      <c r="L131" s="905">
        <v>100</v>
      </c>
      <c r="M131" s="905">
        <v>225</v>
      </c>
      <c r="N131" s="905">
        <v>725</v>
      </c>
      <c r="O131" s="906" t="s">
        <v>1350</v>
      </c>
      <c r="P131" s="908"/>
    </row>
    <row r="132" spans="1:16" x14ac:dyDescent="0.3">
      <c r="A132" s="920" t="s">
        <v>1389</v>
      </c>
      <c r="B132" s="921" t="s">
        <v>1390</v>
      </c>
      <c r="C132" s="905">
        <v>0</v>
      </c>
      <c r="D132" s="905">
        <v>14</v>
      </c>
      <c r="E132" s="905">
        <v>11</v>
      </c>
      <c r="F132" s="905">
        <v>0</v>
      </c>
      <c r="G132" s="905">
        <v>0</v>
      </c>
      <c r="H132" s="905">
        <v>0</v>
      </c>
      <c r="I132" s="905">
        <v>0</v>
      </c>
      <c r="J132" s="905">
        <v>0</v>
      </c>
      <c r="K132" s="905">
        <v>0</v>
      </c>
      <c r="L132" s="905">
        <v>0</v>
      </c>
      <c r="M132" s="905">
        <v>25</v>
      </c>
      <c r="N132" s="905">
        <v>25</v>
      </c>
      <c r="O132" s="906" t="s">
        <v>1354</v>
      </c>
      <c r="P132" s="907"/>
    </row>
    <row r="133" spans="1:16" x14ac:dyDescent="0.3">
      <c r="A133" s="920" t="s">
        <v>1391</v>
      </c>
      <c r="B133" s="921" t="s">
        <v>1392</v>
      </c>
      <c r="C133" s="905">
        <v>0</v>
      </c>
      <c r="D133" s="905">
        <v>84</v>
      </c>
      <c r="E133" s="905">
        <v>320</v>
      </c>
      <c r="F133" s="905">
        <v>638</v>
      </c>
      <c r="G133" s="905">
        <v>928</v>
      </c>
      <c r="H133" s="905">
        <v>940</v>
      </c>
      <c r="I133" s="905">
        <v>720</v>
      </c>
      <c r="J133" s="905">
        <v>300</v>
      </c>
      <c r="K133" s="905">
        <v>120</v>
      </c>
      <c r="L133" s="905">
        <v>0</v>
      </c>
      <c r="M133" s="922">
        <v>1970</v>
      </c>
      <c r="N133" s="922">
        <v>4050</v>
      </c>
      <c r="O133" s="906" t="s">
        <v>1354</v>
      </c>
      <c r="P133" s="908"/>
    </row>
    <row r="134" spans="1:16" x14ac:dyDescent="0.3">
      <c r="A134" s="903" t="s">
        <v>1393</v>
      </c>
      <c r="B134" s="904" t="s">
        <v>1394</v>
      </c>
      <c r="C134" s="905">
        <v>0</v>
      </c>
      <c r="D134" s="905">
        <v>40</v>
      </c>
      <c r="E134" s="905">
        <v>200</v>
      </c>
      <c r="F134" s="905">
        <v>400</v>
      </c>
      <c r="G134" s="905">
        <v>660</v>
      </c>
      <c r="H134" s="905">
        <v>640</v>
      </c>
      <c r="I134" s="905">
        <v>515</v>
      </c>
      <c r="J134" s="905">
        <v>240</v>
      </c>
      <c r="K134" s="905">
        <v>105</v>
      </c>
      <c r="L134" s="905">
        <v>0</v>
      </c>
      <c r="M134" s="922">
        <v>1300</v>
      </c>
      <c r="N134" s="922">
        <v>2800</v>
      </c>
      <c r="O134" s="906" t="s">
        <v>1354</v>
      </c>
      <c r="P134" s="908"/>
    </row>
    <row r="135" spans="1:16" x14ac:dyDescent="0.3">
      <c r="A135" s="903" t="s">
        <v>1395</v>
      </c>
      <c r="B135" s="904" t="s">
        <v>1396</v>
      </c>
      <c r="C135" s="938">
        <v>0</v>
      </c>
      <c r="D135" s="938">
        <v>138</v>
      </c>
      <c r="E135" s="938">
        <v>566</v>
      </c>
      <c r="F135" s="938">
        <v>994</v>
      </c>
      <c r="G135" s="939">
        <v>1328</v>
      </c>
      <c r="H135" s="939">
        <v>1791</v>
      </c>
      <c r="I135" s="939">
        <v>2350</v>
      </c>
      <c r="J135" s="939">
        <v>2928</v>
      </c>
      <c r="K135" s="939">
        <v>3548</v>
      </c>
      <c r="L135" s="939">
        <v>4162</v>
      </c>
      <c r="M135" s="939">
        <v>3026</v>
      </c>
      <c r="N135" s="939">
        <v>17805</v>
      </c>
      <c r="O135" s="940" t="s">
        <v>54</v>
      </c>
      <c r="P135" s="941"/>
    </row>
    <row r="136" spans="1:16" x14ac:dyDescent="0.3">
      <c r="A136" s="903" t="s">
        <v>1397</v>
      </c>
      <c r="B136" s="904" t="s">
        <v>1398</v>
      </c>
      <c r="C136" s="938">
        <v>0</v>
      </c>
      <c r="D136" s="938">
        <v>0</v>
      </c>
      <c r="E136" s="938">
        <v>235</v>
      </c>
      <c r="F136" s="938">
        <v>317</v>
      </c>
      <c r="G136" s="938">
        <v>304</v>
      </c>
      <c r="H136" s="938">
        <v>314</v>
      </c>
      <c r="I136" s="938">
        <v>324</v>
      </c>
      <c r="J136" s="938">
        <v>335</v>
      </c>
      <c r="K136" s="938">
        <v>346</v>
      </c>
      <c r="L136" s="938">
        <v>359</v>
      </c>
      <c r="M136" s="938">
        <v>856</v>
      </c>
      <c r="N136" s="939">
        <v>2534</v>
      </c>
      <c r="O136" s="940" t="s">
        <v>54</v>
      </c>
      <c r="P136" s="908"/>
    </row>
    <row r="137" spans="1:16" ht="24" customHeight="1" x14ac:dyDescent="0.3">
      <c r="A137" s="903" t="s">
        <v>1399</v>
      </c>
      <c r="B137" s="904" t="s">
        <v>1400</v>
      </c>
      <c r="C137" s="942"/>
      <c r="D137" s="942">
        <v>333</v>
      </c>
      <c r="E137" s="942">
        <v>314</v>
      </c>
      <c r="F137" s="942">
        <v>314</v>
      </c>
      <c r="G137" s="942">
        <v>-4530</v>
      </c>
      <c r="H137" s="942">
        <v>-9118</v>
      </c>
      <c r="I137" s="942">
        <v>-18184</v>
      </c>
      <c r="J137" s="942">
        <v>-20493</v>
      </c>
      <c r="K137" s="942">
        <v>-23289</v>
      </c>
      <c r="L137" s="942">
        <v>-24298</v>
      </c>
      <c r="M137" s="942">
        <v>-569</v>
      </c>
      <c r="N137" s="942">
        <v>-95951</v>
      </c>
      <c r="O137" s="943" t="s">
        <v>55</v>
      </c>
      <c r="P137" s="944"/>
    </row>
    <row r="138" spans="1:16" ht="36" customHeight="1" x14ac:dyDescent="0.3">
      <c r="A138" s="903" t="s">
        <v>1395</v>
      </c>
      <c r="B138" s="904" t="s">
        <v>1401</v>
      </c>
      <c r="C138" s="945">
        <v>0</v>
      </c>
      <c r="D138" s="945">
        <v>-2447</v>
      </c>
      <c r="E138" s="945">
        <v>-3716</v>
      </c>
      <c r="F138" s="945">
        <v>-19171</v>
      </c>
      <c r="G138" s="945">
        <v>-7014</v>
      </c>
      <c r="H138" s="945">
        <v>-7706</v>
      </c>
      <c r="I138" s="945">
        <v>-8497</v>
      </c>
      <c r="J138" s="945">
        <v>-9360</v>
      </c>
      <c r="K138" s="945">
        <v>-10602</v>
      </c>
      <c r="L138" s="945">
        <v>-11603</v>
      </c>
      <c r="M138" s="945">
        <v>-32348</v>
      </c>
      <c r="N138" s="945">
        <v>-80116</v>
      </c>
      <c r="O138" s="943" t="s">
        <v>55</v>
      </c>
      <c r="P138" s="908"/>
    </row>
    <row r="139" spans="1:16" x14ac:dyDescent="0.3">
      <c r="A139" s="903" t="s">
        <v>1402</v>
      </c>
      <c r="B139" s="904" t="s">
        <v>1403</v>
      </c>
      <c r="C139" s="942">
        <v>0</v>
      </c>
      <c r="D139" s="942">
        <v>53</v>
      </c>
      <c r="E139" s="942">
        <v>1991</v>
      </c>
      <c r="F139" s="942">
        <v>3308</v>
      </c>
      <c r="G139" s="942">
        <v>3545</v>
      </c>
      <c r="H139" s="942">
        <v>4537</v>
      </c>
      <c r="I139" s="942">
        <v>4476</v>
      </c>
      <c r="J139" s="942">
        <v>3947</v>
      </c>
      <c r="K139" s="942">
        <v>1781</v>
      </c>
      <c r="L139" s="942">
        <v>1462</v>
      </c>
      <c r="M139" s="942">
        <v>8897</v>
      </c>
      <c r="N139" s="942">
        <v>25100</v>
      </c>
      <c r="O139" s="943" t="s">
        <v>55</v>
      </c>
      <c r="P139" s="908"/>
    </row>
    <row r="140" spans="1:16" x14ac:dyDescent="0.3">
      <c r="A140" s="903" t="s">
        <v>1404</v>
      </c>
      <c r="B140" s="904" t="s">
        <v>1405</v>
      </c>
      <c r="C140" s="946">
        <v>0</v>
      </c>
      <c r="D140" s="946">
        <v>0</v>
      </c>
      <c r="E140" s="946">
        <v>0</v>
      </c>
      <c r="F140" s="946">
        <v>0</v>
      </c>
      <c r="G140" s="946">
        <v>0</v>
      </c>
      <c r="H140" s="947">
        <v>-16290</v>
      </c>
      <c r="I140" s="947">
        <v>-25656</v>
      </c>
      <c r="J140" s="947">
        <v>-23394</v>
      </c>
      <c r="K140" s="947">
        <v>-27561</v>
      </c>
      <c r="L140" s="947">
        <v>-29250</v>
      </c>
      <c r="M140" s="946">
        <v>0</v>
      </c>
      <c r="N140" s="947">
        <v>-122151</v>
      </c>
      <c r="O140" s="943" t="s">
        <v>55</v>
      </c>
      <c r="P140" s="908"/>
    </row>
    <row r="141" spans="1:16" ht="36" customHeight="1" x14ac:dyDescent="0.3">
      <c r="A141" s="903" t="s">
        <v>1406</v>
      </c>
      <c r="B141" s="904" t="s">
        <v>1407</v>
      </c>
      <c r="C141" s="942">
        <v>0</v>
      </c>
      <c r="D141" s="942">
        <v>-70</v>
      </c>
      <c r="E141" s="942">
        <v>300</v>
      </c>
      <c r="F141" s="942">
        <v>862</v>
      </c>
      <c r="G141" s="942">
        <v>577</v>
      </c>
      <c r="H141" s="942">
        <v>464</v>
      </c>
      <c r="I141" s="942">
        <v>549</v>
      </c>
      <c r="J141" s="942">
        <v>501</v>
      </c>
      <c r="K141" s="942">
        <v>591</v>
      </c>
      <c r="L141" s="942">
        <v>630</v>
      </c>
      <c r="M141" s="942">
        <v>1669</v>
      </c>
      <c r="N141" s="942">
        <v>4404</v>
      </c>
      <c r="O141" s="943" t="s">
        <v>55</v>
      </c>
      <c r="P141" s="908"/>
    </row>
    <row r="142" spans="1:16" x14ac:dyDescent="0.3">
      <c r="A142" s="903" t="s">
        <v>1408</v>
      </c>
      <c r="B142" s="904" t="s">
        <v>1409</v>
      </c>
      <c r="C142" s="946">
        <v>0</v>
      </c>
      <c r="D142" s="946">
        <v>0</v>
      </c>
      <c r="E142" s="946">
        <v>195</v>
      </c>
      <c r="F142" s="946">
        <v>230</v>
      </c>
      <c r="G142" s="946">
        <v>248</v>
      </c>
      <c r="H142" s="946">
        <v>266</v>
      </c>
      <c r="I142" s="946">
        <v>311</v>
      </c>
      <c r="J142" s="946">
        <v>281</v>
      </c>
      <c r="K142" s="946">
        <v>327</v>
      </c>
      <c r="L142" s="946">
        <v>347</v>
      </c>
      <c r="M142" s="946">
        <v>673</v>
      </c>
      <c r="N142" s="947">
        <v>2205</v>
      </c>
      <c r="O142" s="943" t="s">
        <v>55</v>
      </c>
      <c r="P142" s="908"/>
    </row>
    <row r="143" spans="1:16" x14ac:dyDescent="0.3">
      <c r="A143" s="920" t="s">
        <v>1410</v>
      </c>
      <c r="B143" s="921" t="s">
        <v>1411</v>
      </c>
      <c r="C143" s="948">
        <v>0</v>
      </c>
      <c r="D143" s="948">
        <v>70</v>
      </c>
      <c r="E143" s="948">
        <v>132</v>
      </c>
      <c r="F143" s="948">
        <v>51</v>
      </c>
      <c r="G143" s="948">
        <v>20</v>
      </c>
      <c r="H143" s="948">
        <v>8</v>
      </c>
      <c r="I143" s="948">
        <v>0</v>
      </c>
      <c r="J143" s="948">
        <v>0</v>
      </c>
      <c r="K143" s="948">
        <v>0</v>
      </c>
      <c r="L143" s="948">
        <v>0</v>
      </c>
      <c r="M143" s="948">
        <v>273</v>
      </c>
      <c r="N143" s="948">
        <v>281</v>
      </c>
      <c r="O143" s="949" t="s">
        <v>1412</v>
      </c>
      <c r="P143" s="908" t="s">
        <v>1413</v>
      </c>
    </row>
    <row r="144" spans="1:16" x14ac:dyDescent="0.3">
      <c r="A144" s="920" t="s">
        <v>1414</v>
      </c>
      <c r="B144" s="921" t="s">
        <v>1415</v>
      </c>
      <c r="C144" s="948">
        <v>0</v>
      </c>
      <c r="D144" s="948">
        <v>465</v>
      </c>
      <c r="E144" s="950">
        <v>2420</v>
      </c>
      <c r="F144" s="950">
        <v>4755</v>
      </c>
      <c r="G144" s="950">
        <v>5980</v>
      </c>
      <c r="H144" s="950">
        <v>4694</v>
      </c>
      <c r="I144" s="950">
        <v>1573</v>
      </c>
      <c r="J144" s="948">
        <v>93</v>
      </c>
      <c r="K144" s="948">
        <v>0</v>
      </c>
      <c r="L144" s="948">
        <v>0</v>
      </c>
      <c r="M144" s="950">
        <v>13620</v>
      </c>
      <c r="N144" s="950">
        <v>19980</v>
      </c>
      <c r="O144" s="949" t="s">
        <v>1412</v>
      </c>
      <c r="P144" s="908" t="s">
        <v>1416</v>
      </c>
    </row>
    <row r="145" spans="1:16" x14ac:dyDescent="0.3">
      <c r="A145" s="903" t="s">
        <v>1417</v>
      </c>
      <c r="B145" s="904" t="s">
        <v>1418</v>
      </c>
      <c r="C145" s="948">
        <v>0</v>
      </c>
      <c r="D145" s="948">
        <v>20</v>
      </c>
      <c r="E145" s="948">
        <v>65</v>
      </c>
      <c r="F145" s="948">
        <v>110</v>
      </c>
      <c r="G145" s="948">
        <v>135</v>
      </c>
      <c r="H145" s="948">
        <v>180</v>
      </c>
      <c r="I145" s="948">
        <v>230</v>
      </c>
      <c r="J145" s="948">
        <v>180</v>
      </c>
      <c r="K145" s="948">
        <v>60</v>
      </c>
      <c r="L145" s="948">
        <v>10</v>
      </c>
      <c r="M145" s="948">
        <v>330</v>
      </c>
      <c r="N145" s="948">
        <v>990</v>
      </c>
      <c r="O145" s="949" t="s">
        <v>1412</v>
      </c>
      <c r="P145" s="931" t="s">
        <v>1419</v>
      </c>
    </row>
    <row r="146" spans="1:16" x14ac:dyDescent="0.3">
      <c r="A146" s="903" t="s">
        <v>1420</v>
      </c>
      <c r="B146" s="904" t="s">
        <v>1421</v>
      </c>
      <c r="C146" s="948">
        <v>0</v>
      </c>
      <c r="D146" s="950">
        <v>20892</v>
      </c>
      <c r="E146" s="950">
        <v>11288</v>
      </c>
      <c r="F146" s="950">
        <v>9651</v>
      </c>
      <c r="G146" s="950">
        <v>-8548</v>
      </c>
      <c r="H146" s="948">
        <v>-463</v>
      </c>
      <c r="I146" s="948">
        <v>0</v>
      </c>
      <c r="J146" s="948">
        <v>0</v>
      </c>
      <c r="K146" s="948">
        <v>0</v>
      </c>
      <c r="L146" s="948">
        <v>0</v>
      </c>
      <c r="M146" s="950">
        <v>33283</v>
      </c>
      <c r="N146" s="950">
        <v>32820</v>
      </c>
      <c r="O146" s="951" t="s">
        <v>1412</v>
      </c>
      <c r="P146" s="908"/>
    </row>
    <row r="147" spans="1:16" x14ac:dyDescent="0.3">
      <c r="A147" s="903" t="s">
        <v>1422</v>
      </c>
      <c r="B147" s="904" t="s">
        <v>1423</v>
      </c>
      <c r="C147" s="948">
        <v>0</v>
      </c>
      <c r="D147" s="948">
        <v>24</v>
      </c>
      <c r="E147" s="948">
        <v>65</v>
      </c>
      <c r="F147" s="948">
        <v>112</v>
      </c>
      <c r="G147" s="948">
        <v>130</v>
      </c>
      <c r="H147" s="948">
        <v>98</v>
      </c>
      <c r="I147" s="948">
        <v>56</v>
      </c>
      <c r="J147" s="948">
        <v>15</v>
      </c>
      <c r="K147" s="948">
        <v>0</v>
      </c>
      <c r="L147" s="948">
        <v>0</v>
      </c>
      <c r="M147" s="948">
        <v>331</v>
      </c>
      <c r="N147" s="948">
        <v>500</v>
      </c>
      <c r="O147" s="951" t="s">
        <v>1412</v>
      </c>
      <c r="P147" s="908"/>
    </row>
    <row r="148" spans="1:16" x14ac:dyDescent="0.3">
      <c r="A148" s="952" t="s">
        <v>1424</v>
      </c>
      <c r="B148" s="953" t="s">
        <v>1425</v>
      </c>
      <c r="C148" s="948">
        <v>0</v>
      </c>
      <c r="D148" s="948">
        <v>50</v>
      </c>
      <c r="E148" s="948">
        <v>500</v>
      </c>
      <c r="F148" s="948">
        <v>920</v>
      </c>
      <c r="G148" s="950">
        <v>1310</v>
      </c>
      <c r="H148" s="950">
        <v>1680</v>
      </c>
      <c r="I148" s="950">
        <v>1780</v>
      </c>
      <c r="J148" s="950">
        <v>1640</v>
      </c>
      <c r="K148" s="950">
        <v>1090</v>
      </c>
      <c r="L148" s="948">
        <v>630</v>
      </c>
      <c r="M148" s="950">
        <v>2780</v>
      </c>
      <c r="N148" s="950">
        <v>9600</v>
      </c>
      <c r="O148" s="951" t="s">
        <v>1412</v>
      </c>
      <c r="P148" s="954"/>
    </row>
    <row r="149" spans="1:16" x14ac:dyDescent="0.3">
      <c r="A149" s="903" t="s">
        <v>1426</v>
      </c>
      <c r="B149" s="904" t="s">
        <v>1427</v>
      </c>
      <c r="C149" s="948">
        <v>0</v>
      </c>
      <c r="D149" s="948">
        <v>30</v>
      </c>
      <c r="E149" s="948">
        <v>90</v>
      </c>
      <c r="F149" s="948">
        <v>90</v>
      </c>
      <c r="G149" s="948">
        <v>85</v>
      </c>
      <c r="H149" s="948">
        <v>70</v>
      </c>
      <c r="I149" s="948">
        <v>65</v>
      </c>
      <c r="J149" s="948">
        <v>65</v>
      </c>
      <c r="K149" s="948">
        <v>35</v>
      </c>
      <c r="L149" s="948">
        <v>15</v>
      </c>
      <c r="M149" s="948">
        <v>295</v>
      </c>
      <c r="N149" s="948">
        <v>545</v>
      </c>
      <c r="O149" s="951" t="s">
        <v>1412</v>
      </c>
      <c r="P149" s="908"/>
    </row>
    <row r="150" spans="1:16" x14ac:dyDescent="0.3">
      <c r="A150" s="903" t="s">
        <v>1428</v>
      </c>
      <c r="B150" s="904" t="s">
        <v>1429</v>
      </c>
      <c r="C150" s="948">
        <v>0</v>
      </c>
      <c r="D150" s="948">
        <v>185</v>
      </c>
      <c r="E150" s="948">
        <v>394</v>
      </c>
      <c r="F150" s="948">
        <v>639</v>
      </c>
      <c r="G150" s="948">
        <v>722</v>
      </c>
      <c r="H150" s="948">
        <v>595</v>
      </c>
      <c r="I150" s="948">
        <v>346</v>
      </c>
      <c r="J150" s="948">
        <v>101</v>
      </c>
      <c r="K150" s="948">
        <v>18</v>
      </c>
      <c r="L150" s="948">
        <v>0</v>
      </c>
      <c r="M150" s="950">
        <v>1940</v>
      </c>
      <c r="N150" s="950">
        <v>3000</v>
      </c>
      <c r="O150" s="949" t="s">
        <v>1412</v>
      </c>
      <c r="P150" s="908"/>
    </row>
    <row r="151" spans="1:16" x14ac:dyDescent="0.3">
      <c r="A151" s="903" t="s">
        <v>1430</v>
      </c>
      <c r="B151" s="904" t="s">
        <v>1431</v>
      </c>
      <c r="C151" s="948">
        <v>0</v>
      </c>
      <c r="D151" s="948">
        <v>8</v>
      </c>
      <c r="E151" s="948">
        <v>26</v>
      </c>
      <c r="F151" s="948">
        <v>41</v>
      </c>
      <c r="G151" s="948">
        <v>38</v>
      </c>
      <c r="H151" s="948">
        <v>22</v>
      </c>
      <c r="I151" s="948">
        <v>11</v>
      </c>
      <c r="J151" s="948">
        <v>4</v>
      </c>
      <c r="K151" s="948">
        <v>0</v>
      </c>
      <c r="L151" s="948">
        <v>0</v>
      </c>
      <c r="M151" s="948">
        <v>113</v>
      </c>
      <c r="N151" s="948">
        <v>150</v>
      </c>
      <c r="O151" s="949" t="s">
        <v>1412</v>
      </c>
      <c r="P151" s="908"/>
    </row>
    <row r="152" spans="1:16" ht="24" customHeight="1" x14ac:dyDescent="0.3">
      <c r="A152" s="920" t="s">
        <v>1432</v>
      </c>
      <c r="B152" s="921" t="s">
        <v>1433</v>
      </c>
      <c r="C152" s="955">
        <v>0</v>
      </c>
      <c r="D152" s="956">
        <v>77</v>
      </c>
      <c r="E152" s="956">
        <v>232</v>
      </c>
      <c r="F152" s="956">
        <v>341</v>
      </c>
      <c r="G152" s="956">
        <v>496</v>
      </c>
      <c r="H152" s="956">
        <v>310</v>
      </c>
      <c r="I152" s="956">
        <v>47</v>
      </c>
      <c r="J152" s="956">
        <v>31</v>
      </c>
      <c r="K152" s="956">
        <v>15</v>
      </c>
      <c r="L152" s="956">
        <v>1</v>
      </c>
      <c r="M152" s="957">
        <v>1146</v>
      </c>
      <c r="N152" s="957">
        <v>1550</v>
      </c>
      <c r="O152" s="958" t="s">
        <v>1434</v>
      </c>
      <c r="P152" s="908" t="s">
        <v>1435</v>
      </c>
    </row>
    <row r="153" spans="1:16" ht="30" customHeight="1" x14ac:dyDescent="0.3">
      <c r="A153" s="903" t="s">
        <v>1436</v>
      </c>
      <c r="B153" s="904" t="s">
        <v>1437</v>
      </c>
      <c r="C153" s="959">
        <v>0</v>
      </c>
      <c r="D153" s="959">
        <v>264</v>
      </c>
      <c r="E153" s="959">
        <v>715</v>
      </c>
      <c r="F153" s="959">
        <v>1393</v>
      </c>
      <c r="G153" s="959">
        <v>2492</v>
      </c>
      <c r="H153" s="959">
        <v>3364</v>
      </c>
      <c r="I153" s="959">
        <v>3209</v>
      </c>
      <c r="J153" s="959">
        <v>2750</v>
      </c>
      <c r="K153" s="959">
        <v>1783</v>
      </c>
      <c r="L153" s="959">
        <v>744</v>
      </c>
      <c r="M153" s="960">
        <v>4864</v>
      </c>
      <c r="N153" s="960">
        <v>16714</v>
      </c>
      <c r="O153" s="961" t="s">
        <v>52</v>
      </c>
      <c r="P153" s="962" t="s">
        <v>1438</v>
      </c>
    </row>
    <row r="154" spans="1:16" x14ac:dyDescent="0.3">
      <c r="A154" s="903" t="s">
        <v>1439</v>
      </c>
      <c r="B154" s="904" t="s">
        <v>1440</v>
      </c>
      <c r="C154" s="963">
        <v>0</v>
      </c>
      <c r="D154" s="963">
        <v>0</v>
      </c>
      <c r="E154" s="963">
        <v>50</v>
      </c>
      <c r="F154" s="963">
        <v>270</v>
      </c>
      <c r="G154" s="963">
        <v>680</v>
      </c>
      <c r="H154" s="963">
        <v>850</v>
      </c>
      <c r="I154" s="963">
        <v>730</v>
      </c>
      <c r="J154" s="963">
        <v>485</v>
      </c>
      <c r="K154" s="963">
        <v>285</v>
      </c>
      <c r="L154" s="963">
        <v>145</v>
      </c>
      <c r="M154" s="964">
        <v>1000</v>
      </c>
      <c r="N154" s="964">
        <v>3495</v>
      </c>
      <c r="O154" s="965" t="s">
        <v>52</v>
      </c>
      <c r="P154" s="966" t="s">
        <v>1441</v>
      </c>
    </row>
    <row r="155" spans="1:16" x14ac:dyDescent="0.3">
      <c r="A155" s="903" t="s">
        <v>1442</v>
      </c>
      <c r="B155" s="904" t="s">
        <v>1443</v>
      </c>
      <c r="C155" s="963">
        <v>0</v>
      </c>
      <c r="D155" s="963">
        <v>5</v>
      </c>
      <c r="E155" s="963">
        <v>5</v>
      </c>
      <c r="F155" s="963">
        <v>10</v>
      </c>
      <c r="G155" s="963">
        <v>25</v>
      </c>
      <c r="H155" s="963">
        <v>70</v>
      </c>
      <c r="I155" s="963">
        <v>175</v>
      </c>
      <c r="J155" s="963">
        <v>385</v>
      </c>
      <c r="K155" s="963">
        <v>460</v>
      </c>
      <c r="L155" s="963">
        <v>325</v>
      </c>
      <c r="M155" s="963">
        <v>45</v>
      </c>
      <c r="N155" s="964">
        <v>1460</v>
      </c>
      <c r="O155" s="967" t="s">
        <v>52</v>
      </c>
      <c r="P155" s="966" t="s">
        <v>1444</v>
      </c>
    </row>
    <row r="156" spans="1:16" x14ac:dyDescent="0.3">
      <c r="A156" s="920" t="s">
        <v>1445</v>
      </c>
      <c r="B156" s="921" t="s">
        <v>1446</v>
      </c>
      <c r="C156" s="963">
        <v>0</v>
      </c>
      <c r="D156" s="963">
        <v>6</v>
      </c>
      <c r="E156" s="963">
        <v>8</v>
      </c>
      <c r="F156" s="963">
        <v>1</v>
      </c>
      <c r="G156" s="963">
        <v>0</v>
      </c>
      <c r="H156" s="963">
        <v>0</v>
      </c>
      <c r="I156" s="963">
        <v>0</v>
      </c>
      <c r="J156" s="963">
        <v>0</v>
      </c>
      <c r="K156" s="963">
        <v>0</v>
      </c>
      <c r="L156" s="963">
        <v>0</v>
      </c>
      <c r="M156" s="963">
        <v>15</v>
      </c>
      <c r="N156" s="963">
        <v>15</v>
      </c>
      <c r="O156" s="967" t="s">
        <v>52</v>
      </c>
      <c r="P156" s="966" t="s">
        <v>1447</v>
      </c>
    </row>
    <row r="157" spans="1:16" ht="24" customHeight="1" x14ac:dyDescent="0.3">
      <c r="A157" s="903" t="s">
        <v>1448</v>
      </c>
      <c r="B157" s="904" t="s">
        <v>1449</v>
      </c>
      <c r="C157" s="963">
        <v>0</v>
      </c>
      <c r="D157" s="963">
        <v>5</v>
      </c>
      <c r="E157" s="963">
        <v>41</v>
      </c>
      <c r="F157" s="963">
        <v>116</v>
      </c>
      <c r="G157" s="963">
        <v>284</v>
      </c>
      <c r="H157" s="963">
        <v>417</v>
      </c>
      <c r="I157" s="963">
        <v>459</v>
      </c>
      <c r="J157" s="963">
        <v>355</v>
      </c>
      <c r="K157" s="963">
        <v>210</v>
      </c>
      <c r="L157" s="963">
        <v>90</v>
      </c>
      <c r="M157" s="963">
        <v>446</v>
      </c>
      <c r="N157" s="964">
        <v>1977</v>
      </c>
      <c r="O157" s="968" t="s">
        <v>52</v>
      </c>
      <c r="P157" s="969" t="s">
        <v>1450</v>
      </c>
    </row>
    <row r="158" spans="1:16" ht="24" customHeight="1" x14ac:dyDescent="0.3">
      <c r="A158" s="903" t="s">
        <v>1451</v>
      </c>
      <c r="B158" s="904" t="s">
        <v>1452</v>
      </c>
      <c r="C158" s="963">
        <v>0</v>
      </c>
      <c r="D158" s="963">
        <v>20</v>
      </c>
      <c r="E158" s="963">
        <v>100</v>
      </c>
      <c r="F158" s="963">
        <v>460</v>
      </c>
      <c r="G158" s="964">
        <v>1070</v>
      </c>
      <c r="H158" s="964">
        <v>1430</v>
      </c>
      <c r="I158" s="964">
        <v>1110</v>
      </c>
      <c r="J158" s="963">
        <v>660</v>
      </c>
      <c r="K158" s="963">
        <v>300</v>
      </c>
      <c r="L158" s="963">
        <v>100</v>
      </c>
      <c r="M158" s="964">
        <v>1650</v>
      </c>
      <c r="N158" s="964">
        <v>5250</v>
      </c>
      <c r="O158" s="967" t="s">
        <v>52</v>
      </c>
      <c r="P158" s="966" t="s">
        <v>1453</v>
      </c>
    </row>
    <row r="159" spans="1:16" x14ac:dyDescent="0.3">
      <c r="A159" s="903" t="s">
        <v>1454</v>
      </c>
      <c r="B159" s="904" t="s">
        <v>1455</v>
      </c>
      <c r="C159" s="882">
        <v>0</v>
      </c>
      <c r="D159" s="882">
        <v>56</v>
      </c>
      <c r="E159" s="882">
        <v>141</v>
      </c>
      <c r="F159" s="882">
        <v>230</v>
      </c>
      <c r="G159" s="882">
        <v>343</v>
      </c>
      <c r="H159" s="882">
        <v>470</v>
      </c>
      <c r="I159" s="882">
        <v>620</v>
      </c>
      <c r="J159" s="882">
        <v>802</v>
      </c>
      <c r="K159" s="882">
        <v>1024</v>
      </c>
      <c r="L159" s="882">
        <v>1330</v>
      </c>
      <c r="M159" s="882">
        <v>769</v>
      </c>
      <c r="N159" s="882">
        <v>5015</v>
      </c>
      <c r="O159" s="965" t="s">
        <v>52</v>
      </c>
      <c r="P159" s="908"/>
    </row>
    <row r="160" spans="1:16" x14ac:dyDescent="0.3">
      <c r="A160" s="903" t="s">
        <v>1456</v>
      </c>
      <c r="B160" s="904" t="s">
        <v>1457</v>
      </c>
      <c r="C160" s="963"/>
      <c r="D160" s="963"/>
      <c r="E160" s="963"/>
      <c r="F160" s="963"/>
      <c r="G160" s="963"/>
      <c r="H160" s="963"/>
      <c r="I160" s="963"/>
      <c r="J160" s="963"/>
      <c r="K160" s="963"/>
      <c r="L160" s="963"/>
      <c r="M160" s="963"/>
      <c r="N160" s="964"/>
      <c r="O160" s="968"/>
      <c r="P160" s="908"/>
    </row>
    <row r="161" spans="1:17" x14ac:dyDescent="0.3">
      <c r="A161" s="903" t="s">
        <v>1458</v>
      </c>
      <c r="B161" s="904" t="s">
        <v>1459</v>
      </c>
      <c r="C161" s="963"/>
      <c r="D161" s="963"/>
      <c r="E161" s="963"/>
      <c r="F161" s="963"/>
      <c r="G161" s="963"/>
      <c r="H161" s="963"/>
      <c r="I161" s="963"/>
      <c r="J161" s="963"/>
      <c r="K161" s="963"/>
      <c r="L161" s="963"/>
      <c r="M161" s="963"/>
      <c r="N161" s="964"/>
      <c r="O161" s="883"/>
      <c r="P161" s="884"/>
    </row>
    <row r="162" spans="1:17" x14ac:dyDescent="0.3">
      <c r="A162" s="903" t="s">
        <v>1460</v>
      </c>
      <c r="B162" s="904" t="s">
        <v>1461</v>
      </c>
      <c r="C162" s="963">
        <v>0</v>
      </c>
      <c r="D162" s="963">
        <v>20</v>
      </c>
      <c r="E162" s="963">
        <v>70</v>
      </c>
      <c r="F162" s="963">
        <v>130</v>
      </c>
      <c r="G162" s="963">
        <v>155</v>
      </c>
      <c r="H162" s="963">
        <v>155</v>
      </c>
      <c r="I162" s="963">
        <v>155</v>
      </c>
      <c r="J162" s="963">
        <v>135</v>
      </c>
      <c r="K162" s="963">
        <v>80</v>
      </c>
      <c r="L162" s="963">
        <v>20</v>
      </c>
      <c r="M162" s="963">
        <v>375</v>
      </c>
      <c r="N162" s="963">
        <v>920</v>
      </c>
      <c r="O162" s="967" t="s">
        <v>52</v>
      </c>
      <c r="P162" s="908"/>
    </row>
    <row r="163" spans="1:17" x14ac:dyDescent="0.3">
      <c r="A163" s="920" t="s">
        <v>1462</v>
      </c>
      <c r="B163" s="921" t="s">
        <v>1463</v>
      </c>
      <c r="C163" s="963">
        <v>0</v>
      </c>
      <c r="D163" s="963">
        <v>15</v>
      </c>
      <c r="E163" s="963">
        <v>12</v>
      </c>
      <c r="F163" s="963">
        <v>8</v>
      </c>
      <c r="G163" s="963">
        <v>4</v>
      </c>
      <c r="H163" s="963">
        <v>0</v>
      </c>
      <c r="I163" s="963">
        <v>0</v>
      </c>
      <c r="J163" s="963">
        <v>0</v>
      </c>
      <c r="K163" s="963">
        <v>0</v>
      </c>
      <c r="L163" s="963">
        <v>0</v>
      </c>
      <c r="M163" s="963">
        <v>39</v>
      </c>
      <c r="N163" s="963">
        <v>39</v>
      </c>
      <c r="O163" s="967" t="s">
        <v>52</v>
      </c>
      <c r="P163" s="908"/>
    </row>
    <row r="164" spans="1:17" x14ac:dyDescent="0.3">
      <c r="A164" s="903" t="s">
        <v>1464</v>
      </c>
      <c r="B164" s="904" t="s">
        <v>1465</v>
      </c>
      <c r="C164" s="885">
        <v>0</v>
      </c>
      <c r="D164" s="885">
        <v>25</v>
      </c>
      <c r="E164" s="885">
        <v>100</v>
      </c>
      <c r="F164" s="885">
        <v>125</v>
      </c>
      <c r="G164" s="885">
        <v>100</v>
      </c>
      <c r="H164" s="885">
        <v>75</v>
      </c>
      <c r="I164" s="885">
        <v>30</v>
      </c>
      <c r="J164" s="885">
        <v>20</v>
      </c>
      <c r="K164" s="885">
        <v>0</v>
      </c>
      <c r="L164" s="885">
        <v>0</v>
      </c>
      <c r="M164" s="885">
        <v>350</v>
      </c>
      <c r="N164" s="885">
        <v>475</v>
      </c>
      <c r="O164" s="886" t="s">
        <v>52</v>
      </c>
      <c r="P164" s="908"/>
    </row>
    <row r="165" spans="1:17" x14ac:dyDescent="0.3">
      <c r="A165" s="57"/>
      <c r="B165" s="16"/>
      <c r="C165" s="38"/>
      <c r="D165" s="38"/>
      <c r="E165" s="38"/>
      <c r="F165" s="38"/>
      <c r="G165" s="38"/>
      <c r="H165" s="38"/>
      <c r="I165" s="38"/>
      <c r="J165" s="38"/>
      <c r="K165" s="38"/>
      <c r="L165" s="38"/>
      <c r="M165" s="38"/>
      <c r="N165" s="38"/>
      <c r="O165" s="57"/>
      <c r="P165" s="16"/>
    </row>
    <row r="167" spans="1:17" x14ac:dyDescent="0.3">
      <c r="A167" s="58" t="s">
        <v>1473</v>
      </c>
    </row>
    <row r="168" spans="1:17" x14ac:dyDescent="0.3">
      <c r="A168" s="887"/>
      <c r="B168" s="887"/>
      <c r="C168" s="970"/>
      <c r="D168" s="970">
        <v>2022</v>
      </c>
      <c r="E168" s="970">
        <v>2023</v>
      </c>
      <c r="F168" s="970">
        <v>2024</v>
      </c>
      <c r="G168" s="970">
        <v>2025</v>
      </c>
      <c r="H168" s="970">
        <v>2026</v>
      </c>
      <c r="I168" s="970">
        <v>2027</v>
      </c>
      <c r="J168" s="970">
        <v>2028</v>
      </c>
      <c r="K168" s="970">
        <v>2029</v>
      </c>
      <c r="L168" s="970">
        <v>2030</v>
      </c>
      <c r="M168" s="971">
        <v>2031</v>
      </c>
      <c r="N168" s="972" t="s">
        <v>1466</v>
      </c>
      <c r="O168" s="972" t="s">
        <v>1467</v>
      </c>
      <c r="Q168" s="64"/>
    </row>
    <row r="169" spans="1:17" x14ac:dyDescent="0.3">
      <c r="A169" s="888" t="s">
        <v>1468</v>
      </c>
      <c r="B169" s="888"/>
      <c r="C169" s="894"/>
      <c r="D169" s="894">
        <f t="shared" ref="D169:O169" si="9">D78/1000</f>
        <v>0</v>
      </c>
      <c r="E169" s="894">
        <f t="shared" si="9"/>
        <v>6.8000000000000005E-2</v>
      </c>
      <c r="F169" s="894">
        <f t="shared" si="9"/>
        <v>1.363</v>
      </c>
      <c r="G169" s="894">
        <f t="shared" si="9"/>
        <v>2.4329999999999998</v>
      </c>
      <c r="H169" s="894">
        <f t="shared" si="9"/>
        <v>2.8029999999999999</v>
      </c>
      <c r="I169" s="894">
        <f t="shared" si="9"/>
        <v>1.7410000000000001</v>
      </c>
      <c r="J169" s="894">
        <f t="shared" si="9"/>
        <v>0.56999999999999995</v>
      </c>
      <c r="K169" s="894">
        <f t="shared" si="9"/>
        <v>3.5000000000000003E-2</v>
      </c>
      <c r="L169" s="894">
        <f t="shared" si="9"/>
        <v>0</v>
      </c>
      <c r="M169" s="894">
        <f t="shared" si="9"/>
        <v>0</v>
      </c>
      <c r="N169" s="894">
        <f t="shared" si="9"/>
        <v>6.6669999999999998</v>
      </c>
      <c r="O169" s="894">
        <f t="shared" si="9"/>
        <v>9.0129999999999999</v>
      </c>
      <c r="Q169" s="64"/>
    </row>
    <row r="170" spans="1:17" x14ac:dyDescent="0.3">
      <c r="A170" s="888" t="s">
        <v>1469</v>
      </c>
      <c r="B170" s="888"/>
      <c r="C170" s="894"/>
      <c r="D170" s="894">
        <f t="shared" ref="D170:O170" si="10">(D77+D70)/1000</f>
        <v>0</v>
      </c>
      <c r="E170" s="894">
        <f t="shared" si="10"/>
        <v>0.81899999999999995</v>
      </c>
      <c r="F170" s="894">
        <f t="shared" si="10"/>
        <v>2.4780000000000002</v>
      </c>
      <c r="G170" s="894">
        <f t="shared" si="10"/>
        <v>4.0720000000000001</v>
      </c>
      <c r="H170" s="894">
        <f t="shared" si="10"/>
        <v>5.4480000000000004</v>
      </c>
      <c r="I170" s="894">
        <f t="shared" si="10"/>
        <v>4.8289999999999997</v>
      </c>
      <c r="J170" s="894">
        <f t="shared" si="10"/>
        <v>3.2949999999999999</v>
      </c>
      <c r="K170" s="894">
        <f t="shared" si="10"/>
        <v>1.98</v>
      </c>
      <c r="L170" s="894">
        <f t="shared" si="10"/>
        <v>1.01</v>
      </c>
      <c r="M170" s="894">
        <f t="shared" si="10"/>
        <v>0.40400000000000003</v>
      </c>
      <c r="N170" s="894">
        <f t="shared" si="10"/>
        <v>12.817</v>
      </c>
      <c r="O170" s="894">
        <f t="shared" si="10"/>
        <v>24.335000000000001</v>
      </c>
      <c r="Q170" s="64"/>
    </row>
    <row r="171" spans="1:17" x14ac:dyDescent="0.3">
      <c r="A171" s="888" t="s">
        <v>1470</v>
      </c>
      <c r="B171" s="888"/>
      <c r="C171" s="894"/>
      <c r="D171" s="894">
        <f t="shared" ref="D171:O171" si="11">(D69+D76)/1000</f>
        <v>0</v>
      </c>
      <c r="E171" s="894">
        <f t="shared" si="11"/>
        <v>4.5430000000000001</v>
      </c>
      <c r="F171" s="894">
        <f t="shared" si="11"/>
        <v>5.6079999999999997</v>
      </c>
      <c r="G171" s="894">
        <f t="shared" si="11"/>
        <v>8.16</v>
      </c>
      <c r="H171" s="894">
        <f t="shared" si="11"/>
        <v>10.069000000000001</v>
      </c>
      <c r="I171" s="894">
        <f t="shared" si="11"/>
        <v>12.026999999999999</v>
      </c>
      <c r="J171" s="894">
        <f t="shared" si="11"/>
        <v>13.826000000000001</v>
      </c>
      <c r="K171" s="894">
        <f t="shared" si="11"/>
        <v>15.862</v>
      </c>
      <c r="L171" s="894">
        <f t="shared" si="11"/>
        <v>17.890999999999998</v>
      </c>
      <c r="M171" s="894">
        <f t="shared" si="11"/>
        <v>17.481000000000002</v>
      </c>
      <c r="N171" s="894">
        <f t="shared" si="11"/>
        <v>28.38</v>
      </c>
      <c r="O171" s="894">
        <f t="shared" si="11"/>
        <v>105.467</v>
      </c>
      <c r="Q171" s="64"/>
    </row>
    <row r="172" spans="1:17" x14ac:dyDescent="0.3">
      <c r="A172" s="889" t="s">
        <v>52</v>
      </c>
      <c r="B172" s="889"/>
      <c r="C172" s="894"/>
      <c r="D172" s="894">
        <f t="shared" ref="D172:O172" si="12">(D79+D74)/1000</f>
        <v>0</v>
      </c>
      <c r="E172" s="894">
        <f t="shared" si="12"/>
        <v>1.2969999999999999</v>
      </c>
      <c r="F172" s="894">
        <f t="shared" si="12"/>
        <v>3.8479999999999999</v>
      </c>
      <c r="G172" s="894">
        <f t="shared" si="12"/>
        <v>6.4420000000000002</v>
      </c>
      <c r="H172" s="894">
        <f t="shared" si="12"/>
        <v>9.532</v>
      </c>
      <c r="I172" s="894">
        <f t="shared" si="12"/>
        <v>11.882</v>
      </c>
      <c r="J172" s="894">
        <f t="shared" si="12"/>
        <v>11.727</v>
      </c>
      <c r="K172" s="894">
        <f t="shared" si="12"/>
        <v>10.569000000000001</v>
      </c>
      <c r="L172" s="894">
        <f t="shared" si="12"/>
        <v>8.8879999999999999</v>
      </c>
      <c r="M172" s="894">
        <f t="shared" si="12"/>
        <v>7.1890000000000001</v>
      </c>
      <c r="N172" s="894">
        <f t="shared" si="12"/>
        <v>21.117000000000001</v>
      </c>
      <c r="O172" s="894">
        <f t="shared" si="12"/>
        <v>71.372</v>
      </c>
      <c r="Q172" s="64"/>
    </row>
    <row r="173" spans="1:17" x14ac:dyDescent="0.3">
      <c r="A173" s="890" t="s">
        <v>595</v>
      </c>
      <c r="B173" s="890"/>
      <c r="C173" s="894"/>
      <c r="D173" s="894"/>
      <c r="E173" s="894"/>
      <c r="F173" s="894"/>
      <c r="G173" s="894"/>
      <c r="H173" s="894"/>
      <c r="I173" s="894"/>
      <c r="J173" s="894"/>
      <c r="K173" s="894"/>
      <c r="L173" s="894"/>
      <c r="M173" s="894"/>
      <c r="N173" s="894"/>
      <c r="O173" s="894"/>
      <c r="Q173" s="64"/>
    </row>
    <row r="174" spans="1:17" x14ac:dyDescent="0.3">
      <c r="A174" s="891" t="s">
        <v>54</v>
      </c>
      <c r="B174" s="891"/>
      <c r="C174" s="894"/>
      <c r="D174" s="894">
        <f t="shared" ref="D174:O174" si="13">D71/1000</f>
        <v>0</v>
      </c>
      <c r="E174" s="894">
        <f t="shared" si="13"/>
        <v>0.11</v>
      </c>
      <c r="F174" s="894">
        <f t="shared" si="13"/>
        <v>0.73899999999999999</v>
      </c>
      <c r="G174" s="894">
        <f t="shared" si="13"/>
        <v>1.1950000000000001</v>
      </c>
      <c r="H174" s="894">
        <f t="shared" si="13"/>
        <v>1.4970000000000001</v>
      </c>
      <c r="I174" s="894">
        <f t="shared" si="13"/>
        <v>1.91</v>
      </c>
      <c r="J174" s="894">
        <f t="shared" si="13"/>
        <v>2.4049999999999998</v>
      </c>
      <c r="K174" s="894">
        <f t="shared" si="13"/>
        <v>2.9220000000000002</v>
      </c>
      <c r="L174" s="894">
        <f t="shared" si="13"/>
        <v>3.4630000000000001</v>
      </c>
      <c r="M174" s="894">
        <f t="shared" si="13"/>
        <v>4.0069999999999997</v>
      </c>
      <c r="N174" s="894">
        <f t="shared" si="13"/>
        <v>3.5409999999999999</v>
      </c>
      <c r="O174" s="894">
        <f t="shared" si="13"/>
        <v>18.248000000000001</v>
      </c>
      <c r="Q174" s="64"/>
    </row>
    <row r="175" spans="1:17" x14ac:dyDescent="0.3">
      <c r="A175" s="891" t="s">
        <v>1471</v>
      </c>
      <c r="B175" s="891"/>
      <c r="C175" s="894"/>
      <c r="D175" s="894">
        <f t="shared" ref="D175:O175" si="14">D72/1000</f>
        <v>0</v>
      </c>
      <c r="E175" s="894">
        <f t="shared" si="14"/>
        <v>-0.41499999999999998</v>
      </c>
      <c r="F175" s="894">
        <f t="shared" si="14"/>
        <v>2.7679999999999998</v>
      </c>
      <c r="G175" s="894">
        <f t="shared" si="14"/>
        <v>-12.473000000000001</v>
      </c>
      <c r="H175" s="894">
        <f t="shared" si="14"/>
        <v>-5.3739999999999997</v>
      </c>
      <c r="I175" s="894">
        <f t="shared" si="14"/>
        <v>-25.515000000000001</v>
      </c>
      <c r="J175" s="894">
        <f t="shared" si="14"/>
        <v>-43.975000000000001</v>
      </c>
      <c r="K175" s="894">
        <f t="shared" si="14"/>
        <v>-46.426000000000002</v>
      </c>
      <c r="L175" s="894">
        <f t="shared" si="14"/>
        <v>-56.228000000000002</v>
      </c>
      <c r="M175" s="894">
        <f t="shared" si="14"/>
        <v>-60.581000000000003</v>
      </c>
      <c r="N175" s="894">
        <f t="shared" si="14"/>
        <v>-15.494</v>
      </c>
      <c r="O175" s="894">
        <f t="shared" si="14"/>
        <v>-248.21899999999999</v>
      </c>
      <c r="Q175" s="64"/>
    </row>
    <row r="176" spans="1:17" x14ac:dyDescent="0.3">
      <c r="A176" s="892" t="s">
        <v>57</v>
      </c>
      <c r="B176" s="892"/>
      <c r="C176" s="894"/>
      <c r="D176" s="894">
        <f t="shared" ref="D176:O176" si="15">(D80+D73)/1000</f>
        <v>-0.622</v>
      </c>
      <c r="E176" s="894">
        <f t="shared" si="15"/>
        <v>21.89</v>
      </c>
      <c r="F176" s="894">
        <f t="shared" si="15"/>
        <v>15.439</v>
      </c>
      <c r="G176" s="894">
        <f t="shared" si="15"/>
        <v>16.966999999999999</v>
      </c>
      <c r="H176" s="894">
        <f t="shared" si="15"/>
        <v>0.72799999999999998</v>
      </c>
      <c r="I176" s="894">
        <f t="shared" si="15"/>
        <v>7.657</v>
      </c>
      <c r="J176" s="894">
        <f t="shared" si="15"/>
        <v>4.5590000000000002</v>
      </c>
      <c r="K176" s="894">
        <f t="shared" si="15"/>
        <v>2.4649999999999999</v>
      </c>
      <c r="L176" s="894">
        <f t="shared" si="15"/>
        <v>1.444</v>
      </c>
      <c r="M176" s="894">
        <f t="shared" si="15"/>
        <v>0.77300000000000002</v>
      </c>
      <c r="N176" s="894">
        <f t="shared" si="15"/>
        <v>54.402000000000001</v>
      </c>
      <c r="O176" s="894">
        <f t="shared" si="15"/>
        <v>71.3</v>
      </c>
      <c r="Q176" s="64"/>
    </row>
    <row r="177" spans="1:17" x14ac:dyDescent="0.3">
      <c r="A177" s="893" t="s">
        <v>1532</v>
      </c>
      <c r="B177" s="893"/>
      <c r="C177" s="894"/>
      <c r="D177" s="881">
        <f t="shared" ref="D177:O177" si="16">D84/1000</f>
        <v>0</v>
      </c>
      <c r="E177" s="881">
        <f t="shared" si="16"/>
        <v>-3.1549999999999998</v>
      </c>
      <c r="F177" s="881">
        <f t="shared" si="16"/>
        <v>-2.2309999999999999</v>
      </c>
      <c r="G177" s="881">
        <f t="shared" si="16"/>
        <v>-1.6080000000000001</v>
      </c>
      <c r="H177" s="881">
        <f t="shared" si="16"/>
        <v>-0.77</v>
      </c>
      <c r="I177" s="881">
        <f t="shared" si="16"/>
        <v>-0.98299999999999998</v>
      </c>
      <c r="J177" s="881">
        <f t="shared" si="16"/>
        <v>-1.2110000000000001</v>
      </c>
      <c r="K177" s="881">
        <f t="shared" si="16"/>
        <v>-1.4710000000000001</v>
      </c>
      <c r="L177" s="881">
        <f t="shared" si="16"/>
        <v>-1.81</v>
      </c>
      <c r="M177" s="881">
        <f t="shared" si="16"/>
        <v>-2.3250000000000002</v>
      </c>
      <c r="N177" s="881">
        <f t="shared" si="16"/>
        <v>-7.7670000000000003</v>
      </c>
      <c r="O177" s="881">
        <f t="shared" si="16"/>
        <v>-15.566000000000001</v>
      </c>
      <c r="Q177" s="64"/>
    </row>
    <row r="178" spans="1:17" x14ac:dyDescent="0.3">
      <c r="A178" s="893" t="s">
        <v>239</v>
      </c>
      <c r="B178" s="893"/>
      <c r="C178" s="894"/>
      <c r="D178" s="881">
        <f t="shared" ref="D178:O178" si="17">D85/1000</f>
        <v>0</v>
      </c>
      <c r="E178" s="881">
        <f t="shared" si="17"/>
        <v>0.45200000000000001</v>
      </c>
      <c r="F178" s="881">
        <f t="shared" si="17"/>
        <v>-8.67</v>
      </c>
      <c r="G178" s="881">
        <f t="shared" si="17"/>
        <v>-4.5270000000000001</v>
      </c>
      <c r="H178" s="881">
        <f t="shared" si="17"/>
        <v>-0.70499999999999996</v>
      </c>
      <c r="I178" s="881">
        <f t="shared" si="17"/>
        <v>15.813000000000001</v>
      </c>
      <c r="J178" s="881">
        <f t="shared" si="17"/>
        <v>20.372</v>
      </c>
      <c r="K178" s="881">
        <f t="shared" si="17"/>
        <v>24.847000000000001</v>
      </c>
      <c r="L178" s="881">
        <f t="shared" si="17"/>
        <v>28.113</v>
      </c>
      <c r="M178" s="881">
        <f t="shared" si="17"/>
        <v>24.777000000000001</v>
      </c>
      <c r="N178" s="881">
        <f t="shared" si="17"/>
        <v>-13.451000000000001</v>
      </c>
      <c r="O178" s="881">
        <f t="shared" si="17"/>
        <v>100.468</v>
      </c>
      <c r="Q178" s="64"/>
    </row>
    <row r="179" spans="1:17" x14ac:dyDescent="0.3">
      <c r="A179" s="893" t="s">
        <v>106</v>
      </c>
      <c r="B179" s="893"/>
      <c r="C179" s="894"/>
      <c r="D179" s="881">
        <f t="shared" ref="D179:O179" si="18">D83/1000</f>
        <v>0</v>
      </c>
      <c r="E179" s="881">
        <f t="shared" si="18"/>
        <v>35.317</v>
      </c>
      <c r="F179" s="881">
        <f t="shared" si="18"/>
        <v>36.033000000000001</v>
      </c>
      <c r="G179" s="881">
        <f t="shared" si="18"/>
        <v>21.076000000000001</v>
      </c>
      <c r="H179" s="881">
        <f t="shared" si="18"/>
        <v>13.346</v>
      </c>
      <c r="I179" s="881">
        <f t="shared" si="18"/>
        <v>27.507999999999999</v>
      </c>
      <c r="J179" s="881">
        <f t="shared" si="18"/>
        <v>35.85</v>
      </c>
      <c r="K179" s="881">
        <f t="shared" si="18"/>
        <v>18.64</v>
      </c>
      <c r="L179" s="881">
        <f t="shared" si="18"/>
        <v>8.3940000000000001</v>
      </c>
      <c r="M179" s="881">
        <f t="shared" si="18"/>
        <v>7.9820000000000002</v>
      </c>
      <c r="N179" s="881">
        <f t="shared" si="18"/>
        <v>105.76900000000001</v>
      </c>
      <c r="O179" s="881">
        <f t="shared" si="18"/>
        <v>204.14400000000001</v>
      </c>
      <c r="Q179" s="64"/>
    </row>
    <row r="182" spans="1:17" x14ac:dyDescent="0.3">
      <c r="A182" s="58" t="s">
        <v>1472</v>
      </c>
    </row>
    <row r="183" spans="1:17" x14ac:dyDescent="0.3">
      <c r="A183" s="887"/>
      <c r="B183" s="887"/>
      <c r="C183" s="887"/>
      <c r="D183" s="887" t="s">
        <v>183</v>
      </c>
      <c r="E183" s="887" t="s">
        <v>184</v>
      </c>
      <c r="F183" s="887" t="s">
        <v>185</v>
      </c>
      <c r="G183" s="887" t="s">
        <v>186</v>
      </c>
      <c r="H183" s="887" t="s">
        <v>187</v>
      </c>
      <c r="I183" s="887" t="s">
        <v>188</v>
      </c>
      <c r="J183" s="887" t="s">
        <v>189</v>
      </c>
      <c r="K183" s="887" t="s">
        <v>190</v>
      </c>
      <c r="L183" s="887" t="s">
        <v>191</v>
      </c>
      <c r="M183" s="887" t="s">
        <v>175</v>
      </c>
      <c r="N183" s="887" t="s">
        <v>176</v>
      </c>
      <c r="O183" s="887" t="s">
        <v>177</v>
      </c>
      <c r="Q183" s="64"/>
    </row>
    <row r="184" spans="1:17" x14ac:dyDescent="0.3">
      <c r="A184" s="888" t="s">
        <v>1468</v>
      </c>
      <c r="B184" s="888"/>
      <c r="C184" s="895"/>
      <c r="D184" s="895">
        <f t="shared" ref="D184:D191" si="19">D169</f>
        <v>0</v>
      </c>
      <c r="E184" s="895">
        <f>D184</f>
        <v>0</v>
      </c>
      <c r="F184" s="895">
        <f t="shared" ref="F184:F191" si="20">E169</f>
        <v>6.8000000000000005E-2</v>
      </c>
      <c r="G184" s="895">
        <f>F184</f>
        <v>6.8000000000000005E-2</v>
      </c>
      <c r="H184" s="895">
        <f>G184</f>
        <v>6.8000000000000005E-2</v>
      </c>
      <c r="I184" s="895">
        <f>H184</f>
        <v>6.8000000000000005E-2</v>
      </c>
      <c r="J184" s="895">
        <f t="shared" ref="J184:J191" si="21">F169</f>
        <v>1.363</v>
      </c>
      <c r="K184" s="895">
        <f t="shared" ref="K184:M191" si="22">J184</f>
        <v>1.363</v>
      </c>
      <c r="L184" s="895">
        <f t="shared" si="22"/>
        <v>1.363</v>
      </c>
      <c r="M184" s="895">
        <f>L184</f>
        <v>1.363</v>
      </c>
      <c r="N184" s="895">
        <f t="shared" ref="N184:N191" si="23">G169</f>
        <v>2.4329999999999998</v>
      </c>
      <c r="O184" s="895">
        <f>N184</f>
        <v>2.4329999999999998</v>
      </c>
      <c r="Q184" s="64"/>
    </row>
    <row r="185" spans="1:17" x14ac:dyDescent="0.3">
      <c r="A185" s="888" t="s">
        <v>1469</v>
      </c>
      <c r="B185" s="888"/>
      <c r="C185" s="895"/>
      <c r="D185" s="895">
        <f t="shared" si="19"/>
        <v>0</v>
      </c>
      <c r="E185" s="895">
        <f t="shared" ref="E185:E191" si="24">D185</f>
        <v>0</v>
      </c>
      <c r="F185" s="895">
        <f t="shared" si="20"/>
        <v>0.81899999999999995</v>
      </c>
      <c r="G185" s="895">
        <f t="shared" ref="G185:I191" si="25">F185</f>
        <v>0.81899999999999995</v>
      </c>
      <c r="H185" s="895">
        <f t="shared" si="25"/>
        <v>0.81899999999999995</v>
      </c>
      <c r="I185" s="895">
        <f t="shared" si="25"/>
        <v>0.81899999999999995</v>
      </c>
      <c r="J185" s="895">
        <f t="shared" si="21"/>
        <v>2.4780000000000002</v>
      </c>
      <c r="K185" s="895">
        <f t="shared" si="22"/>
        <v>2.4780000000000002</v>
      </c>
      <c r="L185" s="895">
        <f t="shared" si="22"/>
        <v>2.4780000000000002</v>
      </c>
      <c r="M185" s="895">
        <f t="shared" si="22"/>
        <v>2.4780000000000002</v>
      </c>
      <c r="N185" s="895">
        <f t="shared" si="23"/>
        <v>4.0720000000000001</v>
      </c>
      <c r="O185" s="895">
        <f t="shared" ref="O185:O191" si="26">N185</f>
        <v>4.0720000000000001</v>
      </c>
      <c r="Q185" s="64"/>
    </row>
    <row r="186" spans="1:17" x14ac:dyDescent="0.3">
      <c r="A186" s="888" t="s">
        <v>1470</v>
      </c>
      <c r="B186" s="888"/>
      <c r="C186" s="895"/>
      <c r="D186" s="895">
        <f t="shared" si="19"/>
        <v>0</v>
      </c>
      <c r="E186" s="895">
        <f t="shared" si="24"/>
        <v>0</v>
      </c>
      <c r="F186" s="895">
        <f t="shared" si="20"/>
        <v>4.5430000000000001</v>
      </c>
      <c r="G186" s="895">
        <f t="shared" si="25"/>
        <v>4.5430000000000001</v>
      </c>
      <c r="H186" s="895">
        <f t="shared" si="25"/>
        <v>4.5430000000000001</v>
      </c>
      <c r="I186" s="895">
        <f t="shared" si="25"/>
        <v>4.5430000000000001</v>
      </c>
      <c r="J186" s="895">
        <f t="shared" si="21"/>
        <v>5.6079999999999997</v>
      </c>
      <c r="K186" s="895">
        <f t="shared" si="22"/>
        <v>5.6079999999999997</v>
      </c>
      <c r="L186" s="895">
        <f t="shared" si="22"/>
        <v>5.6079999999999997</v>
      </c>
      <c r="M186" s="895">
        <f t="shared" si="22"/>
        <v>5.6079999999999997</v>
      </c>
      <c r="N186" s="895">
        <f t="shared" si="23"/>
        <v>8.16</v>
      </c>
      <c r="O186" s="895">
        <f t="shared" si="26"/>
        <v>8.16</v>
      </c>
      <c r="Q186" s="64"/>
    </row>
    <row r="187" spans="1:17" x14ac:dyDescent="0.3">
      <c r="A187" s="889" t="s">
        <v>52</v>
      </c>
      <c r="B187" s="889"/>
      <c r="C187" s="895"/>
      <c r="D187" s="895">
        <f t="shared" si="19"/>
        <v>0</v>
      </c>
      <c r="E187" s="895">
        <f t="shared" si="24"/>
        <v>0</v>
      </c>
      <c r="F187" s="895">
        <f t="shared" si="20"/>
        <v>1.2969999999999999</v>
      </c>
      <c r="G187" s="895">
        <f t="shared" si="25"/>
        <v>1.2969999999999999</v>
      </c>
      <c r="H187" s="895">
        <f t="shared" si="25"/>
        <v>1.2969999999999999</v>
      </c>
      <c r="I187" s="895">
        <f t="shared" si="25"/>
        <v>1.2969999999999999</v>
      </c>
      <c r="J187" s="895">
        <f t="shared" si="21"/>
        <v>3.8479999999999999</v>
      </c>
      <c r="K187" s="895">
        <f t="shared" si="22"/>
        <v>3.8479999999999999</v>
      </c>
      <c r="L187" s="895">
        <f t="shared" si="22"/>
        <v>3.8479999999999999</v>
      </c>
      <c r="M187" s="895">
        <f t="shared" si="22"/>
        <v>3.8479999999999999</v>
      </c>
      <c r="N187" s="895">
        <f t="shared" si="23"/>
        <v>6.4420000000000002</v>
      </c>
      <c r="O187" s="895">
        <f t="shared" si="26"/>
        <v>6.4420000000000002</v>
      </c>
      <c r="Q187" s="64"/>
    </row>
    <row r="188" spans="1:17" x14ac:dyDescent="0.3">
      <c r="A188" s="890" t="s">
        <v>595</v>
      </c>
      <c r="B188" s="890"/>
      <c r="C188" s="895"/>
      <c r="D188" s="895">
        <f t="shared" si="19"/>
        <v>0</v>
      </c>
      <c r="E188" s="895">
        <f t="shared" si="24"/>
        <v>0</v>
      </c>
      <c r="F188" s="895">
        <f t="shared" si="20"/>
        <v>0</v>
      </c>
      <c r="G188" s="895">
        <f t="shared" si="25"/>
        <v>0</v>
      </c>
      <c r="H188" s="895">
        <f t="shared" si="25"/>
        <v>0</v>
      </c>
      <c r="I188" s="895">
        <f t="shared" si="25"/>
        <v>0</v>
      </c>
      <c r="J188" s="895">
        <f t="shared" si="21"/>
        <v>0</v>
      </c>
      <c r="K188" s="895">
        <f t="shared" si="22"/>
        <v>0</v>
      </c>
      <c r="L188" s="895">
        <f t="shared" si="22"/>
        <v>0</v>
      </c>
      <c r="M188" s="895">
        <f t="shared" si="22"/>
        <v>0</v>
      </c>
      <c r="N188" s="895">
        <f t="shared" si="23"/>
        <v>0</v>
      </c>
      <c r="O188" s="895">
        <f t="shared" si="26"/>
        <v>0</v>
      </c>
      <c r="Q188" s="64"/>
    </row>
    <row r="189" spans="1:17" x14ac:dyDescent="0.3">
      <c r="A189" s="891" t="s">
        <v>54</v>
      </c>
      <c r="B189" s="891"/>
      <c r="C189" s="895"/>
      <c r="D189" s="895">
        <f t="shared" si="19"/>
        <v>0</v>
      </c>
      <c r="E189" s="895">
        <f t="shared" si="24"/>
        <v>0</v>
      </c>
      <c r="F189" s="895">
        <f t="shared" si="20"/>
        <v>0.11</v>
      </c>
      <c r="G189" s="895">
        <f t="shared" si="25"/>
        <v>0.11</v>
      </c>
      <c r="H189" s="895">
        <f t="shared" si="25"/>
        <v>0.11</v>
      </c>
      <c r="I189" s="895">
        <f t="shared" si="25"/>
        <v>0.11</v>
      </c>
      <c r="J189" s="895">
        <f t="shared" si="21"/>
        <v>0.73899999999999999</v>
      </c>
      <c r="K189" s="895">
        <f t="shared" si="22"/>
        <v>0.73899999999999999</v>
      </c>
      <c r="L189" s="895">
        <f t="shared" si="22"/>
        <v>0.73899999999999999</v>
      </c>
      <c r="M189" s="895">
        <f t="shared" si="22"/>
        <v>0.73899999999999999</v>
      </c>
      <c r="N189" s="895">
        <f t="shared" si="23"/>
        <v>1.1950000000000001</v>
      </c>
      <c r="O189" s="895">
        <f t="shared" si="26"/>
        <v>1.1950000000000001</v>
      </c>
      <c r="Q189" s="64"/>
    </row>
    <row r="190" spans="1:17" x14ac:dyDescent="0.3">
      <c r="A190" s="891" t="s">
        <v>1471</v>
      </c>
      <c r="B190" s="891"/>
      <c r="C190" s="895"/>
      <c r="D190" s="895">
        <f t="shared" si="19"/>
        <v>0</v>
      </c>
      <c r="E190" s="895">
        <f t="shared" si="24"/>
        <v>0</v>
      </c>
      <c r="F190" s="895">
        <f t="shared" si="20"/>
        <v>-0.41499999999999998</v>
      </c>
      <c r="G190" s="895">
        <f t="shared" si="25"/>
        <v>-0.41499999999999998</v>
      </c>
      <c r="H190" s="895">
        <f t="shared" si="25"/>
        <v>-0.41499999999999998</v>
      </c>
      <c r="I190" s="895">
        <f t="shared" si="25"/>
        <v>-0.41499999999999998</v>
      </c>
      <c r="J190" s="895">
        <f t="shared" si="21"/>
        <v>2.7679999999999998</v>
      </c>
      <c r="K190" s="895">
        <f t="shared" si="22"/>
        <v>2.7679999999999998</v>
      </c>
      <c r="L190" s="895">
        <f t="shared" si="22"/>
        <v>2.7679999999999998</v>
      </c>
      <c r="M190" s="895">
        <f t="shared" si="22"/>
        <v>2.7679999999999998</v>
      </c>
      <c r="N190" s="895">
        <f t="shared" si="23"/>
        <v>-12.473000000000001</v>
      </c>
      <c r="O190" s="895">
        <f t="shared" si="26"/>
        <v>-12.473000000000001</v>
      </c>
      <c r="Q190" s="64"/>
    </row>
    <row r="191" spans="1:17" x14ac:dyDescent="0.3">
      <c r="A191" s="892" t="s">
        <v>57</v>
      </c>
      <c r="B191" s="892"/>
      <c r="C191" s="895"/>
      <c r="D191" s="895">
        <f t="shared" si="19"/>
        <v>-0.622</v>
      </c>
      <c r="E191" s="895">
        <f t="shared" si="24"/>
        <v>-0.622</v>
      </c>
      <c r="F191" s="895">
        <f t="shared" si="20"/>
        <v>21.89</v>
      </c>
      <c r="G191" s="895">
        <f t="shared" si="25"/>
        <v>21.89</v>
      </c>
      <c r="H191" s="895">
        <f t="shared" si="25"/>
        <v>21.89</v>
      </c>
      <c r="I191" s="895">
        <f t="shared" si="25"/>
        <v>21.89</v>
      </c>
      <c r="J191" s="895">
        <f t="shared" si="21"/>
        <v>15.439</v>
      </c>
      <c r="K191" s="895">
        <f t="shared" si="22"/>
        <v>15.439</v>
      </c>
      <c r="L191" s="895">
        <f t="shared" si="22"/>
        <v>15.439</v>
      </c>
      <c r="M191" s="895">
        <f t="shared" si="22"/>
        <v>15.439</v>
      </c>
      <c r="N191" s="895">
        <f t="shared" si="23"/>
        <v>16.966999999999999</v>
      </c>
      <c r="O191" s="895">
        <f t="shared" si="26"/>
        <v>16.966999999999999</v>
      </c>
      <c r="Q191" s="64"/>
    </row>
    <row r="192" spans="1:17" x14ac:dyDescent="0.3">
      <c r="A192" s="893" t="s">
        <v>548</v>
      </c>
      <c r="B192" s="893"/>
      <c r="C192" s="895"/>
      <c r="D192" s="881">
        <f t="shared" ref="D192:D194" si="27">D177</f>
        <v>0</v>
      </c>
      <c r="E192" s="881">
        <f t="shared" ref="E192:E194" si="28">D192</f>
        <v>0</v>
      </c>
      <c r="F192" s="881">
        <f t="shared" ref="F192:F194" si="29">E177</f>
        <v>-3.1549999999999998</v>
      </c>
      <c r="G192" s="881">
        <f t="shared" ref="G192:G194" si="30">F192</f>
        <v>-3.1549999999999998</v>
      </c>
      <c r="H192" s="881">
        <f t="shared" ref="H192:H194" si="31">G192</f>
        <v>-3.1549999999999998</v>
      </c>
      <c r="I192" s="881">
        <f t="shared" ref="I192:I194" si="32">H192</f>
        <v>-3.1549999999999998</v>
      </c>
      <c r="J192" s="881">
        <f t="shared" ref="J192:J194" si="33">F177</f>
        <v>-2.2309999999999999</v>
      </c>
      <c r="K192" s="881">
        <f t="shared" ref="K192:K194" si="34">J192</f>
        <v>-2.2309999999999999</v>
      </c>
      <c r="L192" s="881">
        <f t="shared" ref="L192:L194" si="35">K192</f>
        <v>-2.2309999999999999</v>
      </c>
      <c r="M192" s="881">
        <f t="shared" ref="M192:M194" si="36">L192</f>
        <v>-2.2309999999999999</v>
      </c>
      <c r="N192" s="881">
        <f t="shared" ref="N192:N194" si="37">G177</f>
        <v>-1.6080000000000001</v>
      </c>
      <c r="O192" s="881">
        <f t="shared" ref="O192:O194" si="38">N192</f>
        <v>-1.6080000000000001</v>
      </c>
      <c r="Q192" s="64"/>
    </row>
    <row r="193" spans="1:17" x14ac:dyDescent="0.3">
      <c r="A193" s="893" t="s">
        <v>546</v>
      </c>
      <c r="B193" s="893"/>
      <c r="C193" s="895"/>
      <c r="D193" s="881">
        <f t="shared" si="27"/>
        <v>0</v>
      </c>
      <c r="E193" s="881">
        <f t="shared" si="28"/>
        <v>0</v>
      </c>
      <c r="F193" s="881">
        <f t="shared" si="29"/>
        <v>0.45200000000000001</v>
      </c>
      <c r="G193" s="881">
        <f t="shared" si="30"/>
        <v>0.45200000000000001</v>
      </c>
      <c r="H193" s="881">
        <f t="shared" si="31"/>
        <v>0.45200000000000001</v>
      </c>
      <c r="I193" s="881">
        <f t="shared" si="32"/>
        <v>0.45200000000000001</v>
      </c>
      <c r="J193" s="881">
        <f t="shared" si="33"/>
        <v>-8.67</v>
      </c>
      <c r="K193" s="881">
        <f t="shared" si="34"/>
        <v>-8.67</v>
      </c>
      <c r="L193" s="881">
        <f t="shared" si="35"/>
        <v>-8.67</v>
      </c>
      <c r="M193" s="881">
        <f t="shared" si="36"/>
        <v>-8.67</v>
      </c>
      <c r="N193" s="881">
        <f t="shared" si="37"/>
        <v>-4.5270000000000001</v>
      </c>
      <c r="O193" s="881">
        <f t="shared" si="38"/>
        <v>-4.5270000000000001</v>
      </c>
      <c r="Q193" s="64"/>
    </row>
    <row r="194" spans="1:17" x14ac:dyDescent="0.3">
      <c r="A194" s="893" t="s">
        <v>106</v>
      </c>
      <c r="B194" s="893"/>
      <c r="C194" s="895"/>
      <c r="D194" s="881">
        <f t="shared" si="27"/>
        <v>0</v>
      </c>
      <c r="E194" s="881">
        <f t="shared" si="28"/>
        <v>0</v>
      </c>
      <c r="F194" s="881">
        <f t="shared" si="29"/>
        <v>35.317</v>
      </c>
      <c r="G194" s="881">
        <f t="shared" si="30"/>
        <v>35.317</v>
      </c>
      <c r="H194" s="881">
        <f t="shared" si="31"/>
        <v>35.317</v>
      </c>
      <c r="I194" s="881">
        <f t="shared" si="32"/>
        <v>35.317</v>
      </c>
      <c r="J194" s="881">
        <f t="shared" si="33"/>
        <v>36.033000000000001</v>
      </c>
      <c r="K194" s="881">
        <f t="shared" si="34"/>
        <v>36.033000000000001</v>
      </c>
      <c r="L194" s="881">
        <f t="shared" si="35"/>
        <v>36.033000000000001</v>
      </c>
      <c r="M194" s="881">
        <f t="shared" si="36"/>
        <v>36.033000000000001</v>
      </c>
      <c r="N194" s="881">
        <f t="shared" si="37"/>
        <v>21.076000000000001</v>
      </c>
      <c r="O194" s="881">
        <f t="shared" si="38"/>
        <v>21.076000000000001</v>
      </c>
      <c r="Q194" s="64"/>
    </row>
    <row r="197" spans="1:17" x14ac:dyDescent="0.3">
      <c r="A197" s="58" t="s">
        <v>1474</v>
      </c>
    </row>
    <row r="198" spans="1:17" x14ac:dyDescent="0.3">
      <c r="A198" s="889" t="s">
        <v>52</v>
      </c>
      <c r="D198" s="896">
        <v>0</v>
      </c>
      <c r="E198" s="896">
        <v>0</v>
      </c>
      <c r="F198" s="896">
        <v>2.3250000000000002</v>
      </c>
      <c r="G198" s="896">
        <v>2.3250000000000002</v>
      </c>
      <c r="H198" s="896">
        <v>2.3250000000000002</v>
      </c>
      <c r="I198" s="896">
        <v>2.3250000000000002</v>
      </c>
      <c r="J198" s="896">
        <v>5.5830000000000002</v>
      </c>
      <c r="K198" s="896">
        <v>5.5830000000000002</v>
      </c>
      <c r="L198" s="896">
        <v>5.5830000000000002</v>
      </c>
      <c r="M198" s="896">
        <v>5.5830000000000002</v>
      </c>
      <c r="N198" s="896">
        <v>8.0220000000000002</v>
      </c>
      <c r="O198" s="896">
        <v>8.0220000000000002</v>
      </c>
    </row>
  </sheetData>
  <mergeCells count="5">
    <mergeCell ref="C2:O2"/>
    <mergeCell ref="C42:O42"/>
    <mergeCell ref="C68:O68"/>
    <mergeCell ref="C75:O75"/>
    <mergeCell ref="C82:O82"/>
  </mergeCells>
  <hyperlinks>
    <hyperlink ref="P157" r:id="rId1" xr:uid="{00000000-0004-0000-1800-000000000000}"/>
    <hyperlink ref="P115" r:id="rId2" xr:uid="{00000000-0004-0000-1800-000001000000}"/>
    <hyperlink ref="P153" r:id="rId3" location=":~:text=Who%20is%20eligible%20for%20Conservation,resource%20concerns%20when%20they%20apply." xr:uid="{00000000-0004-0000-1800-000002000000}"/>
    <hyperlink ref="A1" r:id="rId4" xr:uid="{00000000-0004-0000-1800-000003000000}"/>
  </hyperlinks>
  <pageMargins left="0.7" right="0.7" top="0.75" bottom="0.75" header="0.3" footer="0.3"/>
  <pageSetup orientation="portrait" horizontalDpi="1200" verticalDpi="12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50"/>
  <sheetViews>
    <sheetView workbookViewId="0">
      <selection activeCell="E6" sqref="E6"/>
    </sheetView>
  </sheetViews>
  <sheetFormatPr defaultColWidth="11.5546875" defaultRowHeight="14.4" x14ac:dyDescent="0.3"/>
  <cols>
    <col min="1" max="1" width="77.77734375" customWidth="1"/>
    <col min="2" max="2" width="21" customWidth="1"/>
    <col min="5" max="5" width="37.44140625" customWidth="1"/>
    <col min="6" max="6" width="16" customWidth="1"/>
  </cols>
  <sheetData>
    <row r="1" spans="1:6" x14ac:dyDescent="0.3">
      <c r="A1" s="155" t="s">
        <v>621</v>
      </c>
    </row>
    <row r="2" spans="1:6" ht="20.55" customHeight="1" x14ac:dyDescent="0.35">
      <c r="A2" s="985" t="s">
        <v>622</v>
      </c>
      <c r="B2" s="985" t="s">
        <v>623</v>
      </c>
      <c r="C2" s="985" t="s">
        <v>624</v>
      </c>
      <c r="D2" s="985" t="s">
        <v>625</v>
      </c>
    </row>
    <row r="3" spans="1:6" x14ac:dyDescent="0.3">
      <c r="A3" s="986" t="s">
        <v>626</v>
      </c>
      <c r="B3" s="869">
        <f>SUM(B4:B7)</f>
        <v>325</v>
      </c>
      <c r="E3" s="1228" t="s">
        <v>627</v>
      </c>
      <c r="F3" s="1228"/>
    </row>
    <row r="4" spans="1:6" x14ac:dyDescent="0.3">
      <c r="A4" s="855" t="s">
        <v>628</v>
      </c>
      <c r="B4" s="869">
        <v>284</v>
      </c>
      <c r="E4" s="180" t="s">
        <v>51</v>
      </c>
      <c r="F4" s="180" t="s">
        <v>629</v>
      </c>
    </row>
    <row r="5" spans="1:6" x14ac:dyDescent="0.3">
      <c r="A5" s="855" t="s">
        <v>475</v>
      </c>
      <c r="B5" s="869">
        <v>20</v>
      </c>
      <c r="E5" s="155" t="s">
        <v>150</v>
      </c>
      <c r="F5" s="155">
        <f>SUM(B11:B16)</f>
        <v>82</v>
      </c>
    </row>
    <row r="6" spans="1:6" x14ac:dyDescent="0.3">
      <c r="A6" s="855" t="s">
        <v>482</v>
      </c>
      <c r="B6" s="869">
        <v>15</v>
      </c>
      <c r="E6" s="155" t="s">
        <v>49</v>
      </c>
      <c r="F6" s="155">
        <f>B23</f>
        <v>3</v>
      </c>
    </row>
    <row r="7" spans="1:6" x14ac:dyDescent="0.3">
      <c r="A7" s="855" t="s">
        <v>483</v>
      </c>
      <c r="B7" s="869">
        <v>6</v>
      </c>
      <c r="E7" s="155" t="s">
        <v>391</v>
      </c>
      <c r="F7" s="155">
        <f>B27-B28</f>
        <v>29</v>
      </c>
    </row>
    <row r="8" spans="1:6" x14ac:dyDescent="0.3">
      <c r="A8" s="180" t="s">
        <v>630</v>
      </c>
      <c r="B8" s="869">
        <v>121</v>
      </c>
      <c r="E8" s="155" t="s">
        <v>408</v>
      </c>
      <c r="F8" s="155">
        <f>B42</f>
        <v>2</v>
      </c>
    </row>
    <row r="9" spans="1:6" x14ac:dyDescent="0.3">
      <c r="A9" s="987" t="s">
        <v>631</v>
      </c>
      <c r="B9" s="869">
        <v>166</v>
      </c>
      <c r="E9" s="155" t="s">
        <v>632</v>
      </c>
      <c r="F9" s="155">
        <f>B18+B20+B21</f>
        <v>34</v>
      </c>
    </row>
    <row r="10" spans="1:6" x14ac:dyDescent="0.3">
      <c r="A10" s="984" t="s">
        <v>633</v>
      </c>
      <c r="B10" s="869">
        <v>82</v>
      </c>
      <c r="E10" s="180" t="s">
        <v>634</v>
      </c>
      <c r="F10" s="180" t="s">
        <v>635</v>
      </c>
    </row>
    <row r="11" spans="1:6" x14ac:dyDescent="0.3">
      <c r="A11" s="855" t="s">
        <v>636</v>
      </c>
      <c r="B11" s="869">
        <v>54</v>
      </c>
      <c r="E11" s="155" t="s">
        <v>364</v>
      </c>
      <c r="F11" s="155">
        <f>B4</f>
        <v>284</v>
      </c>
    </row>
    <row r="12" spans="1:6" x14ac:dyDescent="0.3">
      <c r="A12" s="855" t="s">
        <v>637</v>
      </c>
      <c r="B12" s="869">
        <v>20</v>
      </c>
      <c r="E12" s="155" t="s">
        <v>638</v>
      </c>
      <c r="F12" s="155">
        <f>B5</f>
        <v>20</v>
      </c>
    </row>
    <row r="13" spans="1:6" x14ac:dyDescent="0.3">
      <c r="A13" s="855" t="s">
        <v>639</v>
      </c>
      <c r="B13" s="869">
        <v>4</v>
      </c>
      <c r="E13" s="155" t="s">
        <v>482</v>
      </c>
      <c r="F13" s="155">
        <f>B6</f>
        <v>15</v>
      </c>
    </row>
    <row r="14" spans="1:6" ht="27.6" customHeight="1" x14ac:dyDescent="0.3">
      <c r="A14" s="855" t="s">
        <v>640</v>
      </c>
      <c r="B14" s="869">
        <v>2</v>
      </c>
      <c r="E14" s="177" t="s">
        <v>483</v>
      </c>
      <c r="F14" s="155">
        <f>B7</f>
        <v>6</v>
      </c>
    </row>
    <row r="15" spans="1:6" ht="27.6" customHeight="1" x14ac:dyDescent="0.3">
      <c r="A15" s="855" t="s">
        <v>641</v>
      </c>
      <c r="B15" s="869">
        <v>1</v>
      </c>
      <c r="E15" s="177" t="s">
        <v>642</v>
      </c>
      <c r="F15" s="155">
        <f>B28</f>
        <v>15</v>
      </c>
    </row>
    <row r="16" spans="1:6" x14ac:dyDescent="0.3">
      <c r="A16" s="855" t="s">
        <v>643</v>
      </c>
      <c r="B16" s="869">
        <v>1</v>
      </c>
      <c r="E16" s="155" t="s">
        <v>644</v>
      </c>
      <c r="F16" s="155">
        <f>B37</f>
        <v>12</v>
      </c>
    </row>
    <row r="17" spans="1:6" x14ac:dyDescent="0.3">
      <c r="A17" s="180" t="s">
        <v>645</v>
      </c>
      <c r="B17" s="869">
        <v>72</v>
      </c>
      <c r="E17" s="155" t="s">
        <v>646</v>
      </c>
      <c r="F17" s="155">
        <f>B38</f>
        <v>10</v>
      </c>
    </row>
    <row r="18" spans="1:6" x14ac:dyDescent="0.3">
      <c r="A18" s="855" t="s">
        <v>647</v>
      </c>
      <c r="B18" s="869">
        <v>22</v>
      </c>
      <c r="C18" s="155" t="s">
        <v>648</v>
      </c>
    </row>
    <row r="19" spans="1:6" x14ac:dyDescent="0.3">
      <c r="A19" s="855" t="s">
        <v>649</v>
      </c>
      <c r="B19" s="869">
        <v>20</v>
      </c>
      <c r="C19" s="155" t="s">
        <v>109</v>
      </c>
    </row>
    <row r="20" spans="1:6" x14ac:dyDescent="0.3">
      <c r="A20" s="855" t="s">
        <v>650</v>
      </c>
      <c r="B20" s="869">
        <v>8</v>
      </c>
      <c r="C20" s="155" t="s">
        <v>648</v>
      </c>
    </row>
    <row r="21" spans="1:6" x14ac:dyDescent="0.3">
      <c r="A21" s="855" t="s">
        <v>651</v>
      </c>
      <c r="B21" s="869">
        <v>4</v>
      </c>
      <c r="C21" s="155" t="s">
        <v>51</v>
      </c>
    </row>
    <row r="22" spans="1:6" x14ac:dyDescent="0.3">
      <c r="A22" s="855" t="s">
        <v>652</v>
      </c>
      <c r="B22" s="869">
        <v>4</v>
      </c>
      <c r="C22" s="155" t="s">
        <v>109</v>
      </c>
    </row>
    <row r="23" spans="1:6" x14ac:dyDescent="0.3">
      <c r="A23" s="855" t="s">
        <v>653</v>
      </c>
      <c r="B23" s="869">
        <v>3</v>
      </c>
      <c r="C23" s="155" t="s">
        <v>654</v>
      </c>
    </row>
    <row r="24" spans="1:6" x14ac:dyDescent="0.3">
      <c r="A24" s="855" t="s">
        <v>655</v>
      </c>
      <c r="B24" s="869">
        <v>3</v>
      </c>
      <c r="C24" s="155" t="s">
        <v>656</v>
      </c>
    </row>
    <row r="25" spans="1:6" x14ac:dyDescent="0.3">
      <c r="A25" s="988" t="s">
        <v>657</v>
      </c>
      <c r="B25" s="869">
        <v>3</v>
      </c>
      <c r="C25" s="155" t="s">
        <v>55</v>
      </c>
    </row>
    <row r="26" spans="1:6" x14ac:dyDescent="0.3">
      <c r="A26" s="855" t="s">
        <v>658</v>
      </c>
      <c r="B26" s="869">
        <v>4</v>
      </c>
      <c r="C26" s="155" t="s">
        <v>659</v>
      </c>
    </row>
    <row r="27" spans="1:6" x14ac:dyDescent="0.3">
      <c r="A27" s="180" t="s">
        <v>391</v>
      </c>
      <c r="B27" s="869">
        <v>44</v>
      </c>
    </row>
    <row r="28" spans="1:6" x14ac:dyDescent="0.3">
      <c r="A28" s="981" t="s">
        <v>642</v>
      </c>
      <c r="B28" s="982">
        <v>15</v>
      </c>
    </row>
    <row r="29" spans="1:6" x14ac:dyDescent="0.3">
      <c r="A29" s="855" t="s">
        <v>660</v>
      </c>
      <c r="B29" s="869">
        <v>14</v>
      </c>
    </row>
    <row r="30" spans="1:6" x14ac:dyDescent="0.3">
      <c r="A30" s="855" t="s">
        <v>661</v>
      </c>
      <c r="B30" s="869">
        <v>10</v>
      </c>
    </row>
    <row r="31" spans="1:6" x14ac:dyDescent="0.3">
      <c r="A31" s="855" t="s">
        <v>662</v>
      </c>
      <c r="B31" s="869">
        <v>2</v>
      </c>
    </row>
    <row r="32" spans="1:6" x14ac:dyDescent="0.3">
      <c r="A32" s="855" t="s">
        <v>663</v>
      </c>
      <c r="B32" s="869">
        <v>2</v>
      </c>
    </row>
    <row r="33" spans="1:6" x14ac:dyDescent="0.3">
      <c r="A33" s="855" t="s">
        <v>664</v>
      </c>
      <c r="B33" s="869">
        <v>1</v>
      </c>
    </row>
    <row r="34" spans="1:6" x14ac:dyDescent="0.3">
      <c r="A34" s="180" t="s">
        <v>665</v>
      </c>
      <c r="B34" s="869">
        <v>88</v>
      </c>
    </row>
    <row r="35" spans="1:6" x14ac:dyDescent="0.3">
      <c r="A35" s="988" t="s">
        <v>666</v>
      </c>
      <c r="B35" s="869">
        <v>26</v>
      </c>
    </row>
    <row r="36" spans="1:6" x14ac:dyDescent="0.3">
      <c r="A36" s="855" t="s">
        <v>667</v>
      </c>
      <c r="B36" s="869">
        <v>25</v>
      </c>
    </row>
    <row r="37" spans="1:6" x14ac:dyDescent="0.3">
      <c r="A37" s="855" t="s">
        <v>644</v>
      </c>
      <c r="B37" s="869">
        <v>12</v>
      </c>
      <c r="C37" s="155" t="s">
        <v>668</v>
      </c>
      <c r="E37" s="155" t="s">
        <v>669</v>
      </c>
      <c r="F37" s="155" t="s">
        <v>670</v>
      </c>
    </row>
    <row r="38" spans="1:6" x14ac:dyDescent="0.3">
      <c r="A38" s="855" t="s">
        <v>646</v>
      </c>
      <c r="B38" s="869">
        <v>10</v>
      </c>
      <c r="C38" s="155" t="s">
        <v>668</v>
      </c>
      <c r="E38" s="155" t="s">
        <v>671</v>
      </c>
      <c r="F38" s="155" t="s">
        <v>672</v>
      </c>
    </row>
    <row r="39" spans="1:6" x14ac:dyDescent="0.3">
      <c r="A39" s="855" t="s">
        <v>673</v>
      </c>
      <c r="B39" s="869">
        <v>7</v>
      </c>
      <c r="C39" s="155" t="s">
        <v>659</v>
      </c>
      <c r="E39" s="155" t="s">
        <v>674</v>
      </c>
      <c r="F39" s="155" t="s">
        <v>675</v>
      </c>
    </row>
    <row r="40" spans="1:6" x14ac:dyDescent="0.3">
      <c r="A40" s="855" t="s">
        <v>676</v>
      </c>
      <c r="B40" s="869">
        <v>5</v>
      </c>
      <c r="C40" s="155" t="s">
        <v>109</v>
      </c>
      <c r="E40" s="155" t="s">
        <v>677</v>
      </c>
    </row>
    <row r="41" spans="1:6" x14ac:dyDescent="0.3">
      <c r="A41" s="855" t="s">
        <v>678</v>
      </c>
      <c r="B41" s="869">
        <v>2</v>
      </c>
      <c r="C41" s="155" t="s">
        <v>659</v>
      </c>
      <c r="E41" s="155" t="s">
        <v>679</v>
      </c>
    </row>
    <row r="42" spans="1:6" x14ac:dyDescent="0.3">
      <c r="A42" s="855" t="s">
        <v>680</v>
      </c>
      <c r="B42" s="869">
        <v>2</v>
      </c>
      <c r="C42" s="155" t="s">
        <v>648</v>
      </c>
      <c r="E42" s="983" t="s">
        <v>681</v>
      </c>
    </row>
    <row r="43" spans="1:6" x14ac:dyDescent="0.3">
      <c r="A43" s="855" t="s">
        <v>682</v>
      </c>
      <c r="B43" s="869">
        <v>0</v>
      </c>
      <c r="E43" s="155" t="s">
        <v>683</v>
      </c>
    </row>
    <row r="44" spans="1:6" x14ac:dyDescent="0.3">
      <c r="A44" s="180" t="s">
        <v>684</v>
      </c>
      <c r="B44" s="869">
        <v>40</v>
      </c>
    </row>
    <row r="45" spans="1:6" x14ac:dyDescent="0.3">
      <c r="A45" s="988" t="s">
        <v>685</v>
      </c>
      <c r="B45" s="989">
        <v>21</v>
      </c>
    </row>
    <row r="46" spans="1:6" x14ac:dyDescent="0.3">
      <c r="A46" s="855" t="s">
        <v>686</v>
      </c>
      <c r="B46" s="869">
        <v>6</v>
      </c>
    </row>
    <row r="47" spans="1:6" x14ac:dyDescent="0.3">
      <c r="A47" s="988" t="s">
        <v>687</v>
      </c>
      <c r="B47" s="989">
        <v>4</v>
      </c>
    </row>
    <row r="48" spans="1:6" x14ac:dyDescent="0.3">
      <c r="A48" s="855" t="s">
        <v>688</v>
      </c>
      <c r="B48" s="869">
        <v>4</v>
      </c>
    </row>
    <row r="49" spans="1:2" x14ac:dyDescent="0.3">
      <c r="A49" s="988" t="s">
        <v>689</v>
      </c>
      <c r="B49" s="989">
        <v>3</v>
      </c>
    </row>
    <row r="50" spans="1:2" x14ac:dyDescent="0.3">
      <c r="A50" s="855" t="s">
        <v>690</v>
      </c>
      <c r="B50" s="869">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J502"/>
  <sheetViews>
    <sheetView zoomScale="105" zoomScaleNormal="90" workbookViewId="0">
      <selection activeCell="G7" sqref="G7"/>
    </sheetView>
  </sheetViews>
  <sheetFormatPr defaultColWidth="11.554687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6" t="s">
        <v>901</v>
      </c>
      <c r="I1" s="1229"/>
      <c r="J1" s="1229"/>
      <c r="K1" s="1229"/>
    </row>
    <row r="2" spans="1:62" ht="13.2" customHeight="1" x14ac:dyDescent="0.3">
      <c r="A2" s="1033"/>
      <c r="O2" s="1013" t="s">
        <v>862</v>
      </c>
      <c r="P2" s="1235" t="s">
        <v>691</v>
      </c>
      <c r="Q2" s="1235"/>
      <c r="R2" s="1235"/>
      <c r="S2" s="1235"/>
      <c r="T2" s="991"/>
      <c r="U2" s="991"/>
      <c r="V2" s="991"/>
      <c r="W2" s="991"/>
      <c r="X2" s="991"/>
      <c r="Y2" s="1230" t="s">
        <v>692</v>
      </c>
      <c r="Z2" s="1231"/>
      <c r="AA2" s="1231"/>
      <c r="AB2" s="1231"/>
      <c r="AC2" s="1231"/>
      <c r="AD2" s="1231"/>
      <c r="AE2" s="991"/>
      <c r="AF2" s="991"/>
      <c r="AG2" s="1232" t="s">
        <v>693</v>
      </c>
      <c r="AH2" s="1231"/>
      <c r="AI2" s="1231"/>
      <c r="AJ2" s="1234" t="s">
        <v>694</v>
      </c>
      <c r="AK2" s="1234"/>
      <c r="AL2" s="1234"/>
      <c r="AM2" s="1234"/>
      <c r="AN2" s="1234"/>
      <c r="AO2" s="1234"/>
      <c r="AP2" s="1234"/>
      <c r="AQ2" s="1234"/>
      <c r="AR2" s="1234"/>
      <c r="AS2" s="1234"/>
      <c r="AT2" s="992"/>
      <c r="AU2" s="1233" t="s">
        <v>434</v>
      </c>
      <c r="AV2" s="1233"/>
      <c r="AW2" s="1233"/>
      <c r="AX2" s="1233"/>
      <c r="AY2" s="1233"/>
      <c r="AZ2" s="1233"/>
      <c r="BA2" s="1233"/>
      <c r="BB2" s="997"/>
      <c r="BC2" s="997"/>
      <c r="BD2" s="997"/>
      <c r="BE2" s="997"/>
      <c r="BF2" s="997"/>
      <c r="BG2" s="997"/>
      <c r="BH2" s="997"/>
      <c r="BI2" s="997"/>
      <c r="BJ2" s="1003" t="s">
        <v>695</v>
      </c>
    </row>
    <row r="3" spans="1:62" ht="43.2" customHeight="1" x14ac:dyDescent="0.3">
      <c r="A3" s="1034"/>
      <c r="B3" s="1034"/>
      <c r="C3" s="1034"/>
      <c r="D3" s="1034"/>
      <c r="E3" s="1034"/>
      <c r="F3" s="1034"/>
      <c r="G3" s="1034"/>
      <c r="H3" s="1034"/>
      <c r="I3" s="1034"/>
      <c r="J3" s="1034"/>
      <c r="K3" s="1034"/>
      <c r="L3" s="1034"/>
      <c r="M3" s="1034"/>
      <c r="N3" s="1034"/>
      <c r="O3" s="1014" t="s">
        <v>696</v>
      </c>
      <c r="P3" s="996" t="s">
        <v>697</v>
      </c>
      <c r="Q3" s="996" t="s">
        <v>698</v>
      </c>
      <c r="R3" s="996" t="s">
        <v>699</v>
      </c>
      <c r="S3" s="996" t="s">
        <v>700</v>
      </c>
      <c r="T3" s="996" t="s">
        <v>701</v>
      </c>
      <c r="U3" s="996" t="s">
        <v>702</v>
      </c>
      <c r="V3" s="996" t="s">
        <v>703</v>
      </c>
      <c r="W3" s="996" t="s">
        <v>704</v>
      </c>
      <c r="X3" s="996" t="s">
        <v>705</v>
      </c>
      <c r="Y3" s="996" t="s">
        <v>706</v>
      </c>
      <c r="Z3" s="996"/>
      <c r="AA3" s="996"/>
      <c r="AB3" s="996"/>
      <c r="AC3" s="996" t="s">
        <v>707</v>
      </c>
      <c r="AD3" s="996" t="s">
        <v>708</v>
      </c>
      <c r="AE3" s="996" t="s">
        <v>709</v>
      </c>
      <c r="AF3" s="996" t="s">
        <v>710</v>
      </c>
      <c r="AG3" s="996" t="s">
        <v>711</v>
      </c>
      <c r="AH3" s="996" t="s">
        <v>712</v>
      </c>
      <c r="AI3" s="996" t="s">
        <v>713</v>
      </c>
      <c r="AJ3" s="996" t="s">
        <v>714</v>
      </c>
      <c r="AK3" s="996" t="s">
        <v>715</v>
      </c>
      <c r="AL3" s="996" t="s">
        <v>716</v>
      </c>
      <c r="AM3" s="996" t="s">
        <v>717</v>
      </c>
      <c r="AN3" s="996" t="s">
        <v>718</v>
      </c>
      <c r="AO3" s="996" t="s">
        <v>719</v>
      </c>
      <c r="AP3" s="996" t="s">
        <v>720</v>
      </c>
      <c r="AQ3" s="1009" t="s">
        <v>721</v>
      </c>
      <c r="AR3" s="996" t="s">
        <v>722</v>
      </c>
      <c r="AS3" s="996" t="s">
        <v>723</v>
      </c>
      <c r="AT3" s="996" t="s">
        <v>724</v>
      </c>
      <c r="AU3" s="996" t="s">
        <v>725</v>
      </c>
      <c r="AV3" s="996" t="s">
        <v>726</v>
      </c>
      <c r="AW3" s="996" t="s">
        <v>727</v>
      </c>
      <c r="AX3" s="996" t="s">
        <v>728</v>
      </c>
      <c r="AY3" s="996" t="s">
        <v>729</v>
      </c>
      <c r="AZ3" s="996" t="s">
        <v>730</v>
      </c>
      <c r="BA3" s="996" t="s">
        <v>707</v>
      </c>
      <c r="BB3" s="1004" t="s">
        <v>731</v>
      </c>
      <c r="BC3" s="1004" t="s">
        <v>732</v>
      </c>
      <c r="BD3" s="1004" t="s">
        <v>733</v>
      </c>
      <c r="BE3" s="1004" t="s">
        <v>734</v>
      </c>
      <c r="BF3" s="1004" t="s">
        <v>735</v>
      </c>
      <c r="BG3" s="1004" t="s">
        <v>736</v>
      </c>
      <c r="BH3" s="1004" t="s">
        <v>737</v>
      </c>
      <c r="BI3" s="1004" t="s">
        <v>738</v>
      </c>
      <c r="BJ3" s="998" t="s">
        <v>739</v>
      </c>
    </row>
    <row r="4" spans="1:62" ht="63" customHeight="1" x14ac:dyDescent="0.3">
      <c r="A4" s="1007" t="s">
        <v>740</v>
      </c>
      <c r="B4" s="1033" t="s">
        <v>56</v>
      </c>
      <c r="C4" s="1033" t="s">
        <v>741</v>
      </c>
      <c r="D4" s="1033" t="s">
        <v>611</v>
      </c>
      <c r="E4" s="1033" t="s">
        <v>742</v>
      </c>
      <c r="F4" s="1033" t="s">
        <v>743</v>
      </c>
      <c r="G4" s="1033" t="s">
        <v>744</v>
      </c>
      <c r="H4" s="1033" t="s">
        <v>131</v>
      </c>
      <c r="I4" s="990" t="s">
        <v>396</v>
      </c>
      <c r="J4" s="990" t="s">
        <v>150</v>
      </c>
      <c r="K4" s="990" t="s">
        <v>745</v>
      </c>
      <c r="L4" s="1038" t="s">
        <v>159</v>
      </c>
      <c r="M4" s="1033" t="s">
        <v>109</v>
      </c>
      <c r="N4" s="1033" t="s">
        <v>746</v>
      </c>
      <c r="O4" s="1015" t="s">
        <v>747</v>
      </c>
      <c r="P4" s="1004" t="s">
        <v>748</v>
      </c>
      <c r="Q4" s="1004" t="s">
        <v>749</v>
      </c>
      <c r="R4" s="1004" t="s">
        <v>750</v>
      </c>
      <c r="S4" s="1004" t="s">
        <v>751</v>
      </c>
      <c r="T4" s="1004" t="s">
        <v>752</v>
      </c>
      <c r="U4" s="1004" t="s">
        <v>753</v>
      </c>
      <c r="V4" s="1004" t="s">
        <v>754</v>
      </c>
      <c r="W4" s="1004" t="s">
        <v>755</v>
      </c>
      <c r="X4" s="1004" t="s">
        <v>756</v>
      </c>
      <c r="Y4" s="1004" t="s">
        <v>757</v>
      </c>
      <c r="Z4" s="1004" t="s">
        <v>758</v>
      </c>
      <c r="AA4" s="1004" t="s">
        <v>759</v>
      </c>
      <c r="AB4" s="1004" t="s">
        <v>760</v>
      </c>
      <c r="AC4" s="1004" t="s">
        <v>761</v>
      </c>
      <c r="AD4" s="1004" t="s">
        <v>762</v>
      </c>
      <c r="AE4" s="1004" t="s">
        <v>763</v>
      </c>
      <c r="AF4" s="1004" t="s">
        <v>764</v>
      </c>
      <c r="AG4" s="1004" t="s">
        <v>210</v>
      </c>
      <c r="AH4" s="1004" t="s">
        <v>211</v>
      </c>
      <c r="AI4" s="1004" t="s">
        <v>765</v>
      </c>
      <c r="AJ4" s="1004" t="s">
        <v>766</v>
      </c>
      <c r="AK4" s="1004" t="s">
        <v>767</v>
      </c>
      <c r="AL4" s="1004" t="s">
        <v>768</v>
      </c>
      <c r="AM4" s="1004" t="s">
        <v>769</v>
      </c>
      <c r="AN4" s="1004" t="s">
        <v>770</v>
      </c>
      <c r="AO4" s="1004" t="s">
        <v>771</v>
      </c>
      <c r="AP4" s="1004" t="s">
        <v>772</v>
      </c>
      <c r="AQ4" s="1005" t="s">
        <v>773</v>
      </c>
      <c r="AR4" s="1004" t="s">
        <v>774</v>
      </c>
      <c r="AS4" s="1004" t="s">
        <v>775</v>
      </c>
      <c r="AT4" s="1004" t="s">
        <v>776</v>
      </c>
      <c r="AU4" s="1004" t="s">
        <v>777</v>
      </c>
      <c r="AV4" s="1004" t="s">
        <v>778</v>
      </c>
      <c r="AW4" s="1004" t="s">
        <v>779</v>
      </c>
      <c r="AX4" s="1004" t="s">
        <v>780</v>
      </c>
      <c r="AY4" s="1004" t="s">
        <v>781</v>
      </c>
      <c r="AZ4" s="1004" t="s">
        <v>782</v>
      </c>
      <c r="BA4" s="1004"/>
      <c r="BB4" s="1004" t="s">
        <v>487</v>
      </c>
      <c r="BC4" s="1004" t="s">
        <v>783</v>
      </c>
      <c r="BD4" s="1004" t="s">
        <v>784</v>
      </c>
      <c r="BE4" s="1004" t="s">
        <v>785</v>
      </c>
      <c r="BF4" s="1004" t="s">
        <v>786</v>
      </c>
      <c r="BG4" s="1004" t="s">
        <v>787</v>
      </c>
      <c r="BH4" s="1004" t="s">
        <v>788</v>
      </c>
      <c r="BI4" s="1004" t="s">
        <v>789</v>
      </c>
      <c r="BJ4" s="1006" t="s">
        <v>790</v>
      </c>
    </row>
    <row r="5" spans="1:62" x14ac:dyDescent="0.3">
      <c r="A5" s="1035">
        <v>2021</v>
      </c>
      <c r="B5" s="1037">
        <f>Q5</f>
        <v>394.202</v>
      </c>
      <c r="C5" s="1037">
        <f>SUM(Y5:AB5)</f>
        <v>195.7</v>
      </c>
      <c r="D5" s="1037">
        <f>T5</f>
        <v>18.823</v>
      </c>
      <c r="E5" s="1037">
        <f>SUM(P5:S5)-B5</f>
        <v>0.77600000000001046</v>
      </c>
      <c r="F5" s="1037">
        <f>SUM(T5:AF5)-C5-L5-D5 - 28</f>
        <v>19.722000000000016</v>
      </c>
      <c r="G5" s="1037">
        <f>SUM(BB5:BI5)-BC5</f>
        <v>81.642999999999986</v>
      </c>
      <c r="H5" s="1037">
        <f>SUM(AG5:AI5)</f>
        <v>7.798</v>
      </c>
      <c r="I5" s="1037">
        <f>AJ5</f>
        <v>283.95749999999998</v>
      </c>
      <c r="J5" s="1037">
        <f>AL5</f>
        <v>12.347</v>
      </c>
      <c r="K5" s="1037">
        <f>SUM(AM5:AT5)</f>
        <v>29.628</v>
      </c>
      <c r="L5" s="993">
        <f>103/4</f>
        <v>25.75</v>
      </c>
      <c r="M5" s="1037">
        <f t="shared" ref="M5:M16" si="0">SUM(AU5:BA5)</f>
        <v>31.939</v>
      </c>
      <c r="N5" s="1037">
        <f>AK5</f>
        <v>3.4</v>
      </c>
      <c r="O5" s="1016">
        <v>50</v>
      </c>
      <c r="P5" s="1011">
        <v>0.55000000000000004</v>
      </c>
      <c r="Q5" s="1012">
        <v>394.202</v>
      </c>
      <c r="R5" s="1018">
        <v>0.14599999999999999</v>
      </c>
      <c r="S5" s="1018">
        <v>0.08</v>
      </c>
      <c r="T5" s="1018">
        <v>18.823</v>
      </c>
      <c r="U5" s="1012">
        <v>19</v>
      </c>
      <c r="V5" s="1018">
        <v>11.481999999999999</v>
      </c>
      <c r="W5" s="1030">
        <v>1.5580000000000001</v>
      </c>
      <c r="X5" s="1030">
        <v>0.74</v>
      </c>
      <c r="Y5" s="1012">
        <v>0.2</v>
      </c>
      <c r="Z5" s="1012">
        <v>43.1</v>
      </c>
      <c r="AA5" s="1012">
        <v>33.9</v>
      </c>
      <c r="AB5" s="1012">
        <v>118.5</v>
      </c>
      <c r="AC5" s="1012">
        <v>28</v>
      </c>
      <c r="AD5" s="1030">
        <v>-2.0379999999999998</v>
      </c>
      <c r="AE5" s="1012">
        <v>14.31</v>
      </c>
      <c r="AF5" s="1018">
        <v>0.42</v>
      </c>
      <c r="AG5" s="1018">
        <v>7.7279999999999998</v>
      </c>
      <c r="AH5" s="1012">
        <v>7.0000000000000007E-2</v>
      </c>
      <c r="AI5" s="1012">
        <v>0</v>
      </c>
      <c r="AJ5" s="1012">
        <v>283.95749999999998</v>
      </c>
      <c r="AK5" s="1010">
        <v>3.4</v>
      </c>
      <c r="AL5" s="1010">
        <v>12.347</v>
      </c>
      <c r="AM5" s="1019">
        <v>0.28599999999999998</v>
      </c>
      <c r="AN5" s="1010">
        <v>2</v>
      </c>
      <c r="AO5" s="1012">
        <v>0.81</v>
      </c>
      <c r="AP5" s="1010">
        <v>0.52100000000000002</v>
      </c>
      <c r="AQ5" s="1020">
        <v>10</v>
      </c>
      <c r="AR5" s="1010">
        <v>2.7</v>
      </c>
      <c r="AS5" s="1010">
        <v>0.751</v>
      </c>
      <c r="AT5" s="1012">
        <v>12.56</v>
      </c>
      <c r="AU5" s="1012">
        <v>0</v>
      </c>
      <c r="AV5" s="1010">
        <v>1.415</v>
      </c>
      <c r="AW5" s="1010">
        <v>10.51</v>
      </c>
      <c r="AX5" s="1010">
        <v>2.6</v>
      </c>
      <c r="AY5" s="1012">
        <v>-0.33</v>
      </c>
      <c r="AZ5" s="1010">
        <v>17.744</v>
      </c>
      <c r="BA5" s="1012">
        <v>0</v>
      </c>
      <c r="BB5" s="1010">
        <v>4.0999999999999996</v>
      </c>
      <c r="BC5" s="1010">
        <v>7.25</v>
      </c>
      <c r="BD5" s="1010">
        <v>48.4</v>
      </c>
      <c r="BE5" s="1018">
        <v>0.83</v>
      </c>
      <c r="BF5" s="1030">
        <v>4.5110000000000001</v>
      </c>
      <c r="BG5" s="1012">
        <v>3.0739999999999998</v>
      </c>
      <c r="BH5" s="1021">
        <v>-0.28399999999999997</v>
      </c>
      <c r="BI5" s="1010">
        <v>21.012</v>
      </c>
      <c r="BJ5" s="999">
        <v>1.1599999999999999</v>
      </c>
    </row>
    <row r="6" spans="1:62" x14ac:dyDescent="0.3">
      <c r="A6" s="1035">
        <v>2022</v>
      </c>
      <c r="B6" s="1037">
        <f t="shared" ref="B6:B15" si="1">Q6</f>
        <v>17.465</v>
      </c>
      <c r="C6" s="1037">
        <f t="shared" ref="C6:C15" si="2">SUM(Y6:AB6)</f>
        <v>10.1</v>
      </c>
      <c r="D6" s="1037">
        <f t="shared" ref="D6:D15" si="3">T6</f>
        <v>2.5950000000000002</v>
      </c>
      <c r="E6" s="1037">
        <f t="shared" ref="E6:E15" si="4">SUM(P6:S6)-B6</f>
        <v>19.719000000000005</v>
      </c>
      <c r="F6" s="1037">
        <f>SUM(T6:AF6)-C6-L6-D6</f>
        <v>52.756999999999998</v>
      </c>
      <c r="G6" s="1037">
        <f t="shared" ref="G6:G16" si="5">SUM(BB6:BI6)-BC6</f>
        <v>110.24799999999999</v>
      </c>
      <c r="H6" s="1037">
        <f t="shared" ref="H6:H15" si="6">SUM(AG6:AI6)</f>
        <v>7.9489999999999998</v>
      </c>
      <c r="I6" s="1037">
        <f t="shared" ref="I6:I15" si="7">AJ6</f>
        <v>77.092500000000001</v>
      </c>
      <c r="J6" s="1037">
        <f t="shared" ref="J6:J15" si="8">AL6</f>
        <v>46.79</v>
      </c>
      <c r="K6" s="1037">
        <f t="shared" ref="K6:K16" si="9">SUM(AM6:AT6)</f>
        <v>35.671000000000006</v>
      </c>
      <c r="L6" s="993">
        <v>0</v>
      </c>
      <c r="M6" s="1037">
        <f t="shared" si="0"/>
        <v>56.412999999999997</v>
      </c>
      <c r="N6" s="1037">
        <f t="shared" ref="N6:N15" si="10">AK6</f>
        <v>5.0999999999999996</v>
      </c>
      <c r="O6" s="1016">
        <v>55</v>
      </c>
      <c r="P6" s="1011">
        <v>15.61</v>
      </c>
      <c r="Q6" s="1012">
        <v>17.465</v>
      </c>
      <c r="R6" s="1018">
        <v>0.317</v>
      </c>
      <c r="S6" s="1018">
        <v>3.7919999999999998</v>
      </c>
      <c r="T6" s="1012">
        <v>2.5950000000000002</v>
      </c>
      <c r="U6" s="1010">
        <v>14.5</v>
      </c>
      <c r="V6" s="1012">
        <v>25.070999999999998</v>
      </c>
      <c r="W6" s="1030">
        <v>1.952</v>
      </c>
      <c r="X6" s="1030">
        <v>0.61399999999999999</v>
      </c>
      <c r="Y6" s="1010">
        <v>0</v>
      </c>
      <c r="Z6" s="1010">
        <v>2.2999999999999998</v>
      </c>
      <c r="AA6" s="1010">
        <v>1.6</v>
      </c>
      <c r="AB6" s="1010">
        <v>6.2</v>
      </c>
      <c r="AC6" s="1012">
        <v>0</v>
      </c>
      <c r="AD6" s="1012">
        <v>1.31</v>
      </c>
      <c r="AE6" s="1012">
        <v>8.61</v>
      </c>
      <c r="AF6" s="1012">
        <v>0.7</v>
      </c>
      <c r="AG6" s="1018">
        <v>7.782</v>
      </c>
      <c r="AH6" s="1012">
        <v>0.12</v>
      </c>
      <c r="AI6" s="1012">
        <v>4.7E-2</v>
      </c>
      <c r="AJ6" s="1012">
        <v>77.092500000000001</v>
      </c>
      <c r="AK6" s="1010">
        <v>5.0999999999999996</v>
      </c>
      <c r="AL6" s="1010">
        <v>46.79</v>
      </c>
      <c r="AM6" s="1021">
        <v>0.30499999999999999</v>
      </c>
      <c r="AN6" s="1010">
        <v>4.3</v>
      </c>
      <c r="AO6" s="1030">
        <v>1.1000000000000001</v>
      </c>
      <c r="AP6" s="1010">
        <v>1.575</v>
      </c>
      <c r="AQ6" s="1020">
        <v>10</v>
      </c>
      <c r="AR6" s="1010">
        <v>4.5</v>
      </c>
      <c r="AS6" s="1010">
        <v>1.9810000000000001</v>
      </c>
      <c r="AT6" s="1012">
        <v>11.91</v>
      </c>
      <c r="AU6" s="1012">
        <v>0</v>
      </c>
      <c r="AV6" s="1010">
        <v>3.927</v>
      </c>
      <c r="AW6" s="1010">
        <v>4.2880000000000003</v>
      </c>
      <c r="AX6" s="1010">
        <v>3.7</v>
      </c>
      <c r="AY6" s="1012">
        <v>-1.34</v>
      </c>
      <c r="AZ6" s="1010">
        <v>45.838000000000001</v>
      </c>
      <c r="BA6" s="1012">
        <v>0</v>
      </c>
      <c r="BB6" s="1010">
        <v>11.3</v>
      </c>
      <c r="BC6" s="1010">
        <v>0</v>
      </c>
      <c r="BD6" s="1010">
        <v>1.1000000000000001</v>
      </c>
      <c r="BE6" s="1018">
        <v>1.75</v>
      </c>
      <c r="BF6" s="1030">
        <v>1.7330000000000001</v>
      </c>
      <c r="BG6" s="1030">
        <v>7.1440000000000001</v>
      </c>
      <c r="BH6" s="1022">
        <v>81.608999999999995</v>
      </c>
      <c r="BI6" s="1010">
        <v>5.6120000000000001</v>
      </c>
      <c r="BJ6" s="999">
        <v>4.2</v>
      </c>
    </row>
    <row r="7" spans="1:62" x14ac:dyDescent="0.3">
      <c r="A7" s="1035">
        <v>2023</v>
      </c>
      <c r="B7" s="1037">
        <f t="shared" si="1"/>
        <v>0.48599999999999999</v>
      </c>
      <c r="C7" s="1037">
        <f t="shared" si="2"/>
        <v>0</v>
      </c>
      <c r="D7" s="1037">
        <f t="shared" si="3"/>
        <v>0.93700000000000006</v>
      </c>
      <c r="E7" s="1037">
        <f t="shared" si="4"/>
        <v>1.4159999999999999</v>
      </c>
      <c r="F7" s="1037">
        <f t="shared" ref="F7:F15" si="11">SUM(T7:AF7)-C7-L7-D7</f>
        <v>12</v>
      </c>
      <c r="G7" s="1037">
        <f t="shared" si="5"/>
        <v>12.726000000000001</v>
      </c>
      <c r="H7" s="1037">
        <f t="shared" si="6"/>
        <v>4.7519999999999998</v>
      </c>
      <c r="I7" s="1037">
        <f t="shared" si="7"/>
        <v>1</v>
      </c>
      <c r="J7" s="1037">
        <f t="shared" si="8"/>
        <v>38.595999999999997</v>
      </c>
      <c r="K7" s="1037">
        <f t="shared" si="9"/>
        <v>24.216000000000001</v>
      </c>
      <c r="L7" s="993">
        <v>0</v>
      </c>
      <c r="M7" s="1037">
        <f t="shared" si="0"/>
        <v>15.652999999999999</v>
      </c>
      <c r="N7" s="1037">
        <f t="shared" si="10"/>
        <v>0</v>
      </c>
      <c r="O7" s="1016">
        <v>0.7</v>
      </c>
      <c r="P7" s="1011">
        <v>0.96</v>
      </c>
      <c r="Q7" s="1012">
        <v>0.48599999999999999</v>
      </c>
      <c r="R7" s="1018">
        <v>0.45600000000000002</v>
      </c>
      <c r="S7" s="1012">
        <v>0</v>
      </c>
      <c r="T7" s="1023">
        <v>0.93700000000000006</v>
      </c>
      <c r="U7" s="1010">
        <v>3</v>
      </c>
      <c r="V7" s="1018">
        <v>7.891</v>
      </c>
      <c r="W7" s="1030">
        <v>0.61699999999999999</v>
      </c>
      <c r="X7" s="1030">
        <v>8.4000000000000005E-2</v>
      </c>
      <c r="Y7" s="1010">
        <v>0</v>
      </c>
      <c r="Z7" s="1010">
        <v>0</v>
      </c>
      <c r="AA7" s="1010">
        <v>0</v>
      </c>
      <c r="AB7" s="1010">
        <v>0</v>
      </c>
      <c r="AC7" s="1012">
        <v>0</v>
      </c>
      <c r="AD7" s="1012">
        <v>0.318</v>
      </c>
      <c r="AE7" s="1018">
        <v>-0.11000000000000001</v>
      </c>
      <c r="AF7" s="1012">
        <v>0.2</v>
      </c>
      <c r="AG7" s="1018">
        <v>4.6749999999999998</v>
      </c>
      <c r="AH7" s="1012">
        <v>0.06</v>
      </c>
      <c r="AI7" s="1012">
        <v>1.7000000000000001E-2</v>
      </c>
      <c r="AJ7" s="1012">
        <v>1</v>
      </c>
      <c r="AK7" s="1010">
        <v>0</v>
      </c>
      <c r="AL7" s="1010">
        <v>38.595999999999997</v>
      </c>
      <c r="AM7" s="1012">
        <v>0.14899999999999999</v>
      </c>
      <c r="AN7" s="1010">
        <v>1.2</v>
      </c>
      <c r="AO7" s="1030">
        <v>0.53</v>
      </c>
      <c r="AP7" s="1010">
        <v>0.38100000000000001</v>
      </c>
      <c r="AQ7" s="1020">
        <v>8</v>
      </c>
      <c r="AR7" s="1010">
        <v>4.5</v>
      </c>
      <c r="AS7" s="1010">
        <v>0.76600000000000001</v>
      </c>
      <c r="AT7" s="1012">
        <v>8.69</v>
      </c>
      <c r="AU7" s="1012">
        <v>0</v>
      </c>
      <c r="AV7" s="1010">
        <v>1.93</v>
      </c>
      <c r="AW7" s="1010">
        <v>1.4379999999999999</v>
      </c>
      <c r="AX7" s="1010">
        <v>2.6</v>
      </c>
      <c r="AY7" s="1030">
        <v>-2.48</v>
      </c>
      <c r="AZ7" s="1010">
        <v>12.164999999999999</v>
      </c>
      <c r="BA7" s="1030">
        <v>0</v>
      </c>
      <c r="BB7" s="1010">
        <v>8.4</v>
      </c>
      <c r="BC7" s="1010">
        <v>0</v>
      </c>
      <c r="BD7" s="1010">
        <v>0.3</v>
      </c>
      <c r="BE7" s="1018">
        <v>1.8</v>
      </c>
      <c r="BF7" s="1030">
        <v>0</v>
      </c>
      <c r="BG7" s="1030">
        <v>0</v>
      </c>
      <c r="BH7" s="1021">
        <v>1.3759999999999999</v>
      </c>
      <c r="BI7" s="1010">
        <v>0.85</v>
      </c>
      <c r="BJ7" s="999">
        <v>2.7</v>
      </c>
    </row>
    <row r="8" spans="1:62" x14ac:dyDescent="0.3">
      <c r="A8" s="1035">
        <v>2024</v>
      </c>
      <c r="B8" s="1037">
        <f t="shared" si="1"/>
        <v>0</v>
      </c>
      <c r="C8" s="1037">
        <f t="shared" si="2"/>
        <v>0</v>
      </c>
      <c r="D8" s="1037">
        <f t="shared" si="3"/>
        <v>0.16</v>
      </c>
      <c r="E8" s="1037">
        <f t="shared" si="4"/>
        <v>1.4790000000000001</v>
      </c>
      <c r="F8" s="1037">
        <f t="shared" si="11"/>
        <v>4.2219999999999995</v>
      </c>
      <c r="G8" s="1037">
        <f t="shared" si="5"/>
        <v>1.365</v>
      </c>
      <c r="H8" s="1037">
        <f t="shared" si="6"/>
        <v>4.637999999999999</v>
      </c>
      <c r="I8" s="1037">
        <f t="shared" si="7"/>
        <v>0</v>
      </c>
      <c r="J8" s="1037">
        <f t="shared" si="8"/>
        <v>31.911000000000001</v>
      </c>
      <c r="K8" s="1037">
        <f t="shared" si="9"/>
        <v>9.6430000000000007</v>
      </c>
      <c r="L8" s="993">
        <v>0</v>
      </c>
      <c r="M8" s="1037">
        <f t="shared" si="0"/>
        <v>3.9320000000000004</v>
      </c>
      <c r="N8" s="1037">
        <f t="shared" si="10"/>
        <v>0</v>
      </c>
      <c r="O8" s="1016">
        <v>0.7</v>
      </c>
      <c r="P8" s="1011">
        <v>0.96</v>
      </c>
      <c r="Q8" s="1010">
        <v>0</v>
      </c>
      <c r="R8" s="1018">
        <v>0.51900000000000002</v>
      </c>
      <c r="S8" s="1012">
        <v>0</v>
      </c>
      <c r="T8" s="1024">
        <v>0.16</v>
      </c>
      <c r="U8" s="1010">
        <v>2.8</v>
      </c>
      <c r="V8" s="1012">
        <v>0.504</v>
      </c>
      <c r="W8" s="1030">
        <v>0.47199999999999998</v>
      </c>
      <c r="X8" s="1030">
        <v>2E-3</v>
      </c>
      <c r="Y8" s="1010">
        <v>0</v>
      </c>
      <c r="Z8" s="1010">
        <v>0</v>
      </c>
      <c r="AA8" s="1010">
        <v>0</v>
      </c>
      <c r="AB8" s="1010">
        <v>0</v>
      </c>
      <c r="AC8" s="1012">
        <v>0</v>
      </c>
      <c r="AD8" s="1012">
        <v>0.34399999999999997</v>
      </c>
      <c r="AE8" s="1018">
        <v>0</v>
      </c>
      <c r="AF8" s="1018">
        <v>0.1</v>
      </c>
      <c r="AG8" s="1018">
        <v>4.5739999999999998</v>
      </c>
      <c r="AH8" s="1012">
        <v>0.06</v>
      </c>
      <c r="AI8" s="1012">
        <v>4.0000000000000001E-3</v>
      </c>
      <c r="AJ8" s="1012">
        <v>0</v>
      </c>
      <c r="AK8" s="1010">
        <v>0</v>
      </c>
      <c r="AL8" s="1010">
        <v>31.911000000000001</v>
      </c>
      <c r="AM8" s="1012">
        <v>4.1000000000000002E-2</v>
      </c>
      <c r="AN8" s="1010">
        <v>0.4</v>
      </c>
      <c r="AO8" s="1030">
        <v>0.41</v>
      </c>
      <c r="AP8" s="1010">
        <v>0.13100000000000001</v>
      </c>
      <c r="AQ8" s="1020">
        <v>0</v>
      </c>
      <c r="AR8" s="1010">
        <v>3</v>
      </c>
      <c r="AS8" s="1010">
        <v>0.30099999999999999</v>
      </c>
      <c r="AT8" s="1030">
        <v>5.36</v>
      </c>
      <c r="AU8" s="1012">
        <v>0</v>
      </c>
      <c r="AV8" s="1010">
        <v>0.79600000000000004</v>
      </c>
      <c r="AW8" s="1010">
        <v>0.27500000000000002</v>
      </c>
      <c r="AX8" s="1010">
        <v>1</v>
      </c>
      <c r="AY8" s="1030">
        <v>-2.6</v>
      </c>
      <c r="AZ8" s="1010">
        <v>4.4610000000000003</v>
      </c>
      <c r="BA8" s="1030">
        <v>0</v>
      </c>
      <c r="BB8" s="1010">
        <v>0.2</v>
      </c>
      <c r="BC8" s="1010">
        <v>0</v>
      </c>
      <c r="BD8" s="1010">
        <v>0</v>
      </c>
      <c r="BE8" s="1018">
        <v>1.95</v>
      </c>
      <c r="BF8" s="1030">
        <v>0</v>
      </c>
      <c r="BG8" s="1030">
        <v>0</v>
      </c>
      <c r="BH8" s="1021">
        <v>-0.875</v>
      </c>
      <c r="BI8" s="1010">
        <v>0.09</v>
      </c>
      <c r="BJ8" s="1000">
        <v>0.87</v>
      </c>
    </row>
    <row r="9" spans="1:62" x14ac:dyDescent="0.3">
      <c r="A9" s="1035">
        <v>2025</v>
      </c>
      <c r="B9" s="1037">
        <f t="shared" si="1"/>
        <v>0</v>
      </c>
      <c r="C9" s="1037">
        <f t="shared" si="2"/>
        <v>0</v>
      </c>
      <c r="D9" s="1037">
        <f t="shared" si="3"/>
        <v>3.3000000000000002E-2</v>
      </c>
      <c r="E9" s="1037">
        <f t="shared" si="4"/>
        <v>1.63</v>
      </c>
      <c r="F9" s="1037">
        <f t="shared" si="11"/>
        <v>2.3719999999999999</v>
      </c>
      <c r="G9" s="1037">
        <f t="shared" si="5"/>
        <v>-0.90100000000000025</v>
      </c>
      <c r="H9" s="1037">
        <f t="shared" si="6"/>
        <v>1.8800000000000001</v>
      </c>
      <c r="I9" s="1037">
        <f t="shared" si="7"/>
        <v>0</v>
      </c>
      <c r="J9" s="1037">
        <f t="shared" si="8"/>
        <v>23.099</v>
      </c>
      <c r="K9" s="1037">
        <f t="shared" si="9"/>
        <v>4.5789999999999997</v>
      </c>
      <c r="L9" s="993">
        <v>0</v>
      </c>
      <c r="M9" s="1037">
        <f t="shared" si="0"/>
        <v>-0.74299999999999988</v>
      </c>
      <c r="N9" s="1037">
        <f t="shared" si="10"/>
        <v>0</v>
      </c>
      <c r="O9" s="1016">
        <v>0.7</v>
      </c>
      <c r="P9" s="1011">
        <v>1.06</v>
      </c>
      <c r="Q9" s="1010">
        <v>0</v>
      </c>
      <c r="R9" s="1018">
        <v>0.56999999999999995</v>
      </c>
      <c r="S9" s="1012">
        <v>0</v>
      </c>
      <c r="T9" s="1025">
        <v>3.3000000000000002E-2</v>
      </c>
      <c r="U9" s="1010">
        <v>2</v>
      </c>
      <c r="V9" s="1025">
        <v>0</v>
      </c>
      <c r="W9" s="1030">
        <v>0.21299999999999999</v>
      </c>
      <c r="X9" s="1030">
        <v>2E-3</v>
      </c>
      <c r="Y9" s="1010">
        <v>0</v>
      </c>
      <c r="Z9" s="1010">
        <v>0</v>
      </c>
      <c r="AA9" s="1010">
        <v>0</v>
      </c>
      <c r="AB9" s="1010">
        <v>0</v>
      </c>
      <c r="AC9" s="1012">
        <v>0</v>
      </c>
      <c r="AD9" s="1012">
        <v>0.157</v>
      </c>
      <c r="AE9" s="1018">
        <v>0</v>
      </c>
      <c r="AF9" s="1018">
        <v>0</v>
      </c>
      <c r="AG9" s="1012">
        <v>1.81</v>
      </c>
      <c r="AH9" s="1012">
        <v>7.0000000000000007E-2</v>
      </c>
      <c r="AI9" s="1012">
        <v>0</v>
      </c>
      <c r="AJ9" s="1010">
        <v>0</v>
      </c>
      <c r="AK9" s="1010">
        <v>0</v>
      </c>
      <c r="AL9" s="1010">
        <v>23.099</v>
      </c>
      <c r="AM9" s="1012">
        <v>1.2999999999999999E-2</v>
      </c>
      <c r="AN9" s="1010">
        <v>0.3</v>
      </c>
      <c r="AO9" s="1008">
        <v>0.15</v>
      </c>
      <c r="AP9" s="1010">
        <v>0.112</v>
      </c>
      <c r="AQ9" s="1020">
        <v>0</v>
      </c>
      <c r="AR9" s="1010">
        <v>0.2</v>
      </c>
      <c r="AS9" s="1010">
        <v>7.3999999999999996E-2</v>
      </c>
      <c r="AT9" s="1030">
        <v>3.73</v>
      </c>
      <c r="AU9" s="1012">
        <v>0</v>
      </c>
      <c r="AV9" s="1010">
        <v>5.3999999999999999E-2</v>
      </c>
      <c r="AW9" s="1010">
        <v>0.13100000000000001</v>
      </c>
      <c r="AX9" s="1010">
        <v>0</v>
      </c>
      <c r="AY9" s="1030">
        <v>-2.71</v>
      </c>
      <c r="AZ9" s="1010">
        <v>1.782</v>
      </c>
      <c r="BA9" s="1030">
        <v>0</v>
      </c>
      <c r="BB9" s="1010">
        <v>0</v>
      </c>
      <c r="BC9" s="1010">
        <v>0</v>
      </c>
      <c r="BD9" s="1010">
        <v>0</v>
      </c>
      <c r="BE9" s="1018">
        <v>1.43</v>
      </c>
      <c r="BF9" s="1030">
        <v>0</v>
      </c>
      <c r="BG9" s="1030">
        <v>0</v>
      </c>
      <c r="BH9" s="1021">
        <v>-2.3410000000000002</v>
      </c>
      <c r="BI9" s="1010">
        <v>0.01</v>
      </c>
      <c r="BJ9" s="1000">
        <v>0.33</v>
      </c>
    </row>
    <row r="10" spans="1:62" x14ac:dyDescent="0.3">
      <c r="A10" s="1035">
        <v>2026</v>
      </c>
      <c r="B10" s="1037">
        <f t="shared" si="1"/>
        <v>0</v>
      </c>
      <c r="C10" s="1037">
        <f t="shared" si="2"/>
        <v>0</v>
      </c>
      <c r="D10" s="1037">
        <f t="shared" si="3"/>
        <v>3.2000000000000001E-2</v>
      </c>
      <c r="E10" s="1037">
        <f t="shared" si="4"/>
        <v>1.671</v>
      </c>
      <c r="F10" s="1037">
        <f t="shared" si="11"/>
        <v>0.49</v>
      </c>
      <c r="G10" s="1037">
        <f t="shared" si="5"/>
        <v>-2.1500000000000004</v>
      </c>
      <c r="H10" s="1037">
        <f t="shared" si="6"/>
        <v>1.446</v>
      </c>
      <c r="I10" s="1037">
        <f t="shared" si="7"/>
        <v>0</v>
      </c>
      <c r="J10" s="1037">
        <f t="shared" si="8"/>
        <v>10.766999999999999</v>
      </c>
      <c r="K10" s="1037">
        <f t="shared" si="9"/>
        <v>2.9130000000000003</v>
      </c>
      <c r="L10" s="993"/>
      <c r="M10" s="1037">
        <f t="shared" si="0"/>
        <v>-21.606000000000002</v>
      </c>
      <c r="N10" s="1037">
        <f t="shared" si="10"/>
        <v>0</v>
      </c>
      <c r="O10" s="1016">
        <v>0.7</v>
      </c>
      <c r="P10" s="1011">
        <v>1.07</v>
      </c>
      <c r="Q10" s="1010">
        <v>0</v>
      </c>
      <c r="R10" s="1018">
        <v>0.60099999999999998</v>
      </c>
      <c r="S10" s="1012">
        <v>0</v>
      </c>
      <c r="T10" s="1021">
        <v>3.2000000000000001E-2</v>
      </c>
      <c r="U10" s="1010">
        <v>0.3</v>
      </c>
      <c r="V10" s="1018">
        <v>0</v>
      </c>
      <c r="W10" s="1030">
        <v>0.188</v>
      </c>
      <c r="X10" s="1030">
        <v>2E-3</v>
      </c>
      <c r="Y10" s="1010">
        <v>0</v>
      </c>
      <c r="Z10" s="1010">
        <v>0</v>
      </c>
      <c r="AA10" s="1010">
        <v>0</v>
      </c>
      <c r="AB10" s="1010">
        <v>0</v>
      </c>
      <c r="AC10" s="1012">
        <v>0</v>
      </c>
      <c r="AD10" s="1012">
        <v>0</v>
      </c>
      <c r="AE10" s="1012">
        <v>0</v>
      </c>
      <c r="AF10" s="1018">
        <v>0</v>
      </c>
      <c r="AG10" s="1012">
        <v>1.3759999999999999</v>
      </c>
      <c r="AH10" s="1012">
        <v>7.0000000000000007E-2</v>
      </c>
      <c r="AI10" s="1012">
        <v>0</v>
      </c>
      <c r="AJ10" s="1026">
        <v>0</v>
      </c>
      <c r="AK10" s="1010">
        <v>0</v>
      </c>
      <c r="AL10" s="1010">
        <v>10.766999999999999</v>
      </c>
      <c r="AM10" s="1012">
        <v>3.0000000000000001E-3</v>
      </c>
      <c r="AN10" s="1010">
        <v>0.2</v>
      </c>
      <c r="AO10" s="1008">
        <v>0.1</v>
      </c>
      <c r="AP10" s="1010">
        <v>0.05</v>
      </c>
      <c r="AQ10" s="1020">
        <v>0</v>
      </c>
      <c r="AR10" s="1010">
        <v>0</v>
      </c>
      <c r="AS10" s="1010">
        <v>0</v>
      </c>
      <c r="AT10" s="1030">
        <v>2.56</v>
      </c>
      <c r="AU10" s="1012">
        <v>0</v>
      </c>
      <c r="AV10" s="1010">
        <v>3.7999999999999999E-2</v>
      </c>
      <c r="AW10" s="1010">
        <v>2.5999999999999999E-2</v>
      </c>
      <c r="AX10" s="1010">
        <v>0</v>
      </c>
      <c r="AY10" s="1030">
        <v>-2.6700000000000004</v>
      </c>
      <c r="AZ10" s="1010">
        <v>0</v>
      </c>
      <c r="BA10" s="1030">
        <v>-19</v>
      </c>
      <c r="BB10" s="1010">
        <v>0</v>
      </c>
      <c r="BC10" s="1010">
        <v>0</v>
      </c>
      <c r="BD10" s="1010">
        <v>0</v>
      </c>
      <c r="BE10" s="1030">
        <v>0.88</v>
      </c>
      <c r="BF10" s="1030">
        <v>0</v>
      </c>
      <c r="BG10" s="1030">
        <v>0</v>
      </c>
      <c r="BH10" s="1012">
        <v>-2.8200000000000003</v>
      </c>
      <c r="BI10" s="1010">
        <v>-0.21</v>
      </c>
      <c r="BJ10" s="1000">
        <v>0.17</v>
      </c>
    </row>
    <row r="11" spans="1:62" x14ac:dyDescent="0.3">
      <c r="A11" s="1035">
        <v>2027</v>
      </c>
      <c r="B11" s="1037">
        <f t="shared" si="1"/>
        <v>0</v>
      </c>
      <c r="C11" s="1037">
        <f t="shared" si="2"/>
        <v>0</v>
      </c>
      <c r="D11" s="1037">
        <f t="shared" si="3"/>
        <v>3.2000000000000001E-2</v>
      </c>
      <c r="E11" s="1037">
        <f t="shared" si="4"/>
        <v>1.7130000000000001</v>
      </c>
      <c r="F11" s="1037">
        <f t="shared" si="11"/>
        <v>0</v>
      </c>
      <c r="G11" s="1037">
        <f t="shared" si="5"/>
        <v>-4.8169999999999993</v>
      </c>
      <c r="H11" s="1037">
        <f t="shared" si="6"/>
        <v>0.65699999999999992</v>
      </c>
      <c r="I11" s="1037">
        <f t="shared" si="7"/>
        <v>0</v>
      </c>
      <c r="J11" s="1037">
        <f t="shared" si="8"/>
        <v>4.0789999999999997</v>
      </c>
      <c r="K11" s="1037">
        <f t="shared" si="9"/>
        <v>2.46</v>
      </c>
      <c r="L11" s="993"/>
      <c r="M11" s="1037">
        <f t="shared" si="0"/>
        <v>-14.713000000000001</v>
      </c>
      <c r="N11" s="1037">
        <f t="shared" si="10"/>
        <v>0</v>
      </c>
      <c r="O11" s="1016">
        <v>0.3</v>
      </c>
      <c r="P11" s="1011">
        <v>1.08</v>
      </c>
      <c r="Q11" s="1010">
        <v>0</v>
      </c>
      <c r="R11" s="1018">
        <v>0.63300000000000001</v>
      </c>
      <c r="S11" s="1024">
        <v>0</v>
      </c>
      <c r="T11" s="1010">
        <v>3.2000000000000001E-2</v>
      </c>
      <c r="U11" s="1010">
        <v>0</v>
      </c>
      <c r="V11" s="1012">
        <v>0</v>
      </c>
      <c r="W11" s="1030">
        <v>0</v>
      </c>
      <c r="X11" s="1030">
        <v>0</v>
      </c>
      <c r="Y11" s="1010">
        <v>0</v>
      </c>
      <c r="Z11" s="1010">
        <v>0</v>
      </c>
      <c r="AA11" s="1010">
        <v>0</v>
      </c>
      <c r="AB11" s="1010">
        <v>0</v>
      </c>
      <c r="AC11" s="1012">
        <v>0</v>
      </c>
      <c r="AD11" s="1018">
        <v>0</v>
      </c>
      <c r="AE11" s="1012">
        <v>0</v>
      </c>
      <c r="AF11" s="1018">
        <v>0</v>
      </c>
      <c r="AG11" s="1012">
        <v>0.57699999999999996</v>
      </c>
      <c r="AH11" s="1012">
        <v>0.08</v>
      </c>
      <c r="AI11" s="1012">
        <v>0</v>
      </c>
      <c r="AJ11" s="1012">
        <v>0</v>
      </c>
      <c r="AK11" s="1010">
        <v>0</v>
      </c>
      <c r="AL11" s="1010">
        <v>4.0789999999999997</v>
      </c>
      <c r="AM11" s="1010">
        <v>0</v>
      </c>
      <c r="AN11" s="1010">
        <v>0.1</v>
      </c>
      <c r="AO11" s="1008">
        <v>0.1</v>
      </c>
      <c r="AP11" s="1010">
        <v>0.03</v>
      </c>
      <c r="AQ11" s="1020">
        <v>0</v>
      </c>
      <c r="AR11" s="1010">
        <v>0</v>
      </c>
      <c r="AS11" s="1010">
        <v>0</v>
      </c>
      <c r="AT11" s="1008">
        <v>2.23</v>
      </c>
      <c r="AU11" s="1012">
        <v>0</v>
      </c>
      <c r="AV11" s="1010">
        <v>1.7000000000000001E-2</v>
      </c>
      <c r="AW11" s="1010">
        <v>0</v>
      </c>
      <c r="AX11" s="1010">
        <v>0</v>
      </c>
      <c r="AY11" s="1030">
        <v>-2.73</v>
      </c>
      <c r="AZ11" s="1010">
        <v>0</v>
      </c>
      <c r="BA11" s="1030">
        <v>-12</v>
      </c>
      <c r="BB11" s="1010">
        <v>0</v>
      </c>
      <c r="BC11" s="1010">
        <v>0</v>
      </c>
      <c r="BD11" s="1010">
        <v>0</v>
      </c>
      <c r="BE11" s="1030">
        <v>0.28000000000000003</v>
      </c>
      <c r="BF11" s="1030">
        <v>0</v>
      </c>
      <c r="BG11" s="1030">
        <v>0</v>
      </c>
      <c r="BH11" s="1025">
        <v>-5.0069999999999997</v>
      </c>
      <c r="BI11" s="1010">
        <v>-0.09</v>
      </c>
      <c r="BJ11" s="1001">
        <v>0.06</v>
      </c>
    </row>
    <row r="12" spans="1:62" x14ac:dyDescent="0.3">
      <c r="A12" s="1035">
        <v>2028</v>
      </c>
      <c r="B12" s="1037">
        <f t="shared" si="1"/>
        <v>0</v>
      </c>
      <c r="C12" s="1037">
        <f t="shared" si="2"/>
        <v>0</v>
      </c>
      <c r="D12" s="1037">
        <f t="shared" si="3"/>
        <v>3.3000000000000002E-2</v>
      </c>
      <c r="E12" s="1037">
        <f t="shared" si="4"/>
        <v>1.7130000000000001</v>
      </c>
      <c r="F12" s="1037">
        <f t="shared" si="11"/>
        <v>0</v>
      </c>
      <c r="G12" s="1037">
        <f t="shared" si="5"/>
        <v>-5.0590000000000002</v>
      </c>
      <c r="H12" s="1037">
        <f t="shared" si="6"/>
        <v>-1.071</v>
      </c>
      <c r="I12" s="1037">
        <f t="shared" si="7"/>
        <v>0</v>
      </c>
      <c r="J12" s="1037">
        <f t="shared" si="8"/>
        <v>1.635</v>
      </c>
      <c r="K12" s="1037">
        <f t="shared" si="9"/>
        <v>1.81</v>
      </c>
      <c r="L12" s="993"/>
      <c r="M12" s="1037">
        <f t="shared" si="0"/>
        <v>-2.7690000000000001</v>
      </c>
      <c r="N12" s="1037">
        <f t="shared" si="10"/>
        <v>0</v>
      </c>
      <c r="O12" s="1016">
        <v>0.3</v>
      </c>
      <c r="P12" s="1011">
        <v>1.08</v>
      </c>
      <c r="Q12" s="1010">
        <v>0</v>
      </c>
      <c r="R12" s="1018">
        <v>0.63300000000000001</v>
      </c>
      <c r="S12" s="1024">
        <v>0</v>
      </c>
      <c r="T12" s="1027">
        <v>3.3000000000000002E-2</v>
      </c>
      <c r="U12" s="1010">
        <v>0</v>
      </c>
      <c r="V12" s="1012">
        <v>0</v>
      </c>
      <c r="W12" s="1030">
        <v>0</v>
      </c>
      <c r="X12" s="1030">
        <v>0</v>
      </c>
      <c r="Y12" s="1010">
        <v>0</v>
      </c>
      <c r="Z12" s="1010">
        <v>0</v>
      </c>
      <c r="AA12" s="1010">
        <v>0</v>
      </c>
      <c r="AB12" s="1010">
        <v>0</v>
      </c>
      <c r="AC12" s="1012">
        <v>0</v>
      </c>
      <c r="AD12" s="1012">
        <v>0</v>
      </c>
      <c r="AE12" s="1012">
        <v>0</v>
      </c>
      <c r="AF12" s="1012">
        <v>0</v>
      </c>
      <c r="AG12" s="1012">
        <v>-1.151</v>
      </c>
      <c r="AH12" s="1012">
        <v>0.08</v>
      </c>
      <c r="AI12" s="1012">
        <v>0</v>
      </c>
      <c r="AJ12" s="1012">
        <v>0</v>
      </c>
      <c r="AK12" s="1010">
        <v>0</v>
      </c>
      <c r="AL12" s="1010">
        <v>1.635</v>
      </c>
      <c r="AM12" s="1010">
        <v>0</v>
      </c>
      <c r="AN12" s="1010">
        <v>0.1</v>
      </c>
      <c r="AO12" s="1030">
        <v>0</v>
      </c>
      <c r="AP12" s="1010">
        <v>0</v>
      </c>
      <c r="AQ12" s="1020">
        <v>0</v>
      </c>
      <c r="AR12" s="1010">
        <v>0</v>
      </c>
      <c r="AS12" s="1010">
        <v>0</v>
      </c>
      <c r="AT12" s="1008">
        <v>1.71</v>
      </c>
      <c r="AU12" s="1012">
        <v>0</v>
      </c>
      <c r="AV12" s="1010">
        <v>1E-3</v>
      </c>
      <c r="AW12" s="1010">
        <v>0</v>
      </c>
      <c r="AX12" s="1010">
        <v>0</v>
      </c>
      <c r="AY12" s="1030">
        <v>-2.77</v>
      </c>
      <c r="AZ12" s="1010">
        <v>0</v>
      </c>
      <c r="BA12" s="1030">
        <v>0</v>
      </c>
      <c r="BB12" s="1010">
        <v>0</v>
      </c>
      <c r="BC12" s="1010">
        <v>0</v>
      </c>
      <c r="BD12" s="1010">
        <v>0</v>
      </c>
      <c r="BE12" s="1030">
        <v>0.1</v>
      </c>
      <c r="BF12" s="1030">
        <v>0</v>
      </c>
      <c r="BG12" s="1030">
        <v>0</v>
      </c>
      <c r="BH12" s="1025">
        <v>-5.069</v>
      </c>
      <c r="BI12" s="1010">
        <v>-0.09</v>
      </c>
      <c r="BJ12" s="1001">
        <v>0.03</v>
      </c>
    </row>
    <row r="13" spans="1:62" x14ac:dyDescent="0.3">
      <c r="A13" s="1035">
        <v>2029</v>
      </c>
      <c r="B13" s="1037">
        <f t="shared" si="1"/>
        <v>0</v>
      </c>
      <c r="C13" s="1037">
        <f t="shared" si="2"/>
        <v>0</v>
      </c>
      <c r="D13" s="1037">
        <f t="shared" si="3"/>
        <v>3.3000000000000002E-2</v>
      </c>
      <c r="E13" s="1037">
        <f t="shared" si="4"/>
        <v>1.7130000000000001</v>
      </c>
      <c r="F13" s="1037">
        <f t="shared" si="11"/>
        <v>0</v>
      </c>
      <c r="G13" s="1037">
        <f t="shared" si="5"/>
        <v>-5.218</v>
      </c>
      <c r="H13" s="1037">
        <f t="shared" si="6"/>
        <v>-1.964</v>
      </c>
      <c r="I13" s="1037">
        <f t="shared" si="7"/>
        <v>0</v>
      </c>
      <c r="J13" s="1037">
        <f t="shared" si="8"/>
        <v>-1.7000000000000001E-2</v>
      </c>
      <c r="K13" s="1037">
        <f t="shared" si="9"/>
        <v>1</v>
      </c>
      <c r="L13" s="993"/>
      <c r="M13" s="1037">
        <f t="shared" si="0"/>
        <v>-2.75</v>
      </c>
      <c r="N13" s="1037">
        <f t="shared" si="10"/>
        <v>0</v>
      </c>
      <c r="O13" s="1016">
        <v>0.3</v>
      </c>
      <c r="P13" s="1011">
        <v>1.08</v>
      </c>
      <c r="Q13" s="1010">
        <v>0</v>
      </c>
      <c r="R13" s="1018">
        <v>0.63300000000000001</v>
      </c>
      <c r="S13" s="1024">
        <v>0</v>
      </c>
      <c r="T13" s="1012">
        <v>3.3000000000000002E-2</v>
      </c>
      <c r="U13" s="1010">
        <v>0</v>
      </c>
      <c r="V13" s="1012">
        <v>0</v>
      </c>
      <c r="W13" s="1030">
        <v>0</v>
      </c>
      <c r="X13" s="1030">
        <v>0</v>
      </c>
      <c r="Y13" s="1010">
        <v>0</v>
      </c>
      <c r="Z13" s="1010">
        <v>0</v>
      </c>
      <c r="AA13" s="1010">
        <v>0</v>
      </c>
      <c r="AB13" s="1010">
        <v>0</v>
      </c>
      <c r="AC13" s="1012">
        <v>0</v>
      </c>
      <c r="AD13" s="1012">
        <v>0</v>
      </c>
      <c r="AE13" s="1012">
        <v>0</v>
      </c>
      <c r="AF13" s="1012">
        <v>0</v>
      </c>
      <c r="AG13" s="1010">
        <v>-2.044</v>
      </c>
      <c r="AH13" s="1012">
        <v>0.08</v>
      </c>
      <c r="AI13" s="1012">
        <v>0</v>
      </c>
      <c r="AJ13" s="1028">
        <v>0</v>
      </c>
      <c r="AK13" s="1010">
        <v>0</v>
      </c>
      <c r="AL13" s="1010">
        <v>-1.7000000000000001E-2</v>
      </c>
      <c r="AM13" s="1010">
        <v>0</v>
      </c>
      <c r="AN13" s="1010">
        <v>0</v>
      </c>
      <c r="AO13" s="1030">
        <v>0</v>
      </c>
      <c r="AP13" s="1010">
        <v>0</v>
      </c>
      <c r="AQ13" s="1020">
        <v>0</v>
      </c>
      <c r="AR13" s="1010">
        <v>0</v>
      </c>
      <c r="AS13" s="1010">
        <v>0</v>
      </c>
      <c r="AT13" s="1008">
        <v>1</v>
      </c>
      <c r="AU13" s="1012">
        <v>0</v>
      </c>
      <c r="AV13" s="1010">
        <v>0</v>
      </c>
      <c r="AW13" s="1010">
        <v>0</v>
      </c>
      <c r="AX13" s="1010">
        <v>0</v>
      </c>
      <c r="AY13" s="1030">
        <v>-2.75</v>
      </c>
      <c r="AZ13" s="1010">
        <v>0</v>
      </c>
      <c r="BA13" s="1030">
        <v>0</v>
      </c>
      <c r="BB13" s="1010">
        <v>0</v>
      </c>
      <c r="BC13" s="1010">
        <v>0</v>
      </c>
      <c r="BD13" s="1010">
        <v>0</v>
      </c>
      <c r="BE13" s="1030">
        <v>0</v>
      </c>
      <c r="BF13" s="1029">
        <v>0</v>
      </c>
      <c r="BG13" s="1030">
        <v>0</v>
      </c>
      <c r="BH13" s="1025">
        <v>-5.1180000000000003</v>
      </c>
      <c r="BI13" s="1010">
        <v>-0.1</v>
      </c>
      <c r="BJ13" s="1001">
        <v>0.01</v>
      </c>
    </row>
    <row r="14" spans="1:62" x14ac:dyDescent="0.3">
      <c r="A14" s="1035">
        <v>2030</v>
      </c>
      <c r="B14" s="1037">
        <f t="shared" si="1"/>
        <v>0</v>
      </c>
      <c r="C14" s="1037">
        <f t="shared" si="2"/>
        <v>0</v>
      </c>
      <c r="D14" s="1037">
        <f t="shared" si="3"/>
        <v>3.3000000000000002E-2</v>
      </c>
      <c r="E14" s="1037">
        <f t="shared" si="4"/>
        <v>1.8130000000000002</v>
      </c>
      <c r="F14" s="1037">
        <f t="shared" si="11"/>
        <v>0</v>
      </c>
      <c r="G14" s="1037">
        <f t="shared" si="5"/>
        <v>-5.9420000000000002</v>
      </c>
      <c r="H14" s="1037">
        <f t="shared" si="6"/>
        <v>-2.0210000000000004</v>
      </c>
      <c r="I14" s="1037">
        <f t="shared" si="7"/>
        <v>0</v>
      </c>
      <c r="J14" s="1037">
        <f t="shared" si="8"/>
        <v>-1.9E-2</v>
      </c>
      <c r="K14" s="1037">
        <f t="shared" si="9"/>
        <v>0.8</v>
      </c>
      <c r="L14" s="993"/>
      <c r="M14" s="1037">
        <f t="shared" si="0"/>
        <v>-8.1189999999999998</v>
      </c>
      <c r="N14" s="1037">
        <f t="shared" si="10"/>
        <v>0</v>
      </c>
      <c r="O14" s="1016">
        <v>0.3</v>
      </c>
      <c r="P14" s="1011">
        <v>1.1800000000000002</v>
      </c>
      <c r="Q14" s="1010">
        <v>0</v>
      </c>
      <c r="R14" s="1018">
        <v>0.63300000000000001</v>
      </c>
      <c r="S14" s="1024">
        <v>0</v>
      </c>
      <c r="T14" s="1012">
        <v>3.3000000000000002E-2</v>
      </c>
      <c r="U14" s="1010">
        <v>0</v>
      </c>
      <c r="V14" s="1012">
        <v>0</v>
      </c>
      <c r="W14" s="1030">
        <v>0</v>
      </c>
      <c r="X14" s="1030">
        <v>0</v>
      </c>
      <c r="Y14" s="1010">
        <v>0</v>
      </c>
      <c r="Z14" s="1010">
        <v>0</v>
      </c>
      <c r="AA14" s="1010">
        <v>0</v>
      </c>
      <c r="AB14" s="1010">
        <v>0</v>
      </c>
      <c r="AC14" s="1012">
        <v>0</v>
      </c>
      <c r="AD14" s="1018">
        <v>0</v>
      </c>
      <c r="AE14" s="1010">
        <v>0</v>
      </c>
      <c r="AF14" s="1012">
        <v>0</v>
      </c>
      <c r="AG14" s="1012">
        <v>-2.1110000000000002</v>
      </c>
      <c r="AH14" s="1012">
        <v>0.09</v>
      </c>
      <c r="AI14" s="1012">
        <v>0</v>
      </c>
      <c r="AJ14" s="1031">
        <v>0</v>
      </c>
      <c r="AK14" s="1010">
        <v>0</v>
      </c>
      <c r="AL14" s="1010">
        <v>-1.9E-2</v>
      </c>
      <c r="AM14" s="1010">
        <v>0</v>
      </c>
      <c r="AN14" s="1010">
        <v>0</v>
      </c>
      <c r="AO14" s="1030">
        <v>0</v>
      </c>
      <c r="AP14" s="1010">
        <v>0</v>
      </c>
      <c r="AQ14" s="1020">
        <v>0</v>
      </c>
      <c r="AR14" s="1010">
        <v>0</v>
      </c>
      <c r="AS14" s="1010">
        <v>0</v>
      </c>
      <c r="AT14" s="1030">
        <v>0.8</v>
      </c>
      <c r="AU14" s="1012">
        <v>-5.4089999999999998</v>
      </c>
      <c r="AV14" s="1010">
        <v>0</v>
      </c>
      <c r="AW14" s="1010">
        <v>0</v>
      </c>
      <c r="AX14" s="1010">
        <v>0</v>
      </c>
      <c r="AY14" s="1030">
        <v>-2.71</v>
      </c>
      <c r="AZ14" s="1010">
        <v>0</v>
      </c>
      <c r="BA14" s="1030">
        <v>0</v>
      </c>
      <c r="BB14" s="1010">
        <v>0</v>
      </c>
      <c r="BC14" s="1010">
        <v>0</v>
      </c>
      <c r="BD14" s="1010">
        <v>0</v>
      </c>
      <c r="BE14" s="1010">
        <v>0</v>
      </c>
      <c r="BF14" s="1030">
        <v>0</v>
      </c>
      <c r="BG14" s="1030">
        <v>0</v>
      </c>
      <c r="BH14" s="1012">
        <v>-5.8319999999999999</v>
      </c>
      <c r="BI14" s="1010">
        <v>-0.11</v>
      </c>
      <c r="BJ14" s="1000">
        <v>0.01</v>
      </c>
    </row>
    <row r="15" spans="1:62" ht="17.25" customHeight="1" x14ac:dyDescent="0.3">
      <c r="A15" s="1035">
        <v>2031</v>
      </c>
      <c r="B15" s="1037">
        <f t="shared" si="1"/>
        <v>0</v>
      </c>
      <c r="C15" s="1037">
        <f t="shared" si="2"/>
        <v>0</v>
      </c>
      <c r="D15" s="1037">
        <f t="shared" si="3"/>
        <v>0</v>
      </c>
      <c r="E15" s="1037">
        <f t="shared" si="4"/>
        <v>1.8230000000000002</v>
      </c>
      <c r="F15" s="1037">
        <f t="shared" si="11"/>
        <v>0</v>
      </c>
      <c r="G15" s="1037">
        <f t="shared" si="5"/>
        <v>-7.7250000000000005</v>
      </c>
      <c r="H15" s="1037">
        <f t="shared" si="6"/>
        <v>-2.4630000000000001</v>
      </c>
      <c r="I15" s="1037">
        <f t="shared" si="7"/>
        <v>0</v>
      </c>
      <c r="J15" s="1037">
        <f t="shared" si="8"/>
        <v>-1.9E-2</v>
      </c>
      <c r="K15" s="1037">
        <f t="shared" si="9"/>
        <v>0</v>
      </c>
      <c r="L15" s="993"/>
      <c r="M15" s="1037">
        <f t="shared" si="0"/>
        <v>-3.0390000000000001</v>
      </c>
      <c r="N15" s="1037">
        <f t="shared" si="10"/>
        <v>0</v>
      </c>
      <c r="O15" s="1016">
        <v>0.3</v>
      </c>
      <c r="P15" s="1011">
        <v>1.1900000000000002</v>
      </c>
      <c r="Q15" s="1010">
        <v>0</v>
      </c>
      <c r="R15" s="1018">
        <v>0.63300000000000001</v>
      </c>
      <c r="S15" s="1024">
        <v>0</v>
      </c>
      <c r="T15" s="1030">
        <v>0</v>
      </c>
      <c r="U15" s="1010">
        <v>0</v>
      </c>
      <c r="V15" s="1010">
        <v>0</v>
      </c>
      <c r="W15" s="1030">
        <v>0</v>
      </c>
      <c r="X15" s="1030">
        <v>0</v>
      </c>
      <c r="Y15" s="1010">
        <v>0</v>
      </c>
      <c r="Z15" s="1010">
        <v>0</v>
      </c>
      <c r="AA15" s="1010">
        <v>0</v>
      </c>
      <c r="AB15" s="1010">
        <v>0</v>
      </c>
      <c r="AC15" s="1012">
        <v>0</v>
      </c>
      <c r="AD15" s="1010">
        <v>0</v>
      </c>
      <c r="AE15" s="1012">
        <v>0</v>
      </c>
      <c r="AF15" s="1012">
        <v>0</v>
      </c>
      <c r="AG15" s="1012">
        <v>-2.5529999999999999</v>
      </c>
      <c r="AH15" s="1012">
        <v>0.09</v>
      </c>
      <c r="AI15" s="1012">
        <v>0</v>
      </c>
      <c r="AJ15" s="1032">
        <v>0</v>
      </c>
      <c r="AK15" s="1010">
        <v>0</v>
      </c>
      <c r="AL15" s="1010">
        <v>-1.9E-2</v>
      </c>
      <c r="AM15" s="1010">
        <v>0</v>
      </c>
      <c r="AN15" s="1010">
        <v>0</v>
      </c>
      <c r="AO15" s="1030">
        <v>0</v>
      </c>
      <c r="AP15" s="1010">
        <v>0</v>
      </c>
      <c r="AQ15" s="1020">
        <v>0</v>
      </c>
      <c r="AR15" s="1010">
        <v>0</v>
      </c>
      <c r="AS15" s="1010">
        <v>0</v>
      </c>
      <c r="AT15" s="1030">
        <v>0</v>
      </c>
      <c r="AU15" s="1012">
        <v>-0.26900000000000002</v>
      </c>
      <c r="AV15" s="1010">
        <v>0</v>
      </c>
      <c r="AW15" s="1010">
        <v>0</v>
      </c>
      <c r="AX15" s="1010">
        <v>0</v>
      </c>
      <c r="AY15" s="1030">
        <v>-2.77</v>
      </c>
      <c r="AZ15" s="1010">
        <v>0</v>
      </c>
      <c r="BA15" s="1030">
        <v>0</v>
      </c>
      <c r="BB15" s="1010">
        <v>0</v>
      </c>
      <c r="BC15" s="1010">
        <v>0</v>
      </c>
      <c r="BD15" s="1010">
        <v>0</v>
      </c>
      <c r="BE15" s="1010">
        <v>0</v>
      </c>
      <c r="BF15" s="1030">
        <v>0</v>
      </c>
      <c r="BG15" s="1030">
        <v>0</v>
      </c>
      <c r="BH15" s="1012">
        <v>-5.4350000000000005</v>
      </c>
      <c r="BI15" s="1010">
        <v>-2.29</v>
      </c>
      <c r="BJ15" s="1000">
        <v>0</v>
      </c>
    </row>
    <row r="16" spans="1:62" x14ac:dyDescent="0.3">
      <c r="A16" s="1036" t="s">
        <v>360</v>
      </c>
      <c r="B16" s="1036">
        <f>SUM(B5:B15)</f>
        <v>412.15299999999996</v>
      </c>
      <c r="C16" s="1036">
        <f>SUM(C5:C15)</f>
        <v>205.79999999999998</v>
      </c>
      <c r="D16" s="1036">
        <f>SUM(D5:D15)</f>
        <v>22.711000000000006</v>
      </c>
      <c r="E16" s="1036">
        <f t="shared" ref="E16:H16" si="12">SUM(E5:E15)</f>
        <v>35.466000000000015</v>
      </c>
      <c r="F16" s="1036">
        <f t="shared" si="12"/>
        <v>91.563000000000002</v>
      </c>
      <c r="G16" s="1037">
        <f t="shared" si="5"/>
        <v>174.17</v>
      </c>
      <c r="H16" s="1036">
        <f t="shared" si="12"/>
        <v>21.600999999999996</v>
      </c>
      <c r="I16" s="993">
        <f t="shared" ref="I16" si="13">SUM(I5:I15)</f>
        <v>362.04999999999995</v>
      </c>
      <c r="J16" s="993">
        <f t="shared" ref="J16" si="14">SUM(J5:J15)</f>
        <v>169.16899999999998</v>
      </c>
      <c r="K16" s="1037">
        <f t="shared" si="9"/>
        <v>112.72</v>
      </c>
      <c r="L16" s="993">
        <f>SUM(L5:L15)</f>
        <v>25.75</v>
      </c>
      <c r="M16" s="1037">
        <f t="shared" si="0"/>
        <v>85.197999999999993</v>
      </c>
      <c r="N16" s="1037">
        <f>AK16</f>
        <v>8.5</v>
      </c>
      <c r="O16" s="1017">
        <f t="shared" ref="O16:BI16" si="15">SUM(O5:O15)</f>
        <v>109.3</v>
      </c>
      <c r="P16" s="1010">
        <f t="shared" si="15"/>
        <v>25.819999999999997</v>
      </c>
      <c r="Q16" s="1010">
        <f t="shared" si="15"/>
        <v>412.15299999999996</v>
      </c>
      <c r="R16" s="1010">
        <f t="shared" si="15"/>
        <v>5.774</v>
      </c>
      <c r="S16" s="1010">
        <f t="shared" si="15"/>
        <v>3.8719999999999999</v>
      </c>
      <c r="T16" s="1010">
        <f t="shared" si="15"/>
        <v>22.711000000000006</v>
      </c>
      <c r="U16" s="1010">
        <f t="shared" si="15"/>
        <v>41.599999999999994</v>
      </c>
      <c r="V16" s="1010">
        <f t="shared" si="15"/>
        <v>44.947999999999993</v>
      </c>
      <c r="W16" s="1010">
        <f t="shared" si="15"/>
        <v>5</v>
      </c>
      <c r="X16" s="1010">
        <f t="shared" si="15"/>
        <v>1.4440000000000002</v>
      </c>
      <c r="Y16" s="1010">
        <f t="shared" si="15"/>
        <v>0.2</v>
      </c>
      <c r="Z16" s="1010">
        <f t="shared" si="15"/>
        <v>45.4</v>
      </c>
      <c r="AA16" s="1010">
        <f t="shared" si="15"/>
        <v>35.5</v>
      </c>
      <c r="AB16" s="1010">
        <f t="shared" si="15"/>
        <v>124.7</v>
      </c>
      <c r="AC16" s="1010">
        <f t="shared" si="15"/>
        <v>28</v>
      </c>
      <c r="AD16" s="1010">
        <f t="shared" si="15"/>
        <v>9.100000000000022E-2</v>
      </c>
      <c r="AE16" s="1010">
        <f t="shared" si="15"/>
        <v>22.810000000000002</v>
      </c>
      <c r="AF16" s="1010">
        <f t="shared" si="15"/>
        <v>1.42</v>
      </c>
      <c r="AG16" s="1010">
        <f t="shared" si="15"/>
        <v>20.662999999999997</v>
      </c>
      <c r="AH16" s="1010">
        <f t="shared" si="15"/>
        <v>0.86999999999999988</v>
      </c>
      <c r="AI16" s="1010">
        <f t="shared" si="15"/>
        <v>6.8000000000000005E-2</v>
      </c>
      <c r="AJ16" s="1010">
        <f t="shared" si="15"/>
        <v>362.04999999999995</v>
      </c>
      <c r="AK16" s="1010">
        <f t="shared" ref="AK16:AO16" si="16">SUM(AK5:AK15)</f>
        <v>8.5</v>
      </c>
      <c r="AL16" s="1010">
        <f t="shared" si="16"/>
        <v>169.16899999999998</v>
      </c>
      <c r="AM16" s="1039">
        <f t="shared" si="16"/>
        <v>0.79700000000000004</v>
      </c>
      <c r="AN16" s="1010">
        <f t="shared" si="16"/>
        <v>8.6</v>
      </c>
      <c r="AO16" s="1010">
        <f t="shared" si="16"/>
        <v>3.2000000000000006</v>
      </c>
      <c r="AP16" s="1010">
        <f t="shared" si="15"/>
        <v>2.8000000000000003</v>
      </c>
      <c r="AQ16" s="994">
        <f>SUM(AQ5:AQ15)</f>
        <v>28</v>
      </c>
      <c r="AR16" s="1010">
        <f>SUM(AR5:AR15)</f>
        <v>14.899999999999999</v>
      </c>
      <c r="AS16" s="1010">
        <f>SUM(AS5:AS15)</f>
        <v>3.8730000000000002</v>
      </c>
      <c r="AT16" s="1010">
        <f t="shared" ref="AT16" si="17">SUM(AT5:AT15)</f>
        <v>50.54999999999999</v>
      </c>
      <c r="AU16" s="1010">
        <f t="shared" si="15"/>
        <v>-5.6779999999999999</v>
      </c>
      <c r="AV16" s="1010">
        <f t="shared" si="15"/>
        <v>8.177999999999999</v>
      </c>
      <c r="AW16" s="1010">
        <f t="shared" si="15"/>
        <v>16.667999999999999</v>
      </c>
      <c r="AX16" s="1010">
        <f t="shared" si="15"/>
        <v>9.9</v>
      </c>
      <c r="AY16" s="1010">
        <f t="shared" si="15"/>
        <v>-25.860000000000003</v>
      </c>
      <c r="AZ16" s="1010">
        <f t="shared" si="15"/>
        <v>81.99</v>
      </c>
      <c r="BA16" s="1010">
        <v>0</v>
      </c>
      <c r="BB16" s="1010">
        <f t="shared" si="15"/>
        <v>24</v>
      </c>
      <c r="BC16" s="1010">
        <f t="shared" si="15"/>
        <v>7.25</v>
      </c>
      <c r="BD16" s="1010">
        <f t="shared" si="15"/>
        <v>49.8</v>
      </c>
      <c r="BE16" s="1010">
        <f t="shared" si="15"/>
        <v>9.02</v>
      </c>
      <c r="BF16" s="1010">
        <f t="shared" si="15"/>
        <v>6.2439999999999998</v>
      </c>
      <c r="BG16" s="1010">
        <f t="shared" si="15"/>
        <v>10.218</v>
      </c>
      <c r="BH16" s="1010">
        <f t="shared" si="15"/>
        <v>50.203999999999979</v>
      </c>
      <c r="BI16" s="1010">
        <f t="shared" si="15"/>
        <v>24.684000000000005</v>
      </c>
      <c r="BJ16" s="1002">
        <f>SUM(BJ5:BJ15)</f>
        <v>9.5399999999999991</v>
      </c>
    </row>
    <row r="17" spans="2:61" x14ac:dyDescent="0.3">
      <c r="R17" s="1018"/>
      <c r="S17" s="1018"/>
      <c r="W17" s="1018"/>
      <c r="X17" s="1018"/>
      <c r="AE17" s="1018"/>
      <c r="AF17" s="1018"/>
      <c r="AV17" s="1018"/>
      <c r="AW17" s="1018"/>
      <c r="AX17" s="1018"/>
      <c r="AY17" s="1018"/>
      <c r="AZ17" s="1018"/>
      <c r="BA17" s="1018"/>
      <c r="BC17" s="1018"/>
      <c r="BE17" s="1018"/>
      <c r="BF17" s="1018"/>
      <c r="BG17" s="1018"/>
    </row>
    <row r="18" spans="2:61" x14ac:dyDescent="0.3">
      <c r="R18" s="1018"/>
      <c r="S18" s="1018"/>
      <c r="W18" s="1018"/>
      <c r="X18" s="1018"/>
      <c r="AE18" s="1018"/>
      <c r="AF18" s="1018"/>
      <c r="AV18" s="1018"/>
      <c r="AW18" s="1018"/>
      <c r="AX18" s="1018"/>
      <c r="AY18" s="1018"/>
      <c r="AZ18" s="1018"/>
      <c r="BA18" s="1018"/>
      <c r="BC18" s="1018" t="s">
        <v>791</v>
      </c>
      <c r="BD18" s="1018" t="s">
        <v>791</v>
      </c>
      <c r="BE18" s="1018"/>
      <c r="BF18" s="1018" t="s">
        <v>791</v>
      </c>
      <c r="BG18" s="1018" t="s">
        <v>791</v>
      </c>
      <c r="BI18" s="1018" t="s">
        <v>791</v>
      </c>
    </row>
    <row r="19" spans="2:61" x14ac:dyDescent="0.3">
      <c r="B19" s="995"/>
      <c r="C19" s="995"/>
      <c r="D19" s="995"/>
      <c r="E19" s="995"/>
      <c r="F19" s="995"/>
      <c r="H19" s="995"/>
      <c r="I19" s="995"/>
      <c r="J19" s="995"/>
      <c r="K19" s="995"/>
      <c r="M19" s="995"/>
      <c r="N19" s="995"/>
      <c r="R19" s="1018"/>
      <c r="S19" s="1018"/>
      <c r="W19" s="1018"/>
      <c r="X19" s="1018"/>
      <c r="AE19" s="1018"/>
      <c r="AF19" s="1018"/>
      <c r="AV19" s="1018"/>
      <c r="AW19" s="1018"/>
      <c r="AX19" s="1018"/>
      <c r="AY19" s="1018"/>
      <c r="AZ19" s="1018"/>
      <c r="BA19" s="1018"/>
      <c r="BC19" s="1018"/>
      <c r="BD19" t="s">
        <v>792</v>
      </c>
      <c r="BE19" s="1018"/>
      <c r="BF19" s="1018"/>
      <c r="BG19" s="1018"/>
    </row>
    <row r="20" spans="2:61" x14ac:dyDescent="0.3">
      <c r="R20" s="1018"/>
      <c r="S20" s="1018"/>
      <c r="W20" s="1018"/>
      <c r="X20" s="1018"/>
      <c r="AE20" s="1018"/>
      <c r="AF20" s="1018"/>
      <c r="AV20" s="1018"/>
      <c r="AW20" s="1018"/>
      <c r="AX20" s="1018"/>
      <c r="AY20" s="1018"/>
      <c r="AZ20" s="1018"/>
      <c r="BA20" s="1018"/>
      <c r="BC20" s="1018"/>
      <c r="BE20" s="1018"/>
      <c r="BF20" s="1018"/>
      <c r="BG20" s="1018"/>
    </row>
    <row r="21" spans="2:61" x14ac:dyDescent="0.3">
      <c r="R21" s="1018"/>
      <c r="S21" s="1018"/>
      <c r="W21" s="1018"/>
      <c r="X21" s="1018"/>
      <c r="AE21" s="1018"/>
      <c r="AF21" s="1018"/>
      <c r="AV21" s="1018"/>
      <c r="AW21" s="1018"/>
      <c r="AX21" s="1018"/>
      <c r="AY21" s="1018"/>
      <c r="AZ21" s="1018"/>
      <c r="BA21" s="1018"/>
      <c r="BC21" s="1018"/>
      <c r="BE21" s="1018"/>
      <c r="BF21" s="1018"/>
      <c r="BG21" s="1018"/>
    </row>
    <row r="22" spans="2:61" x14ac:dyDescent="0.3">
      <c r="B22" s="995"/>
      <c r="R22" s="1018"/>
      <c r="S22" s="1018"/>
      <c r="W22" s="1018"/>
      <c r="X22" s="1018"/>
      <c r="AE22" s="1018"/>
      <c r="AF22" s="1018"/>
      <c r="AV22" s="1018"/>
      <c r="AW22" s="1018"/>
      <c r="AX22" s="1018"/>
      <c r="AY22" s="1018"/>
      <c r="AZ22" s="1018"/>
      <c r="BA22" s="1018"/>
      <c r="BC22" s="1018"/>
      <c r="BE22" s="1018"/>
      <c r="BF22" s="1018"/>
      <c r="BG22" s="1018"/>
    </row>
    <row r="23" spans="2:61" x14ac:dyDescent="0.3">
      <c r="B23" s="995"/>
      <c r="R23" s="1018"/>
      <c r="S23" s="1018"/>
      <c r="W23" s="1018"/>
      <c r="X23" s="1018"/>
      <c r="AE23" s="1018"/>
      <c r="AF23" s="1018"/>
      <c r="AV23" s="1018"/>
      <c r="AW23" s="1018"/>
      <c r="AX23" s="1018"/>
      <c r="AY23" s="1018"/>
      <c r="AZ23" s="1018"/>
      <c r="BA23" s="1018"/>
      <c r="BC23" s="1018"/>
      <c r="BE23" s="1018"/>
      <c r="BF23" s="1018"/>
      <c r="BG23" s="1018"/>
    </row>
    <row r="24" spans="2:61" x14ac:dyDescent="0.3">
      <c r="B24" s="995"/>
      <c r="R24" s="1018"/>
      <c r="S24" s="1018"/>
      <c r="W24" s="1018"/>
      <c r="X24" s="1018"/>
      <c r="AE24" s="1018"/>
      <c r="AF24" s="1018"/>
      <c r="AV24" s="1018"/>
      <c r="AW24" s="1018"/>
      <c r="AX24" s="1018"/>
      <c r="AY24" s="1018"/>
      <c r="AZ24" s="1018"/>
      <c r="BA24" s="1018"/>
      <c r="BC24" s="1018"/>
      <c r="BE24" s="1018"/>
      <c r="BF24" s="1018"/>
      <c r="BG24" s="1018"/>
    </row>
    <row r="25" spans="2:61" x14ac:dyDescent="0.3">
      <c r="B25" s="995"/>
      <c r="R25" s="1018"/>
      <c r="S25" s="1018"/>
      <c r="W25" s="1018"/>
      <c r="X25" s="1018"/>
      <c r="AE25" s="1018"/>
      <c r="AF25" s="1018"/>
      <c r="AV25" s="1018"/>
      <c r="AW25" s="1018"/>
      <c r="AX25" s="1018"/>
      <c r="AY25" s="1018"/>
      <c r="AZ25" s="1018"/>
      <c r="BA25" s="1018"/>
      <c r="BC25" s="1018"/>
      <c r="BE25" s="1018"/>
      <c r="BF25" s="1018"/>
      <c r="BG25" s="1018"/>
    </row>
    <row r="26" spans="2:61" x14ac:dyDescent="0.3">
      <c r="B26" s="995"/>
      <c r="R26" s="1018"/>
      <c r="S26" s="1018"/>
      <c r="W26" s="1018"/>
      <c r="X26" s="1018"/>
      <c r="AE26" s="1018"/>
      <c r="AF26" s="1018"/>
      <c r="AV26" s="1018"/>
      <c r="AW26" s="1018"/>
      <c r="AX26" s="1018"/>
      <c r="AY26" s="1018"/>
      <c r="AZ26" s="1018"/>
      <c r="BA26" s="1018"/>
      <c r="BC26" s="1018"/>
      <c r="BE26" s="1018"/>
      <c r="BF26" s="1018"/>
      <c r="BG26" s="1018"/>
    </row>
    <row r="27" spans="2:61" x14ac:dyDescent="0.3">
      <c r="B27" s="995"/>
      <c r="R27" s="1018"/>
      <c r="S27" s="1018"/>
      <c r="W27" s="1018"/>
      <c r="X27" s="1018"/>
      <c r="AE27" s="1018"/>
      <c r="AF27" s="1018"/>
      <c r="AV27" s="1018"/>
      <c r="AW27" s="1018"/>
      <c r="AX27" s="1018"/>
      <c r="AY27" s="1018"/>
      <c r="AZ27" s="1018"/>
      <c r="BA27" s="1018"/>
      <c r="BC27" s="1018"/>
      <c r="BE27" s="1018"/>
      <c r="BF27" s="1018"/>
      <c r="BG27" s="1018"/>
    </row>
    <row r="28" spans="2:61" x14ac:dyDescent="0.3">
      <c r="B28" s="995"/>
      <c r="R28" s="1018"/>
      <c r="S28" s="1018"/>
      <c r="W28" s="1018"/>
      <c r="X28" s="1018"/>
      <c r="AE28" s="1018"/>
      <c r="AF28" s="1018"/>
      <c r="AV28" s="1018"/>
      <c r="AW28" s="1018"/>
      <c r="AX28" s="1018"/>
      <c r="AY28" s="1018"/>
      <c r="AZ28" s="1018"/>
      <c r="BA28" s="1018"/>
      <c r="BC28" s="1018"/>
      <c r="BE28" s="1018"/>
      <c r="BF28" s="1018"/>
      <c r="BG28" s="1018"/>
    </row>
    <row r="29" spans="2:61" x14ac:dyDescent="0.3">
      <c r="R29" s="1018"/>
      <c r="S29" s="1018"/>
      <c r="W29" s="1018"/>
      <c r="X29" s="1018"/>
      <c r="AE29" s="1018"/>
      <c r="AF29" s="1018"/>
      <c r="AV29" s="1018"/>
      <c r="AW29" s="1018"/>
      <c r="AX29" s="1018"/>
      <c r="AY29" s="1018"/>
      <c r="AZ29" s="1018"/>
      <c r="BA29" s="1018"/>
      <c r="BC29" s="1018"/>
      <c r="BE29" s="1018"/>
      <c r="BF29" s="1018"/>
      <c r="BG29" s="1018"/>
    </row>
    <row r="30" spans="2:61" x14ac:dyDescent="0.3">
      <c r="R30" s="1018"/>
      <c r="S30" s="1018"/>
      <c r="W30" s="1018"/>
      <c r="X30" s="1018"/>
      <c r="AE30" s="1018"/>
      <c r="AF30" s="1018"/>
      <c r="AV30" s="1018"/>
      <c r="AW30" s="1018"/>
      <c r="AX30" s="1018"/>
      <c r="AY30" s="1018"/>
      <c r="AZ30" s="1018"/>
      <c r="BA30" s="1018"/>
      <c r="BC30" s="1018"/>
      <c r="BE30" s="1018"/>
      <c r="BF30" s="1018"/>
      <c r="BG30" s="1018"/>
    </row>
    <row r="31" spans="2:61" x14ac:dyDescent="0.3">
      <c r="R31" s="1018"/>
      <c r="S31" s="1018"/>
      <c r="W31" s="1018"/>
      <c r="X31" s="1018"/>
      <c r="AE31" s="1018"/>
      <c r="AF31" s="1018"/>
      <c r="AV31" s="1018"/>
      <c r="AW31" s="1018"/>
      <c r="AX31" s="1018"/>
      <c r="AY31" s="1018"/>
      <c r="AZ31" s="1018"/>
      <c r="BA31" s="1018"/>
      <c r="BC31" s="1018"/>
      <c r="BE31" s="1018"/>
      <c r="BF31" s="1018"/>
      <c r="BG31" s="1018"/>
    </row>
    <row r="32" spans="2:61" x14ac:dyDescent="0.3">
      <c r="R32" s="1018"/>
      <c r="S32" s="1018"/>
      <c r="W32" s="1018"/>
      <c r="X32" s="1018"/>
      <c r="AE32" s="1018"/>
      <c r="AF32" s="1018"/>
      <c r="AV32" s="1018"/>
      <c r="AW32" s="1018"/>
      <c r="AX32" s="1018"/>
      <c r="AY32" s="1018"/>
      <c r="AZ32" s="1018"/>
      <c r="BA32" s="1018"/>
      <c r="BC32" s="1018"/>
      <c r="BE32" s="1018"/>
      <c r="BF32" s="1018"/>
      <c r="BG32" s="1018"/>
    </row>
    <row r="33" spans="18:59" x14ac:dyDescent="0.3">
      <c r="R33" s="1018"/>
      <c r="S33" s="1018"/>
      <c r="W33" s="1018"/>
      <c r="X33" s="1018"/>
      <c r="AE33" s="1018"/>
      <c r="AF33" s="1018"/>
      <c r="AV33" s="1018"/>
      <c r="AW33" s="1018"/>
      <c r="AX33" s="1018"/>
      <c r="AY33" s="1018"/>
      <c r="AZ33" s="1018"/>
      <c r="BA33" s="1018"/>
      <c r="BC33" s="1018"/>
      <c r="BE33" s="1018"/>
      <c r="BF33" s="1018"/>
      <c r="BG33" s="1018"/>
    </row>
    <row r="34" spans="18:59" x14ac:dyDescent="0.3">
      <c r="R34" s="1018"/>
      <c r="S34" s="1018"/>
      <c r="W34" s="1018"/>
      <c r="X34" s="1018"/>
      <c r="AE34" s="1018"/>
      <c r="AF34" s="1018"/>
      <c r="AV34" s="1018"/>
      <c r="AW34" s="1018"/>
      <c r="AX34" s="1018"/>
      <c r="AY34" s="1018"/>
      <c r="AZ34" s="1018"/>
      <c r="BA34" s="1018"/>
      <c r="BC34" s="1018"/>
      <c r="BE34" s="1018"/>
      <c r="BF34" s="1018"/>
      <c r="BG34" s="1018"/>
    </row>
    <row r="35" spans="18:59" x14ac:dyDescent="0.3">
      <c r="R35" s="1018"/>
      <c r="S35" s="1018"/>
      <c r="W35" s="1018"/>
      <c r="X35" s="1018"/>
      <c r="AE35" s="1018"/>
      <c r="AF35" s="1018"/>
      <c r="AV35" s="1018"/>
      <c r="AW35" s="1018"/>
      <c r="AX35" s="1018"/>
      <c r="AY35" s="1018"/>
      <c r="AZ35" s="1018"/>
      <c r="BA35" s="1018"/>
      <c r="BC35" s="1018"/>
      <c r="BE35" s="1018"/>
      <c r="BF35" s="1018"/>
      <c r="BG35" s="1018"/>
    </row>
    <row r="36" spans="18:59" x14ac:dyDescent="0.3">
      <c r="R36" s="1018"/>
      <c r="S36" s="1018"/>
      <c r="W36" s="1018"/>
      <c r="X36" s="1018"/>
      <c r="AE36" s="1018"/>
      <c r="AF36" s="1018"/>
      <c r="AV36" s="1018"/>
      <c r="AW36" s="1018"/>
      <c r="AX36" s="1018"/>
      <c r="AY36" s="1018"/>
      <c r="AZ36" s="1018"/>
      <c r="BA36" s="1018"/>
      <c r="BC36" s="1018"/>
      <c r="BE36" s="1018"/>
      <c r="BF36" s="1018"/>
      <c r="BG36" s="1018"/>
    </row>
    <row r="37" spans="18:59" x14ac:dyDescent="0.3">
      <c r="R37" s="1018"/>
      <c r="S37" s="1018"/>
      <c r="W37" s="1018"/>
      <c r="X37" s="1018"/>
      <c r="AE37" s="1018"/>
      <c r="AF37" s="1018"/>
      <c r="AV37" s="1018"/>
      <c r="AW37" s="1018"/>
      <c r="AX37" s="1018"/>
      <c r="AY37" s="1018"/>
      <c r="AZ37" s="1018"/>
      <c r="BA37" s="1018"/>
      <c r="BC37" s="1018"/>
      <c r="BE37" s="1018"/>
      <c r="BF37" s="1018"/>
      <c r="BG37" s="1018"/>
    </row>
    <row r="38" spans="18:59" x14ac:dyDescent="0.3">
      <c r="R38" s="1018"/>
      <c r="S38" s="1018"/>
      <c r="W38" s="1018"/>
      <c r="X38" s="1018"/>
      <c r="AE38" s="1018"/>
      <c r="AF38" s="1018"/>
      <c r="AV38" s="1018"/>
      <c r="AW38" s="1018"/>
      <c r="AX38" s="1018"/>
      <c r="AY38" s="1018"/>
      <c r="AZ38" s="1018"/>
      <c r="BA38" s="1018"/>
      <c r="BC38" s="1018"/>
      <c r="BE38" s="1018"/>
      <c r="BF38" s="1018"/>
      <c r="BG38" s="1018"/>
    </row>
    <row r="39" spans="18:59" x14ac:dyDescent="0.3">
      <c r="R39" s="1018"/>
      <c r="S39" s="1018"/>
      <c r="W39" s="1018"/>
      <c r="X39" s="1018"/>
      <c r="AE39" s="1018"/>
      <c r="AF39" s="1018"/>
      <c r="AV39" s="1018"/>
      <c r="AW39" s="1018"/>
      <c r="AX39" s="1018"/>
      <c r="AY39" s="1018"/>
      <c r="AZ39" s="1018"/>
      <c r="BA39" s="1018"/>
      <c r="BC39" s="1018"/>
      <c r="BE39" s="1018"/>
      <c r="BF39" s="1018"/>
      <c r="BG39" s="1018"/>
    </row>
    <row r="40" spans="18:59" x14ac:dyDescent="0.3">
      <c r="R40" s="1018"/>
      <c r="S40" s="1018"/>
      <c r="W40" s="1018"/>
      <c r="X40" s="1018"/>
      <c r="AE40" s="1018"/>
      <c r="AF40" s="1018"/>
      <c r="AV40" s="1018"/>
      <c r="AW40" s="1018"/>
      <c r="AX40" s="1018"/>
      <c r="AY40" s="1018"/>
      <c r="AZ40" s="1018"/>
      <c r="BA40" s="1018"/>
      <c r="BC40" s="1018"/>
      <c r="BE40" s="1018"/>
      <c r="BF40" s="1018"/>
      <c r="BG40" s="1018"/>
    </row>
    <row r="41" spans="18:59" x14ac:dyDescent="0.3">
      <c r="R41" s="1018"/>
      <c r="S41" s="1018"/>
      <c r="W41" s="1018"/>
      <c r="X41" s="1018"/>
      <c r="AE41" s="1018"/>
      <c r="AF41" s="1018"/>
      <c r="AV41" s="1018"/>
      <c r="AW41" s="1018"/>
      <c r="AX41" s="1018"/>
      <c r="AY41" s="1018"/>
      <c r="AZ41" s="1018"/>
      <c r="BA41" s="1018"/>
      <c r="BC41" s="1018"/>
      <c r="BE41" s="1018"/>
      <c r="BF41" s="1018"/>
      <c r="BG41" s="1018"/>
    </row>
    <row r="42" spans="18:59" x14ac:dyDescent="0.3">
      <c r="R42" s="1018"/>
      <c r="S42" s="1018"/>
      <c r="W42" s="1018"/>
      <c r="X42" s="1018"/>
      <c r="AE42" s="1018"/>
      <c r="AF42" s="1018"/>
      <c r="AV42" s="1018"/>
      <c r="AW42" s="1018"/>
      <c r="AX42" s="1018"/>
      <c r="AY42" s="1018"/>
      <c r="AZ42" s="1018"/>
      <c r="BA42" s="1018"/>
      <c r="BC42" s="1018"/>
      <c r="BE42" s="1018"/>
      <c r="BF42" s="1018"/>
      <c r="BG42" s="1018"/>
    </row>
    <row r="43" spans="18:59" x14ac:dyDescent="0.3">
      <c r="R43" s="1018"/>
      <c r="S43" s="1018"/>
      <c r="W43" s="1018"/>
      <c r="X43" s="1018"/>
      <c r="AE43" s="1018"/>
      <c r="AF43" s="1018"/>
      <c r="AV43" s="1018"/>
      <c r="AW43" s="1018"/>
      <c r="AX43" s="1018"/>
      <c r="AY43" s="1018"/>
      <c r="AZ43" s="1018"/>
      <c r="BA43" s="1018"/>
      <c r="BC43" s="1018"/>
      <c r="BE43" s="1018"/>
      <c r="BF43" s="1018"/>
      <c r="BG43" s="1018"/>
    </row>
    <row r="44" spans="18:59" x14ac:dyDescent="0.3">
      <c r="R44" s="1018"/>
      <c r="S44" s="1018"/>
      <c r="W44" s="1018"/>
      <c r="X44" s="1018"/>
      <c r="AE44" s="1018"/>
      <c r="AF44" s="1018"/>
      <c r="AV44" s="1018"/>
      <c r="AW44" s="1018"/>
      <c r="AX44" s="1018"/>
      <c r="AY44" s="1018"/>
      <c r="AZ44" s="1018"/>
      <c r="BA44" s="1018"/>
      <c r="BC44" s="1018"/>
      <c r="BE44" s="1018"/>
      <c r="BF44" s="1018"/>
      <c r="BG44" s="1018"/>
    </row>
    <row r="45" spans="18:59" x14ac:dyDescent="0.3">
      <c r="R45" s="1018"/>
      <c r="S45" s="1018"/>
      <c r="W45" s="1018"/>
      <c r="X45" s="1018"/>
      <c r="AE45" s="1018"/>
      <c r="AF45" s="1018"/>
      <c r="AV45" s="1018"/>
      <c r="AW45" s="1018"/>
      <c r="AX45" s="1018"/>
      <c r="AY45" s="1018"/>
      <c r="AZ45" s="1018"/>
      <c r="BA45" s="1018"/>
      <c r="BC45" s="1018"/>
      <c r="BE45" s="1018"/>
      <c r="BF45" s="1018"/>
      <c r="BG45" s="1018"/>
    </row>
    <row r="46" spans="18:59" x14ac:dyDescent="0.3">
      <c r="R46" s="1018"/>
      <c r="S46" s="1018"/>
      <c r="W46" s="1018"/>
      <c r="X46" s="1018"/>
      <c r="AE46" s="1018"/>
      <c r="AF46" s="1018"/>
      <c r="AV46" s="1018"/>
      <c r="AW46" s="1018"/>
      <c r="AX46" s="1018"/>
      <c r="AY46" s="1018"/>
      <c r="AZ46" s="1018"/>
      <c r="BA46" s="1018"/>
      <c r="BC46" s="1018"/>
      <c r="BE46" s="1018"/>
      <c r="BF46" s="1018"/>
      <c r="BG46" s="1018"/>
    </row>
    <row r="47" spans="18:59" x14ac:dyDescent="0.3">
      <c r="R47" s="1018"/>
      <c r="S47" s="1018"/>
      <c r="W47" s="1018"/>
      <c r="X47" s="1018"/>
      <c r="AE47" s="1018"/>
      <c r="AF47" s="1018"/>
      <c r="AV47" s="1018"/>
      <c r="AW47" s="1018"/>
      <c r="AX47" s="1018"/>
      <c r="AY47" s="1018"/>
      <c r="AZ47" s="1018"/>
      <c r="BA47" s="1018"/>
      <c r="BC47" s="1018"/>
      <c r="BE47" s="1018"/>
      <c r="BF47" s="1018"/>
      <c r="BG47" s="1018"/>
    </row>
    <row r="48" spans="18:59" x14ac:dyDescent="0.3">
      <c r="R48" s="1018"/>
      <c r="S48" s="1018"/>
      <c r="W48" s="1018"/>
      <c r="X48" s="1018"/>
      <c r="AE48" s="1018"/>
      <c r="AF48" s="1018"/>
      <c r="AV48" s="1018"/>
      <c r="AW48" s="1018"/>
      <c r="AX48" s="1018"/>
      <c r="AY48" s="1018"/>
      <c r="AZ48" s="1018"/>
      <c r="BA48" s="1018"/>
      <c r="BC48" s="1018"/>
      <c r="BE48" s="1018"/>
      <c r="BF48" s="1018"/>
      <c r="BG48" s="1018"/>
    </row>
    <row r="49" spans="18:59" x14ac:dyDescent="0.3">
      <c r="R49" s="1018"/>
      <c r="S49" s="1018"/>
      <c r="W49" s="1018"/>
      <c r="X49" s="1018"/>
      <c r="AE49" s="1018"/>
      <c r="AF49" s="1018"/>
      <c r="AV49" s="1018"/>
      <c r="AW49" s="1018"/>
      <c r="AX49" s="1018"/>
      <c r="AY49" s="1018"/>
      <c r="AZ49" s="1018"/>
      <c r="BA49" s="1018"/>
      <c r="BC49" s="1018"/>
      <c r="BE49" s="1018"/>
      <c r="BF49" s="1018"/>
      <c r="BG49" s="1018"/>
    </row>
    <row r="50" spans="18:59" x14ac:dyDescent="0.3">
      <c r="R50" s="1018"/>
      <c r="S50" s="1018"/>
      <c r="W50" s="1018"/>
      <c r="X50" s="1018"/>
      <c r="AE50" s="1018"/>
      <c r="AF50" s="1018"/>
      <c r="AV50" s="1018"/>
      <c r="AW50" s="1018"/>
      <c r="AX50" s="1018"/>
      <c r="AY50" s="1018"/>
      <c r="AZ50" s="1018"/>
      <c r="BA50" s="1018"/>
      <c r="BC50" s="1018"/>
      <c r="BE50" s="1018"/>
      <c r="BF50" s="1018"/>
      <c r="BG50" s="1018"/>
    </row>
    <row r="51" spans="18:59" x14ac:dyDescent="0.3">
      <c r="R51" s="1018"/>
      <c r="S51" s="1018"/>
      <c r="W51" s="1018"/>
      <c r="X51" s="1018"/>
      <c r="AE51" s="1018"/>
      <c r="AF51" s="1018"/>
      <c r="AV51" s="1018"/>
      <c r="AW51" s="1018"/>
      <c r="AX51" s="1018"/>
      <c r="AY51" s="1018"/>
      <c r="AZ51" s="1018"/>
      <c r="BA51" s="1018"/>
      <c r="BC51" s="1018"/>
      <c r="BE51" s="1018"/>
      <c r="BF51" s="1018"/>
      <c r="BG51" s="1018"/>
    </row>
    <row r="52" spans="18:59" x14ac:dyDescent="0.3">
      <c r="R52" s="1018"/>
      <c r="S52" s="1018"/>
      <c r="W52" s="1018"/>
      <c r="X52" s="1018"/>
      <c r="AE52" s="1018"/>
      <c r="AF52" s="1018"/>
      <c r="AV52" s="1018"/>
      <c r="AW52" s="1018"/>
      <c r="AX52" s="1018"/>
      <c r="AY52" s="1018"/>
      <c r="AZ52" s="1018"/>
      <c r="BA52" s="1018"/>
      <c r="BC52" s="1018"/>
      <c r="BE52" s="1018"/>
      <c r="BF52" s="1018"/>
      <c r="BG52" s="1018"/>
    </row>
    <row r="53" spans="18:59" x14ac:dyDescent="0.3">
      <c r="R53" s="1018"/>
      <c r="S53" s="1018"/>
      <c r="W53" s="1018"/>
      <c r="X53" s="1018"/>
      <c r="AE53" s="1018"/>
      <c r="AF53" s="1018"/>
      <c r="AV53" s="1018"/>
      <c r="AW53" s="1018"/>
      <c r="AX53" s="1018"/>
      <c r="AY53" s="1018"/>
      <c r="AZ53" s="1018"/>
      <c r="BA53" s="1018"/>
      <c r="BC53" s="1018"/>
      <c r="BE53" s="1018"/>
      <c r="BF53" s="1018"/>
      <c r="BG53" s="1018"/>
    </row>
    <row r="54" spans="18:59" x14ac:dyDescent="0.3">
      <c r="R54" s="1018"/>
      <c r="S54" s="1018"/>
      <c r="W54" s="1018"/>
      <c r="X54" s="1018"/>
      <c r="AE54" s="1018"/>
      <c r="AF54" s="1018"/>
      <c r="AV54" s="1018"/>
      <c r="AW54" s="1018"/>
      <c r="AX54" s="1018"/>
      <c r="AY54" s="1018"/>
      <c r="AZ54" s="1018"/>
      <c r="BA54" s="1018"/>
      <c r="BC54" s="1018"/>
      <c r="BE54" s="1018"/>
      <c r="BF54" s="1018"/>
      <c r="BG54" s="1018"/>
    </row>
    <row r="55" spans="18:59" x14ac:dyDescent="0.3">
      <c r="R55" s="1018"/>
      <c r="S55" s="1018"/>
      <c r="W55" s="1018"/>
      <c r="X55" s="1018"/>
      <c r="AE55" s="1018"/>
      <c r="AF55" s="1018"/>
      <c r="AV55" s="1018"/>
      <c r="AW55" s="1018"/>
      <c r="AX55" s="1018"/>
      <c r="AY55" s="1018"/>
      <c r="AZ55" s="1018"/>
      <c r="BA55" s="1018"/>
      <c r="BC55" s="1018"/>
      <c r="BE55" s="1018"/>
      <c r="BF55" s="1018"/>
      <c r="BG55" s="1018"/>
    </row>
    <row r="56" spans="18:59" x14ac:dyDescent="0.3">
      <c r="R56" s="1018"/>
      <c r="S56" s="1018"/>
      <c r="W56" s="1018"/>
      <c r="X56" s="1018"/>
      <c r="AE56" s="1018"/>
      <c r="AF56" s="1018"/>
      <c r="AV56" s="1018"/>
      <c r="AW56" s="1018"/>
      <c r="AX56" s="1018"/>
      <c r="AY56" s="1018"/>
      <c r="AZ56" s="1018"/>
      <c r="BA56" s="1018"/>
      <c r="BC56" s="1018"/>
      <c r="BE56" s="1018"/>
      <c r="BF56" s="1018"/>
      <c r="BG56" s="1018"/>
    </row>
    <row r="57" spans="18:59" x14ac:dyDescent="0.3">
      <c r="R57" s="1018"/>
      <c r="S57" s="1018"/>
      <c r="W57" s="1018"/>
      <c r="X57" s="1018"/>
      <c r="AE57" s="1018"/>
      <c r="AF57" s="1018"/>
      <c r="AV57" s="1018"/>
      <c r="AW57" s="1018"/>
      <c r="AX57" s="1018"/>
      <c r="AY57" s="1018"/>
      <c r="AZ57" s="1018"/>
      <c r="BA57" s="1018"/>
      <c r="BC57" s="1018"/>
      <c r="BE57" s="1018"/>
      <c r="BF57" s="1018"/>
      <c r="BG57" s="1018"/>
    </row>
    <row r="58" spans="18:59" x14ac:dyDescent="0.3">
      <c r="R58" s="1018"/>
      <c r="S58" s="1018"/>
      <c r="W58" s="1018"/>
      <c r="X58" s="1018"/>
      <c r="AE58" s="1018"/>
      <c r="AF58" s="1018"/>
      <c r="AV58" s="1018"/>
      <c r="AW58" s="1018"/>
      <c r="AX58" s="1018"/>
      <c r="AY58" s="1018"/>
      <c r="AZ58" s="1018"/>
      <c r="BA58" s="1018"/>
      <c r="BC58" s="1018"/>
      <c r="BE58" s="1018"/>
      <c r="BF58" s="1018"/>
      <c r="BG58" s="1018"/>
    </row>
    <row r="59" spans="18:59" x14ac:dyDescent="0.3">
      <c r="R59" s="1018"/>
      <c r="S59" s="1018"/>
      <c r="W59" s="1018"/>
      <c r="X59" s="1018"/>
      <c r="AE59" s="1018"/>
      <c r="AF59" s="1018"/>
      <c r="AV59" s="1018"/>
      <c r="AW59" s="1018"/>
      <c r="AX59" s="1018"/>
      <c r="AY59" s="1018"/>
      <c r="AZ59" s="1018"/>
      <c r="BA59" s="1018"/>
      <c r="BC59" s="1018"/>
      <c r="BE59" s="1018"/>
      <c r="BF59" s="1018"/>
      <c r="BG59" s="1018"/>
    </row>
    <row r="60" spans="18:59" x14ac:dyDescent="0.3">
      <c r="R60" s="1018"/>
      <c r="S60" s="1018"/>
      <c r="W60" s="1018"/>
      <c r="X60" s="1018"/>
      <c r="AE60" s="1018"/>
      <c r="AF60" s="1018"/>
      <c r="AV60" s="1018"/>
      <c r="AW60" s="1018"/>
      <c r="AX60" s="1018"/>
      <c r="AY60" s="1018"/>
      <c r="AZ60" s="1018"/>
      <c r="BA60" s="1018"/>
      <c r="BC60" s="1018"/>
      <c r="BE60" s="1018"/>
      <c r="BF60" s="1018"/>
      <c r="BG60" s="1018"/>
    </row>
    <row r="61" spans="18:59" x14ac:dyDescent="0.3">
      <c r="R61" s="1018"/>
      <c r="S61" s="1018"/>
      <c r="W61" s="1018"/>
      <c r="X61" s="1018"/>
      <c r="AE61" s="1018"/>
      <c r="AF61" s="1018"/>
      <c r="AV61" s="1018"/>
      <c r="AW61" s="1018"/>
      <c r="AX61" s="1018"/>
      <c r="AY61" s="1018"/>
      <c r="AZ61" s="1018"/>
      <c r="BA61" s="1018"/>
      <c r="BC61" s="1018"/>
      <c r="BE61" s="1018"/>
      <c r="BF61" s="1018"/>
      <c r="BG61" s="1018"/>
    </row>
    <row r="62" spans="18:59" x14ac:dyDescent="0.3">
      <c r="R62" s="1018"/>
      <c r="S62" s="1018"/>
      <c r="W62" s="1018"/>
      <c r="X62" s="1018"/>
      <c r="AE62" s="1018"/>
      <c r="AF62" s="1018"/>
      <c r="AV62" s="1018"/>
      <c r="AW62" s="1018"/>
      <c r="AX62" s="1018"/>
      <c r="AY62" s="1018"/>
      <c r="AZ62" s="1018"/>
      <c r="BA62" s="1018"/>
      <c r="BC62" s="1018"/>
      <c r="BE62" s="1018"/>
      <c r="BF62" s="1018"/>
      <c r="BG62" s="1018"/>
    </row>
    <row r="63" spans="18:59" x14ac:dyDescent="0.3">
      <c r="R63" s="1018"/>
      <c r="S63" s="1018"/>
      <c r="W63" s="1018"/>
      <c r="X63" s="1018"/>
      <c r="AE63" s="1018"/>
      <c r="AF63" s="1018"/>
      <c r="AV63" s="1018"/>
      <c r="AW63" s="1018"/>
      <c r="AX63" s="1018"/>
      <c r="AY63" s="1018"/>
      <c r="AZ63" s="1018"/>
      <c r="BA63" s="1018"/>
      <c r="BC63" s="1018"/>
      <c r="BE63" s="1018"/>
      <c r="BF63" s="1018"/>
      <c r="BG63" s="1018"/>
    </row>
    <row r="64" spans="18:59" x14ac:dyDescent="0.3">
      <c r="R64" s="1018"/>
      <c r="S64" s="1018"/>
      <c r="W64" s="1018"/>
      <c r="X64" s="1018"/>
      <c r="AE64" s="1018"/>
      <c r="AF64" s="1018"/>
      <c r="AV64" s="1018"/>
      <c r="AW64" s="1018"/>
      <c r="AX64" s="1018"/>
      <c r="AY64" s="1018"/>
      <c r="AZ64" s="1018"/>
      <c r="BA64" s="1018"/>
      <c r="BC64" s="1018"/>
      <c r="BE64" s="1018"/>
      <c r="BF64" s="1018"/>
      <c r="BG64" s="1018"/>
    </row>
    <row r="65" spans="18:59" x14ac:dyDescent="0.3">
      <c r="R65" s="1018"/>
      <c r="S65" s="1018"/>
      <c r="W65" s="1018"/>
      <c r="X65" s="1018"/>
      <c r="AE65" s="1018"/>
      <c r="AF65" s="1018"/>
      <c r="AV65" s="1018"/>
      <c r="AW65" s="1018"/>
      <c r="AX65" s="1018"/>
      <c r="AY65" s="1018"/>
      <c r="AZ65" s="1018"/>
      <c r="BA65" s="1018"/>
      <c r="BC65" s="1018"/>
      <c r="BE65" s="1018"/>
      <c r="BF65" s="1018"/>
      <c r="BG65" s="1018"/>
    </row>
    <row r="66" spans="18:59" x14ac:dyDescent="0.3">
      <c r="R66" s="1018"/>
      <c r="S66" s="1018"/>
      <c r="W66" s="1018"/>
      <c r="X66" s="1018"/>
      <c r="AE66" s="1018"/>
      <c r="AF66" s="1018"/>
      <c r="AV66" s="1018"/>
      <c r="AW66" s="1018"/>
      <c r="AX66" s="1018"/>
      <c r="AY66" s="1018"/>
      <c r="AZ66" s="1018"/>
      <c r="BA66" s="1018"/>
      <c r="BC66" s="1018"/>
      <c r="BE66" s="1018"/>
      <c r="BF66" s="1018"/>
      <c r="BG66" s="1018"/>
    </row>
    <row r="67" spans="18:59" x14ac:dyDescent="0.3">
      <c r="R67" s="1018"/>
      <c r="S67" s="1018"/>
      <c r="W67" s="1018"/>
      <c r="X67" s="1018"/>
      <c r="AE67" s="1018"/>
      <c r="AF67" s="1018"/>
      <c r="AV67" s="1018"/>
      <c r="AW67" s="1018"/>
      <c r="AX67" s="1018"/>
      <c r="AY67" s="1018"/>
      <c r="AZ67" s="1018"/>
      <c r="BA67" s="1018"/>
      <c r="BC67" s="1018"/>
      <c r="BE67" s="1018"/>
      <c r="BF67" s="1018"/>
      <c r="BG67" s="1018"/>
    </row>
    <row r="68" spans="18:59" x14ac:dyDescent="0.3">
      <c r="R68" s="1018"/>
      <c r="S68" s="1018"/>
      <c r="W68" s="1018"/>
      <c r="X68" s="1018"/>
      <c r="AE68" s="1018"/>
      <c r="AF68" s="1018"/>
      <c r="AV68" s="1018"/>
      <c r="AW68" s="1018"/>
      <c r="AX68" s="1018"/>
      <c r="AY68" s="1018"/>
      <c r="AZ68" s="1018"/>
      <c r="BA68" s="1018"/>
      <c r="BC68" s="1018"/>
      <c r="BE68" s="1018"/>
      <c r="BF68" s="1018"/>
      <c r="BG68" s="1018"/>
    </row>
    <row r="69" spans="18:59" x14ac:dyDescent="0.3">
      <c r="R69" s="1018"/>
      <c r="S69" s="1018"/>
      <c r="W69" s="1018"/>
      <c r="X69" s="1018"/>
      <c r="AE69" s="1018"/>
      <c r="AF69" s="1018"/>
      <c r="AV69" s="1018"/>
      <c r="AW69" s="1018"/>
      <c r="AX69" s="1018"/>
      <c r="AY69" s="1018"/>
      <c r="AZ69" s="1018"/>
      <c r="BA69" s="1018"/>
      <c r="BC69" s="1018"/>
      <c r="BE69" s="1018"/>
      <c r="BF69" s="1018"/>
      <c r="BG69" s="1018"/>
    </row>
    <row r="70" spans="18:59" x14ac:dyDescent="0.3">
      <c r="R70" s="1018"/>
      <c r="S70" s="1018"/>
      <c r="W70" s="1018"/>
      <c r="X70" s="1018"/>
      <c r="AE70" s="1018"/>
      <c r="AF70" s="1018"/>
      <c r="AV70" s="1018"/>
      <c r="AW70" s="1018"/>
      <c r="AX70" s="1018"/>
      <c r="AY70" s="1018"/>
      <c r="AZ70" s="1018"/>
      <c r="BA70" s="1018"/>
      <c r="BC70" s="1018"/>
      <c r="BE70" s="1018"/>
      <c r="BF70" s="1018"/>
      <c r="BG70" s="1018"/>
    </row>
    <row r="71" spans="18:59" x14ac:dyDescent="0.3">
      <c r="R71" s="1018"/>
      <c r="S71" s="1018"/>
      <c r="W71" s="1018"/>
      <c r="X71" s="1018"/>
      <c r="AE71" s="1018"/>
      <c r="AF71" s="1018"/>
      <c r="AV71" s="1018"/>
      <c r="AW71" s="1018"/>
      <c r="AX71" s="1018"/>
      <c r="AY71" s="1018"/>
      <c r="AZ71" s="1018"/>
      <c r="BA71" s="1018"/>
      <c r="BC71" s="1018"/>
      <c r="BE71" s="1018"/>
      <c r="BF71" s="1018"/>
      <c r="BG71" s="1018"/>
    </row>
    <row r="72" spans="18:59" x14ac:dyDescent="0.3">
      <c r="R72" s="1018"/>
      <c r="S72" s="1018"/>
      <c r="W72" s="1018"/>
      <c r="X72" s="1018"/>
      <c r="AE72" s="1018"/>
      <c r="AF72" s="1018"/>
      <c r="AV72" s="1018"/>
      <c r="AW72" s="1018"/>
      <c r="AX72" s="1018"/>
      <c r="AY72" s="1018"/>
      <c r="AZ72" s="1018"/>
      <c r="BA72" s="1018"/>
      <c r="BC72" s="1018"/>
      <c r="BE72" s="1018"/>
      <c r="BF72" s="1018"/>
      <c r="BG72" s="1018"/>
    </row>
    <row r="73" spans="18:59" x14ac:dyDescent="0.3">
      <c r="R73" s="1018"/>
      <c r="S73" s="1018"/>
      <c r="W73" s="1018"/>
      <c r="X73" s="1018"/>
      <c r="AE73" s="1018"/>
      <c r="AF73" s="1018"/>
      <c r="AV73" s="1018"/>
      <c r="AW73" s="1018"/>
      <c r="AX73" s="1018"/>
      <c r="AY73" s="1018"/>
      <c r="AZ73" s="1018"/>
      <c r="BA73" s="1018"/>
      <c r="BC73" s="1018"/>
      <c r="BE73" s="1018"/>
      <c r="BF73" s="1018"/>
      <c r="BG73" s="1018"/>
    </row>
    <row r="74" spans="18:59" x14ac:dyDescent="0.3">
      <c r="R74" s="1018"/>
      <c r="S74" s="1018"/>
      <c r="W74" s="1018"/>
      <c r="X74" s="1018"/>
      <c r="AE74" s="1018"/>
      <c r="AF74" s="1018"/>
      <c r="AV74" s="1018"/>
      <c r="AW74" s="1018"/>
      <c r="AX74" s="1018"/>
      <c r="AY74" s="1018"/>
      <c r="AZ74" s="1018"/>
      <c r="BA74" s="1018"/>
      <c r="BC74" s="1018"/>
      <c r="BE74" s="1018"/>
      <c r="BF74" s="1018"/>
      <c r="BG74" s="1018"/>
    </row>
    <row r="75" spans="18:59" x14ac:dyDescent="0.3">
      <c r="R75" s="1018"/>
      <c r="S75" s="1018"/>
      <c r="W75" s="1018"/>
      <c r="X75" s="1018"/>
      <c r="AE75" s="1018"/>
      <c r="AF75" s="1018"/>
      <c r="AV75" s="1018"/>
      <c r="AW75" s="1018"/>
      <c r="AX75" s="1018"/>
      <c r="AY75" s="1018"/>
      <c r="AZ75" s="1018"/>
      <c r="BA75" s="1018"/>
      <c r="BC75" s="1018"/>
      <c r="BE75" s="1018"/>
      <c r="BF75" s="1018"/>
      <c r="BG75" s="1018"/>
    </row>
    <row r="76" spans="18:59" x14ac:dyDescent="0.3">
      <c r="R76" s="1018"/>
      <c r="S76" s="1018"/>
      <c r="W76" s="1018"/>
      <c r="X76" s="1018"/>
      <c r="AE76" s="1018"/>
      <c r="AF76" s="1018"/>
      <c r="AV76" s="1018"/>
      <c r="AW76" s="1018"/>
      <c r="AX76" s="1018"/>
      <c r="AY76" s="1018"/>
      <c r="AZ76" s="1018"/>
      <c r="BA76" s="1018"/>
      <c r="BC76" s="1018"/>
      <c r="BE76" s="1018"/>
      <c r="BF76" s="1018"/>
      <c r="BG76" s="1018"/>
    </row>
    <row r="77" spans="18:59" x14ac:dyDescent="0.3">
      <c r="R77" s="1018"/>
      <c r="S77" s="1018"/>
      <c r="W77" s="1018"/>
      <c r="X77" s="1018"/>
      <c r="AE77" s="1018"/>
      <c r="AF77" s="1018"/>
      <c r="AV77" s="1018"/>
      <c r="AW77" s="1018"/>
      <c r="AX77" s="1018"/>
      <c r="AY77" s="1018"/>
      <c r="AZ77" s="1018"/>
      <c r="BA77" s="1018"/>
      <c r="BC77" s="1018"/>
      <c r="BE77" s="1018"/>
      <c r="BF77" s="1018"/>
      <c r="BG77" s="1018"/>
    </row>
    <row r="78" spans="18:59" x14ac:dyDescent="0.3">
      <c r="R78" s="1018"/>
      <c r="S78" s="1018"/>
      <c r="W78" s="1018"/>
      <c r="X78" s="1018"/>
      <c r="AE78" s="1018"/>
      <c r="AF78" s="1018"/>
      <c r="AV78" s="1018"/>
      <c r="AW78" s="1018"/>
      <c r="AX78" s="1018"/>
      <c r="AY78" s="1018"/>
      <c r="AZ78" s="1018"/>
      <c r="BA78" s="1018"/>
      <c r="BC78" s="1018"/>
      <c r="BE78" s="1018"/>
      <c r="BF78" s="1018"/>
      <c r="BG78" s="1018"/>
    </row>
    <row r="79" spans="18:59" x14ac:dyDescent="0.3">
      <c r="R79" s="1018"/>
      <c r="S79" s="1018"/>
      <c r="W79" s="1018"/>
      <c r="X79" s="1018"/>
      <c r="AE79" s="1018"/>
      <c r="AF79" s="1018"/>
      <c r="AV79" s="1018"/>
      <c r="AW79" s="1018"/>
      <c r="AX79" s="1018"/>
      <c r="AY79" s="1018"/>
      <c r="AZ79" s="1018"/>
      <c r="BA79" s="1018"/>
      <c r="BC79" s="1018"/>
      <c r="BE79" s="1018"/>
      <c r="BF79" s="1018"/>
      <c r="BG79" s="1018"/>
    </row>
    <row r="80" spans="18:59" x14ac:dyDescent="0.3">
      <c r="R80" s="1018"/>
      <c r="S80" s="1018"/>
      <c r="W80" s="1018"/>
      <c r="X80" s="1018"/>
      <c r="AE80" s="1018"/>
      <c r="AF80" s="1018"/>
      <c r="AV80" s="1018"/>
      <c r="AW80" s="1018"/>
      <c r="AX80" s="1018"/>
      <c r="AY80" s="1018"/>
      <c r="AZ80" s="1018"/>
      <c r="BA80" s="1018"/>
      <c r="BC80" s="1018"/>
      <c r="BE80" s="1018"/>
      <c r="BF80" s="1018"/>
      <c r="BG80" s="1018"/>
    </row>
    <row r="81" spans="18:59" x14ac:dyDescent="0.3">
      <c r="R81" s="1018"/>
      <c r="S81" s="1018"/>
      <c r="W81" s="1018"/>
      <c r="X81" s="1018"/>
      <c r="AE81" s="1018"/>
      <c r="AF81" s="1018"/>
      <c r="AV81" s="1018"/>
      <c r="AW81" s="1018"/>
      <c r="AX81" s="1018"/>
      <c r="AY81" s="1018"/>
      <c r="AZ81" s="1018"/>
      <c r="BA81" s="1018"/>
      <c r="BC81" s="1018"/>
      <c r="BE81" s="1018"/>
      <c r="BF81" s="1018"/>
      <c r="BG81" s="1018"/>
    </row>
    <row r="82" spans="18:59" x14ac:dyDescent="0.3">
      <c r="R82" s="1018"/>
      <c r="S82" s="1018"/>
      <c r="W82" s="1018"/>
      <c r="X82" s="1018"/>
      <c r="AE82" s="1018"/>
      <c r="AF82" s="1018"/>
      <c r="AV82" s="1018"/>
      <c r="AW82" s="1018"/>
      <c r="AX82" s="1018"/>
      <c r="AY82" s="1018"/>
      <c r="AZ82" s="1018"/>
      <c r="BA82" s="1018"/>
      <c r="BC82" s="1018"/>
      <c r="BE82" s="1018"/>
      <c r="BF82" s="1018"/>
      <c r="BG82" s="1018"/>
    </row>
    <row r="83" spans="18:59" x14ac:dyDescent="0.3">
      <c r="R83" s="1018"/>
      <c r="S83" s="1018"/>
      <c r="W83" s="1018"/>
      <c r="X83" s="1018"/>
      <c r="AE83" s="1018"/>
      <c r="AF83" s="1018"/>
      <c r="AV83" s="1018"/>
      <c r="AW83" s="1018"/>
      <c r="AX83" s="1018"/>
      <c r="AY83" s="1018"/>
      <c r="AZ83" s="1018"/>
      <c r="BA83" s="1018"/>
      <c r="BC83" s="1018"/>
      <c r="BE83" s="1018"/>
      <c r="BF83" s="1018"/>
      <c r="BG83" s="1018"/>
    </row>
    <row r="84" spans="18:59" x14ac:dyDescent="0.3">
      <c r="R84" s="1018"/>
      <c r="S84" s="1018"/>
      <c r="W84" s="1018"/>
      <c r="X84" s="1018"/>
      <c r="AE84" s="1018"/>
      <c r="AF84" s="1018"/>
      <c r="AV84" s="1018"/>
      <c r="AW84" s="1018"/>
      <c r="AX84" s="1018"/>
      <c r="AY84" s="1018"/>
      <c r="AZ84" s="1018"/>
      <c r="BA84" s="1018"/>
      <c r="BC84" s="1018"/>
      <c r="BE84" s="1018"/>
      <c r="BF84" s="1018"/>
      <c r="BG84" s="1018"/>
    </row>
    <row r="85" spans="18:59" x14ac:dyDescent="0.3">
      <c r="R85" s="1018"/>
      <c r="S85" s="1018"/>
      <c r="W85" s="1018"/>
      <c r="X85" s="1018"/>
      <c r="AE85" s="1018"/>
      <c r="AF85" s="1018"/>
      <c r="AV85" s="1018"/>
      <c r="AW85" s="1018"/>
      <c r="AX85" s="1018"/>
      <c r="AY85" s="1018"/>
      <c r="AZ85" s="1018"/>
      <c r="BA85" s="1018"/>
      <c r="BC85" s="1018"/>
      <c r="BE85" s="1018"/>
      <c r="BF85" s="1018"/>
      <c r="BG85" s="1018"/>
    </row>
    <row r="86" spans="18:59" x14ac:dyDescent="0.3">
      <c r="R86" s="1018"/>
      <c r="S86" s="1018"/>
      <c r="W86" s="1018"/>
      <c r="X86" s="1018"/>
      <c r="AE86" s="1018"/>
      <c r="AF86" s="1018"/>
      <c r="AV86" s="1018"/>
      <c r="AW86" s="1018"/>
      <c r="AX86" s="1018"/>
      <c r="AY86" s="1018"/>
      <c r="AZ86" s="1018"/>
      <c r="BA86" s="1018"/>
      <c r="BC86" s="1018"/>
      <c r="BE86" s="1018"/>
      <c r="BF86" s="1018"/>
      <c r="BG86" s="1018"/>
    </row>
    <row r="87" spans="18:59" x14ac:dyDescent="0.3">
      <c r="R87" s="1018"/>
      <c r="S87" s="1018"/>
      <c r="W87" s="1018"/>
      <c r="X87" s="1018"/>
      <c r="AE87" s="1018"/>
      <c r="AF87" s="1018"/>
      <c r="AV87" s="1018"/>
      <c r="AW87" s="1018"/>
      <c r="AX87" s="1018"/>
      <c r="AY87" s="1018"/>
      <c r="AZ87" s="1018"/>
      <c r="BA87" s="1018"/>
      <c r="BC87" s="1018"/>
      <c r="BE87" s="1018"/>
      <c r="BF87" s="1018"/>
      <c r="BG87" s="1018"/>
    </row>
    <row r="88" spans="18:59" x14ac:dyDescent="0.3">
      <c r="R88" s="1018"/>
      <c r="S88" s="1018"/>
      <c r="W88" s="1018"/>
      <c r="X88" s="1018"/>
      <c r="AE88" s="1018"/>
      <c r="AF88" s="1018"/>
      <c r="AV88" s="1018"/>
      <c r="AW88" s="1018"/>
      <c r="AX88" s="1018"/>
      <c r="AY88" s="1018"/>
      <c r="AZ88" s="1018"/>
      <c r="BA88" s="1018"/>
      <c r="BC88" s="1018"/>
      <c r="BE88" s="1018"/>
      <c r="BF88" s="1018"/>
      <c r="BG88" s="1018"/>
    </row>
    <row r="89" spans="18:59" x14ac:dyDescent="0.3">
      <c r="R89" s="1018"/>
      <c r="S89" s="1018"/>
      <c r="W89" s="1018"/>
      <c r="X89" s="1018"/>
      <c r="AE89" s="1018"/>
      <c r="AF89" s="1018"/>
      <c r="AV89" s="1018"/>
      <c r="AW89" s="1018"/>
      <c r="AX89" s="1018"/>
      <c r="AY89" s="1018"/>
      <c r="AZ89" s="1018"/>
      <c r="BA89" s="1018"/>
      <c r="BC89" s="1018"/>
      <c r="BE89" s="1018"/>
      <c r="BF89" s="1018"/>
      <c r="BG89" s="1018"/>
    </row>
    <row r="90" spans="18:59" x14ac:dyDescent="0.3">
      <c r="R90" s="1018"/>
      <c r="S90" s="1018"/>
      <c r="W90" s="1018"/>
      <c r="X90" s="1018"/>
      <c r="AE90" s="1018"/>
      <c r="AF90" s="1018"/>
      <c r="AV90" s="1018"/>
      <c r="AW90" s="1018"/>
      <c r="AX90" s="1018"/>
      <c r="AY90" s="1018"/>
      <c r="AZ90" s="1018"/>
      <c r="BA90" s="1018"/>
      <c r="BC90" s="1018"/>
      <c r="BE90" s="1018"/>
      <c r="BF90" s="1018"/>
      <c r="BG90" s="1018"/>
    </row>
    <row r="91" spans="18:59" x14ac:dyDescent="0.3">
      <c r="R91" s="1018"/>
      <c r="S91" s="1018"/>
      <c r="W91" s="1018"/>
      <c r="X91" s="1018"/>
      <c r="AE91" s="1018"/>
      <c r="AF91" s="1018"/>
      <c r="AV91" s="1018"/>
      <c r="AW91" s="1018"/>
      <c r="AX91" s="1018"/>
      <c r="AY91" s="1018"/>
      <c r="AZ91" s="1018"/>
      <c r="BA91" s="1018"/>
      <c r="BC91" s="1018"/>
      <c r="BE91" s="1018"/>
      <c r="BF91" s="1018"/>
      <c r="BG91" s="1018"/>
    </row>
    <row r="92" spans="18:59" x14ac:dyDescent="0.3">
      <c r="R92" s="1018"/>
      <c r="S92" s="1018"/>
      <c r="W92" s="1018"/>
      <c r="X92" s="1018"/>
      <c r="AE92" s="1018"/>
      <c r="AF92" s="1018"/>
      <c r="AV92" s="1018"/>
      <c r="AW92" s="1018"/>
      <c r="AX92" s="1018"/>
      <c r="AY92" s="1018"/>
      <c r="AZ92" s="1018"/>
      <c r="BA92" s="1018"/>
      <c r="BC92" s="1018"/>
      <c r="BE92" s="1018"/>
      <c r="BF92" s="1018"/>
      <c r="BG92" s="1018"/>
    </row>
    <row r="93" spans="18:59" x14ac:dyDescent="0.3">
      <c r="R93" s="1018"/>
      <c r="S93" s="1018"/>
      <c r="W93" s="1018"/>
      <c r="X93" s="1018"/>
      <c r="AE93" s="1018"/>
      <c r="AF93" s="1018"/>
      <c r="AV93" s="1018"/>
      <c r="AW93" s="1018"/>
      <c r="AX93" s="1018"/>
      <c r="AY93" s="1018"/>
      <c r="AZ93" s="1018"/>
      <c r="BA93" s="1018"/>
      <c r="BC93" s="1018"/>
      <c r="BE93" s="1018"/>
      <c r="BF93" s="1018"/>
      <c r="BG93" s="1018"/>
    </row>
    <row r="94" spans="18:59" x14ac:dyDescent="0.3">
      <c r="R94" s="1018"/>
      <c r="S94" s="1018"/>
      <c r="W94" s="1018"/>
      <c r="X94" s="1018"/>
      <c r="AE94" s="1018"/>
      <c r="AF94" s="1018"/>
      <c r="AV94" s="1018"/>
      <c r="AW94" s="1018"/>
      <c r="AX94" s="1018"/>
      <c r="AY94" s="1018"/>
      <c r="AZ94" s="1018"/>
      <c r="BA94" s="1018"/>
      <c r="BC94" s="1018"/>
      <c r="BE94" s="1018"/>
      <c r="BF94" s="1018"/>
      <c r="BG94" s="1018"/>
    </row>
    <row r="95" spans="18:59" x14ac:dyDescent="0.3">
      <c r="R95" s="1018"/>
      <c r="S95" s="1018"/>
      <c r="W95" s="1018"/>
      <c r="X95" s="1018"/>
      <c r="AE95" s="1018"/>
      <c r="AF95" s="1018"/>
      <c r="AV95" s="1018"/>
      <c r="AW95" s="1018"/>
      <c r="AX95" s="1018"/>
      <c r="AY95" s="1018"/>
      <c r="AZ95" s="1018"/>
      <c r="BA95" s="1018"/>
      <c r="BC95" s="1018"/>
      <c r="BE95" s="1018"/>
      <c r="BF95" s="1018"/>
      <c r="BG95" s="1018"/>
    </row>
    <row r="96" spans="18:59" x14ac:dyDescent="0.3">
      <c r="R96" s="1018"/>
      <c r="S96" s="1018"/>
      <c r="W96" s="1018"/>
      <c r="X96" s="1018"/>
      <c r="AE96" s="1018"/>
      <c r="AF96" s="1018"/>
      <c r="AV96" s="1018"/>
      <c r="AW96" s="1018"/>
      <c r="AX96" s="1018"/>
      <c r="AY96" s="1018"/>
      <c r="AZ96" s="1018"/>
      <c r="BA96" s="1018"/>
      <c r="BC96" s="1018"/>
      <c r="BE96" s="1018"/>
      <c r="BF96" s="1018"/>
      <c r="BG96" s="1018"/>
    </row>
    <row r="97" spans="18:59" x14ac:dyDescent="0.3">
      <c r="R97" s="1018"/>
      <c r="S97" s="1018"/>
      <c r="W97" s="1018"/>
      <c r="X97" s="1018"/>
      <c r="AE97" s="1018"/>
      <c r="AF97" s="1018"/>
      <c r="AV97" s="1018"/>
      <c r="AW97" s="1018"/>
      <c r="AX97" s="1018"/>
      <c r="AY97" s="1018"/>
      <c r="AZ97" s="1018"/>
      <c r="BA97" s="1018"/>
      <c r="BC97" s="1018"/>
      <c r="BE97" s="1018"/>
      <c r="BF97" s="1018"/>
      <c r="BG97" s="1018"/>
    </row>
    <row r="98" spans="18:59" x14ac:dyDescent="0.3">
      <c r="R98" s="1018"/>
      <c r="S98" s="1018"/>
      <c r="W98" s="1018"/>
      <c r="X98" s="1018"/>
      <c r="AE98" s="1018"/>
      <c r="AF98" s="1018"/>
      <c r="AV98" s="1018"/>
      <c r="AW98" s="1018"/>
      <c r="AX98" s="1018"/>
      <c r="AY98" s="1018"/>
      <c r="AZ98" s="1018"/>
      <c r="BA98" s="1018"/>
      <c r="BC98" s="1018"/>
      <c r="BE98" s="1018"/>
      <c r="BF98" s="1018"/>
      <c r="BG98" s="1018"/>
    </row>
    <row r="99" spans="18:59" x14ac:dyDescent="0.3">
      <c r="R99" s="1018"/>
      <c r="S99" s="1018"/>
      <c r="W99" s="1018"/>
      <c r="X99" s="1018"/>
      <c r="AE99" s="1018"/>
      <c r="AF99" s="1018"/>
      <c r="AV99" s="1018"/>
      <c r="AW99" s="1018"/>
      <c r="AX99" s="1018"/>
      <c r="AY99" s="1018"/>
      <c r="AZ99" s="1018"/>
      <c r="BA99" s="1018"/>
      <c r="BC99" s="1018"/>
      <c r="BE99" s="1018"/>
      <c r="BF99" s="1018"/>
      <c r="BG99" s="1018"/>
    </row>
    <row r="100" spans="18:59" x14ac:dyDescent="0.3">
      <c r="R100" s="1018"/>
      <c r="S100" s="1018"/>
      <c r="W100" s="1018"/>
      <c r="X100" s="1018"/>
      <c r="AE100" s="1018"/>
      <c r="AF100" s="1018"/>
      <c r="AV100" s="1018"/>
      <c r="AW100" s="1018"/>
      <c r="AX100" s="1018"/>
      <c r="AY100" s="1018"/>
      <c r="AZ100" s="1018"/>
      <c r="BA100" s="1018"/>
      <c r="BC100" s="1018"/>
      <c r="BE100" s="1018"/>
      <c r="BF100" s="1018"/>
      <c r="BG100" s="1018"/>
    </row>
    <row r="101" spans="18:59" x14ac:dyDescent="0.3">
      <c r="R101" s="1018"/>
      <c r="S101" s="1018"/>
      <c r="W101" s="1018"/>
      <c r="X101" s="1018"/>
      <c r="AE101" s="1018"/>
      <c r="AF101" s="1018"/>
      <c r="AV101" s="1018"/>
      <c r="AW101" s="1018"/>
      <c r="AX101" s="1018"/>
      <c r="AY101" s="1018"/>
      <c r="AZ101" s="1018"/>
      <c r="BA101" s="1018"/>
      <c r="BC101" s="1018"/>
      <c r="BE101" s="1018"/>
      <c r="BF101" s="1018"/>
      <c r="BG101" s="1018"/>
    </row>
    <row r="102" spans="18:59" x14ac:dyDescent="0.3">
      <c r="R102" s="1018"/>
      <c r="S102" s="1018"/>
      <c r="W102" s="1018"/>
      <c r="X102" s="1018"/>
      <c r="AE102" s="1018"/>
      <c r="AF102" s="1018"/>
      <c r="AV102" s="1018"/>
      <c r="AW102" s="1018"/>
      <c r="AX102" s="1018"/>
      <c r="AY102" s="1018"/>
      <c r="AZ102" s="1018"/>
      <c r="BA102" s="1018"/>
      <c r="BC102" s="1018"/>
      <c r="BE102" s="1018"/>
      <c r="BF102" s="1018"/>
      <c r="BG102" s="1018"/>
    </row>
    <row r="103" spans="18:59" x14ac:dyDescent="0.3">
      <c r="R103" s="1018"/>
      <c r="S103" s="1018"/>
      <c r="W103" s="1018"/>
      <c r="X103" s="1018"/>
      <c r="AE103" s="1018"/>
      <c r="AF103" s="1018"/>
      <c r="AV103" s="1018"/>
      <c r="AW103" s="1018"/>
      <c r="AX103" s="1018"/>
      <c r="AY103" s="1018"/>
      <c r="AZ103" s="1018"/>
      <c r="BA103" s="1018"/>
      <c r="BC103" s="1018"/>
      <c r="BE103" s="1018"/>
      <c r="BF103" s="1018"/>
      <c r="BG103" s="1018"/>
    </row>
    <row r="104" spans="18:59" x14ac:dyDescent="0.3">
      <c r="R104" s="1018"/>
      <c r="S104" s="1018"/>
      <c r="W104" s="1018"/>
      <c r="X104" s="1018"/>
      <c r="AE104" s="1018"/>
      <c r="AF104" s="1018"/>
      <c r="AV104" s="1018"/>
      <c r="AW104" s="1018"/>
      <c r="AX104" s="1018"/>
      <c r="AY104" s="1018"/>
      <c r="AZ104" s="1018"/>
      <c r="BA104" s="1018"/>
      <c r="BC104" s="1018"/>
      <c r="BE104" s="1018"/>
      <c r="BF104" s="1018"/>
      <c r="BG104" s="1018"/>
    </row>
    <row r="105" spans="18:59" x14ac:dyDescent="0.3">
      <c r="R105" s="1018"/>
      <c r="S105" s="1018"/>
      <c r="W105" s="1018"/>
      <c r="X105" s="1018"/>
      <c r="AE105" s="1018"/>
      <c r="AF105" s="1018"/>
      <c r="AV105" s="1018"/>
      <c r="AW105" s="1018"/>
      <c r="AX105" s="1018"/>
      <c r="AY105" s="1018"/>
      <c r="AZ105" s="1018"/>
      <c r="BA105" s="1018"/>
      <c r="BC105" s="1018"/>
      <c r="BE105" s="1018"/>
      <c r="BF105" s="1018"/>
      <c r="BG105" s="1018"/>
    </row>
    <row r="106" spans="18:59" x14ac:dyDescent="0.3">
      <c r="R106" s="1018"/>
      <c r="S106" s="1018"/>
      <c r="W106" s="1018"/>
      <c r="X106" s="1018"/>
      <c r="AE106" s="1018"/>
      <c r="AF106" s="1018"/>
      <c r="AV106" s="1018"/>
      <c r="AW106" s="1018"/>
      <c r="AX106" s="1018"/>
      <c r="AY106" s="1018"/>
      <c r="AZ106" s="1018"/>
      <c r="BA106" s="1018"/>
      <c r="BC106" s="1018"/>
      <c r="BE106" s="1018"/>
      <c r="BF106" s="1018"/>
      <c r="BG106" s="1018"/>
    </row>
    <row r="107" spans="18:59" x14ac:dyDescent="0.3">
      <c r="R107" s="1018"/>
      <c r="S107" s="1018"/>
      <c r="W107" s="1018"/>
      <c r="X107" s="1018"/>
      <c r="AE107" s="1018"/>
      <c r="AF107" s="1018"/>
      <c r="AV107" s="1018"/>
      <c r="AW107" s="1018"/>
      <c r="AX107" s="1018"/>
      <c r="AY107" s="1018"/>
      <c r="AZ107" s="1018"/>
      <c r="BA107" s="1018"/>
      <c r="BC107" s="1018"/>
      <c r="BE107" s="1018"/>
      <c r="BF107" s="1018"/>
      <c r="BG107" s="1018"/>
    </row>
    <row r="108" spans="18:59" x14ac:dyDescent="0.3">
      <c r="R108" s="1018"/>
      <c r="S108" s="1018"/>
      <c r="W108" s="1018"/>
      <c r="X108" s="1018"/>
      <c r="AE108" s="1018"/>
      <c r="AF108" s="1018"/>
      <c r="AV108" s="1018"/>
      <c r="AW108" s="1018"/>
      <c r="AX108" s="1018"/>
      <c r="AY108" s="1018"/>
      <c r="AZ108" s="1018"/>
      <c r="BA108" s="1018"/>
      <c r="BC108" s="1018"/>
      <c r="BE108" s="1018"/>
      <c r="BF108" s="1018"/>
      <c r="BG108" s="1018"/>
    </row>
    <row r="109" spans="18:59" x14ac:dyDescent="0.3">
      <c r="R109" s="1018"/>
      <c r="S109" s="1018"/>
      <c r="W109" s="1018"/>
      <c r="X109" s="1018"/>
      <c r="AE109" s="1018"/>
      <c r="AF109" s="1018"/>
      <c r="AV109" s="1018"/>
      <c r="AW109" s="1018"/>
      <c r="AX109" s="1018"/>
      <c r="AY109" s="1018"/>
      <c r="AZ109" s="1018"/>
      <c r="BA109" s="1018"/>
      <c r="BC109" s="1018"/>
      <c r="BE109" s="1018"/>
      <c r="BF109" s="1018"/>
      <c r="BG109" s="1018"/>
    </row>
    <row r="110" spans="18:59" x14ac:dyDescent="0.3">
      <c r="R110" s="1018"/>
      <c r="S110" s="1018"/>
      <c r="W110" s="1018"/>
      <c r="X110" s="1018"/>
      <c r="AE110" s="1018"/>
      <c r="AF110" s="1018"/>
      <c r="AV110" s="1018"/>
      <c r="AW110" s="1018"/>
      <c r="AX110" s="1018"/>
      <c r="AY110" s="1018"/>
      <c r="AZ110" s="1018"/>
      <c r="BA110" s="1018"/>
      <c r="BC110" s="1018"/>
      <c r="BE110" s="1018"/>
      <c r="BF110" s="1018"/>
      <c r="BG110" s="1018"/>
    </row>
    <row r="111" spans="18:59" x14ac:dyDescent="0.3">
      <c r="R111" s="1018"/>
      <c r="S111" s="1018"/>
      <c r="W111" s="1018"/>
      <c r="X111" s="1018"/>
      <c r="AE111" s="1018"/>
      <c r="AF111" s="1018"/>
      <c r="AV111" s="1018"/>
      <c r="AW111" s="1018"/>
      <c r="AX111" s="1018"/>
      <c r="AY111" s="1018"/>
      <c r="AZ111" s="1018"/>
      <c r="BA111" s="1018"/>
      <c r="BC111" s="1018"/>
      <c r="BE111" s="1018"/>
      <c r="BF111" s="1018"/>
      <c r="BG111" s="1018"/>
    </row>
    <row r="112" spans="18:59" x14ac:dyDescent="0.3">
      <c r="R112" s="1018"/>
      <c r="S112" s="1018"/>
      <c r="W112" s="1018"/>
      <c r="X112" s="1018"/>
      <c r="AE112" s="1018"/>
      <c r="AF112" s="1018"/>
      <c r="AV112" s="1018"/>
      <c r="AW112" s="1018"/>
      <c r="AX112" s="1018"/>
      <c r="AY112" s="1018"/>
      <c r="AZ112" s="1018"/>
      <c r="BA112" s="1018"/>
      <c r="BC112" s="1018"/>
      <c r="BE112" s="1018"/>
      <c r="BF112" s="1018"/>
      <c r="BG112" s="1018"/>
    </row>
    <row r="113" spans="18:59" x14ac:dyDescent="0.3">
      <c r="R113" s="1018"/>
      <c r="S113" s="1018"/>
      <c r="W113" s="1018"/>
      <c r="X113" s="1018"/>
      <c r="AE113" s="1018"/>
      <c r="AF113" s="1018"/>
      <c r="AV113" s="1018"/>
      <c r="AW113" s="1018"/>
      <c r="AX113" s="1018"/>
      <c r="AY113" s="1018"/>
      <c r="AZ113" s="1018"/>
      <c r="BA113" s="1018"/>
      <c r="BC113" s="1018"/>
      <c r="BE113" s="1018"/>
      <c r="BF113" s="1018"/>
      <c r="BG113" s="1018"/>
    </row>
    <row r="114" spans="18:59" x14ac:dyDescent="0.3">
      <c r="R114" s="1018"/>
      <c r="S114" s="1018"/>
      <c r="W114" s="1018"/>
      <c r="X114" s="1018"/>
      <c r="AE114" s="1018"/>
      <c r="AF114" s="1018"/>
      <c r="AV114" s="1018"/>
      <c r="AW114" s="1018"/>
      <c r="AX114" s="1018"/>
      <c r="AY114" s="1018"/>
      <c r="AZ114" s="1018"/>
      <c r="BA114" s="1018"/>
      <c r="BC114" s="1018"/>
      <c r="BE114" s="1018"/>
      <c r="BF114" s="1018"/>
      <c r="BG114" s="1018"/>
    </row>
    <row r="115" spans="18:59" x14ac:dyDescent="0.3">
      <c r="R115" s="1018"/>
      <c r="S115" s="1018"/>
      <c r="W115" s="1018"/>
      <c r="X115" s="1018"/>
      <c r="AE115" s="1018"/>
      <c r="AF115" s="1018"/>
      <c r="AV115" s="1018"/>
      <c r="AW115" s="1018"/>
      <c r="AX115" s="1018"/>
      <c r="AY115" s="1018"/>
      <c r="AZ115" s="1018"/>
      <c r="BA115" s="1018"/>
      <c r="BC115" s="1018"/>
      <c r="BE115" s="1018"/>
      <c r="BF115" s="1018"/>
      <c r="BG115" s="1018"/>
    </row>
    <row r="116" spans="18:59" x14ac:dyDescent="0.3">
      <c r="R116" s="1018"/>
      <c r="S116" s="1018"/>
      <c r="W116" s="1018"/>
      <c r="X116" s="1018"/>
      <c r="AE116" s="1018"/>
      <c r="AF116" s="1018"/>
      <c r="AV116" s="1018"/>
      <c r="AW116" s="1018"/>
      <c r="AX116" s="1018"/>
      <c r="AY116" s="1018"/>
      <c r="AZ116" s="1018"/>
      <c r="BA116" s="1018"/>
      <c r="BC116" s="1018"/>
      <c r="BE116" s="1018"/>
      <c r="BF116" s="1018"/>
      <c r="BG116" s="1018"/>
    </row>
    <row r="117" spans="18:59" x14ac:dyDescent="0.3">
      <c r="R117" s="1018"/>
      <c r="S117" s="1018"/>
      <c r="W117" s="1018"/>
      <c r="X117" s="1018"/>
      <c r="AE117" s="1018"/>
      <c r="AF117" s="1018"/>
      <c r="AV117" s="1018"/>
      <c r="AW117" s="1018"/>
      <c r="AX117" s="1018"/>
      <c r="AY117" s="1018"/>
      <c r="AZ117" s="1018"/>
      <c r="BA117" s="1018"/>
      <c r="BC117" s="1018"/>
      <c r="BE117" s="1018"/>
      <c r="BF117" s="1018"/>
      <c r="BG117" s="1018"/>
    </row>
    <row r="118" spans="18:59" x14ac:dyDescent="0.3">
      <c r="R118" s="1018"/>
      <c r="S118" s="1018"/>
      <c r="W118" s="1018"/>
      <c r="X118" s="1018"/>
      <c r="AE118" s="1018"/>
      <c r="AF118" s="1018"/>
      <c r="AV118" s="1018"/>
      <c r="AW118" s="1018"/>
      <c r="AX118" s="1018"/>
      <c r="AY118" s="1018"/>
      <c r="AZ118" s="1018"/>
      <c r="BA118" s="1018"/>
      <c r="BC118" s="1018"/>
      <c r="BE118" s="1018"/>
      <c r="BF118" s="1018"/>
      <c r="BG118" s="1018"/>
    </row>
    <row r="119" spans="18:59" x14ac:dyDescent="0.3">
      <c r="R119" s="1018"/>
      <c r="S119" s="1018"/>
      <c r="W119" s="1018"/>
      <c r="X119" s="1018"/>
      <c r="AE119" s="1018"/>
      <c r="AF119" s="1018"/>
      <c r="AV119" s="1018"/>
      <c r="AW119" s="1018"/>
      <c r="AX119" s="1018"/>
      <c r="AY119" s="1018"/>
      <c r="AZ119" s="1018"/>
      <c r="BA119" s="1018"/>
      <c r="BC119" s="1018"/>
      <c r="BE119" s="1018"/>
      <c r="BF119" s="1018"/>
      <c r="BG119" s="1018"/>
    </row>
    <row r="120" spans="18:59" x14ac:dyDescent="0.3">
      <c r="R120" s="1018"/>
      <c r="S120" s="1018"/>
      <c r="W120" s="1018"/>
      <c r="X120" s="1018"/>
      <c r="AE120" s="1018"/>
      <c r="AF120" s="1018"/>
      <c r="AV120" s="1018"/>
      <c r="AW120" s="1018"/>
      <c r="AX120" s="1018"/>
      <c r="AY120" s="1018"/>
      <c r="AZ120" s="1018"/>
      <c r="BA120" s="1018"/>
      <c r="BC120" s="1018"/>
      <c r="BE120" s="1018"/>
      <c r="BF120" s="1018"/>
      <c r="BG120" s="1018"/>
    </row>
    <row r="121" spans="18:59" x14ac:dyDescent="0.3">
      <c r="R121" s="1018"/>
      <c r="S121" s="1018"/>
      <c r="W121" s="1018"/>
      <c r="X121" s="1018"/>
      <c r="AE121" s="1018"/>
      <c r="AF121" s="1018"/>
      <c r="AV121" s="1018"/>
      <c r="AW121" s="1018"/>
      <c r="AX121" s="1018"/>
      <c r="AY121" s="1018"/>
      <c r="AZ121" s="1018"/>
      <c r="BA121" s="1018"/>
      <c r="BC121" s="1018"/>
      <c r="BE121" s="1018"/>
      <c r="BF121" s="1018"/>
      <c r="BG121" s="1018"/>
    </row>
    <row r="122" spans="18:59" x14ac:dyDescent="0.3">
      <c r="R122" s="1018"/>
      <c r="S122" s="1018"/>
      <c r="W122" s="1018"/>
      <c r="X122" s="1018"/>
      <c r="AE122" s="1018"/>
      <c r="AF122" s="1018"/>
      <c r="AV122" s="1018"/>
      <c r="AW122" s="1018"/>
      <c r="AX122" s="1018"/>
      <c r="AY122" s="1018"/>
      <c r="AZ122" s="1018"/>
      <c r="BA122" s="1018"/>
      <c r="BC122" s="1018"/>
      <c r="BE122" s="1018"/>
      <c r="BF122" s="1018"/>
      <c r="BG122" s="1018"/>
    </row>
    <row r="123" spans="18:59" x14ac:dyDescent="0.3">
      <c r="R123" s="1018"/>
      <c r="S123" s="1018"/>
      <c r="W123" s="1018"/>
      <c r="X123" s="1018"/>
      <c r="AE123" s="1018"/>
      <c r="AF123" s="1018"/>
      <c r="AV123" s="1018"/>
      <c r="AW123" s="1018"/>
      <c r="AX123" s="1018"/>
      <c r="AY123" s="1018"/>
      <c r="AZ123" s="1018"/>
      <c r="BA123" s="1018"/>
      <c r="BC123" s="1018"/>
      <c r="BE123" s="1018"/>
      <c r="BF123" s="1018"/>
      <c r="BG123" s="1018"/>
    </row>
    <row r="124" spans="18:59" x14ac:dyDescent="0.3">
      <c r="R124" s="1018"/>
      <c r="S124" s="1018"/>
      <c r="W124" s="1018"/>
      <c r="X124" s="1018"/>
      <c r="AE124" s="1018"/>
      <c r="AF124" s="1018"/>
      <c r="AV124" s="1018"/>
      <c r="AW124" s="1018"/>
      <c r="AX124" s="1018"/>
      <c r="AY124" s="1018"/>
      <c r="AZ124" s="1018"/>
      <c r="BA124" s="1018"/>
      <c r="BC124" s="1018"/>
      <c r="BE124" s="1018"/>
      <c r="BF124" s="1018"/>
      <c r="BG124" s="1018"/>
    </row>
    <row r="125" spans="18:59" x14ac:dyDescent="0.3">
      <c r="R125" s="1018"/>
      <c r="S125" s="1018"/>
      <c r="W125" s="1018"/>
      <c r="X125" s="1018"/>
      <c r="AE125" s="1018"/>
      <c r="AF125" s="1018"/>
      <c r="AV125" s="1018"/>
      <c r="AW125" s="1018"/>
      <c r="AX125" s="1018"/>
      <c r="AY125" s="1018"/>
      <c r="AZ125" s="1018"/>
      <c r="BA125" s="1018"/>
      <c r="BC125" s="1018"/>
      <c r="BE125" s="1018"/>
      <c r="BF125" s="1018"/>
      <c r="BG125" s="1018"/>
    </row>
    <row r="126" spans="18:59" x14ac:dyDescent="0.3">
      <c r="R126" s="1018"/>
      <c r="S126" s="1018"/>
      <c r="W126" s="1018"/>
      <c r="X126" s="1018"/>
      <c r="AE126" s="1018"/>
      <c r="AF126" s="1018"/>
      <c r="AV126" s="1018"/>
      <c r="AW126" s="1018"/>
      <c r="AX126" s="1018"/>
      <c r="AY126" s="1018"/>
      <c r="AZ126" s="1018"/>
      <c r="BA126" s="1018"/>
      <c r="BC126" s="1018"/>
      <c r="BE126" s="1018"/>
      <c r="BF126" s="1018"/>
      <c r="BG126" s="1018"/>
    </row>
    <row r="127" spans="18:59" x14ac:dyDescent="0.3">
      <c r="R127" s="1018"/>
      <c r="S127" s="1018"/>
      <c r="W127" s="1018"/>
      <c r="X127" s="1018"/>
      <c r="AE127" s="1018"/>
      <c r="AF127" s="1018"/>
      <c r="AV127" s="1018"/>
      <c r="AW127" s="1018"/>
      <c r="AX127" s="1018"/>
      <c r="AY127" s="1018"/>
      <c r="AZ127" s="1018"/>
      <c r="BA127" s="1018"/>
      <c r="BC127" s="1018"/>
      <c r="BE127" s="1018"/>
      <c r="BF127" s="1018"/>
      <c r="BG127" s="1018"/>
    </row>
    <row r="128" spans="18:59" x14ac:dyDescent="0.3">
      <c r="R128" s="1018"/>
      <c r="S128" s="1018"/>
      <c r="W128" s="1018"/>
      <c r="X128" s="1018"/>
      <c r="AE128" s="1018"/>
      <c r="AF128" s="1018"/>
      <c r="AV128" s="1018"/>
      <c r="AW128" s="1018"/>
      <c r="AX128" s="1018"/>
      <c r="AY128" s="1018"/>
      <c r="AZ128" s="1018"/>
      <c r="BA128" s="1018"/>
      <c r="BC128" s="1018"/>
      <c r="BE128" s="1018"/>
      <c r="BF128" s="1018"/>
      <c r="BG128" s="1018"/>
    </row>
    <row r="129" spans="18:59" x14ac:dyDescent="0.3">
      <c r="R129" s="1018"/>
      <c r="S129" s="1018"/>
      <c r="W129" s="1018"/>
      <c r="X129" s="1018"/>
      <c r="AE129" s="1018"/>
      <c r="AF129" s="1018"/>
      <c r="AV129" s="1018"/>
      <c r="AW129" s="1018"/>
      <c r="AX129" s="1018"/>
      <c r="AY129" s="1018"/>
      <c r="AZ129" s="1018"/>
      <c r="BA129" s="1018"/>
      <c r="BC129" s="1018"/>
      <c r="BE129" s="1018"/>
      <c r="BF129" s="1018"/>
      <c r="BG129" s="1018"/>
    </row>
    <row r="130" spans="18:59" x14ac:dyDescent="0.3">
      <c r="R130" s="1018"/>
      <c r="S130" s="1018"/>
      <c r="W130" s="1018"/>
      <c r="X130" s="1018"/>
      <c r="AE130" s="1018"/>
      <c r="AF130" s="1018"/>
      <c r="AV130" s="1018"/>
      <c r="AW130" s="1018"/>
      <c r="AX130" s="1018"/>
      <c r="AY130" s="1018"/>
      <c r="AZ130" s="1018"/>
      <c r="BA130" s="1018"/>
      <c r="BC130" s="1018"/>
      <c r="BE130" s="1018"/>
      <c r="BF130" s="1018"/>
      <c r="BG130" s="1018"/>
    </row>
    <row r="131" spans="18:59" x14ac:dyDescent="0.3">
      <c r="R131" s="1018"/>
      <c r="S131" s="1018"/>
      <c r="W131" s="1018"/>
      <c r="X131" s="1018"/>
      <c r="AE131" s="1018"/>
      <c r="AF131" s="1018"/>
      <c r="AV131" s="1018"/>
      <c r="AW131" s="1018"/>
      <c r="AX131" s="1018"/>
      <c r="AY131" s="1018"/>
      <c r="AZ131" s="1018"/>
      <c r="BA131" s="1018"/>
      <c r="BC131" s="1018"/>
      <c r="BE131" s="1018"/>
      <c r="BF131" s="1018"/>
      <c r="BG131" s="1018"/>
    </row>
    <row r="132" spans="18:59" x14ac:dyDescent="0.3">
      <c r="R132" s="1018"/>
      <c r="S132" s="1018"/>
      <c r="W132" s="1018"/>
      <c r="X132" s="1018"/>
      <c r="AE132" s="1018"/>
      <c r="AF132" s="1018"/>
      <c r="AV132" s="1018"/>
      <c r="AW132" s="1018"/>
      <c r="AX132" s="1018"/>
      <c r="AY132" s="1018"/>
      <c r="AZ132" s="1018"/>
      <c r="BA132" s="1018"/>
      <c r="BC132" s="1018"/>
      <c r="BE132" s="1018"/>
      <c r="BF132" s="1018"/>
      <c r="BG132" s="1018"/>
    </row>
    <row r="133" spans="18:59" x14ac:dyDescent="0.3">
      <c r="R133" s="1018"/>
      <c r="S133" s="1018"/>
      <c r="W133" s="1018"/>
      <c r="X133" s="1018"/>
      <c r="AE133" s="1018"/>
      <c r="AF133" s="1018"/>
      <c r="AV133" s="1018"/>
      <c r="AW133" s="1018"/>
      <c r="AX133" s="1018"/>
      <c r="AY133" s="1018"/>
      <c r="AZ133" s="1018"/>
      <c r="BA133" s="1018"/>
      <c r="BC133" s="1018"/>
      <c r="BE133" s="1018"/>
      <c r="BF133" s="1018"/>
      <c r="BG133" s="1018"/>
    </row>
    <row r="134" spans="18:59" x14ac:dyDescent="0.3">
      <c r="R134" s="1018"/>
      <c r="S134" s="1018"/>
      <c r="W134" s="1018"/>
      <c r="X134" s="1018"/>
      <c r="AE134" s="1018"/>
      <c r="AF134" s="1018"/>
      <c r="AV134" s="1018"/>
      <c r="AW134" s="1018"/>
      <c r="AX134" s="1018"/>
      <c r="AY134" s="1018"/>
      <c r="AZ134" s="1018"/>
      <c r="BA134" s="1018"/>
      <c r="BC134" s="1018"/>
      <c r="BE134" s="1018"/>
      <c r="BF134" s="1018"/>
      <c r="BG134" s="1018"/>
    </row>
    <row r="135" spans="18:59" x14ac:dyDescent="0.3">
      <c r="R135" s="1018"/>
      <c r="S135" s="1018"/>
      <c r="W135" s="1018"/>
      <c r="X135" s="1018"/>
      <c r="AE135" s="1018"/>
      <c r="AF135" s="1018"/>
      <c r="AV135" s="1018"/>
      <c r="AW135" s="1018"/>
      <c r="AX135" s="1018"/>
      <c r="AY135" s="1018"/>
      <c r="AZ135" s="1018"/>
      <c r="BA135" s="1018"/>
      <c r="BC135" s="1018"/>
      <c r="BE135" s="1018"/>
      <c r="BF135" s="1018"/>
      <c r="BG135" s="1018"/>
    </row>
    <row r="136" spans="18:59" x14ac:dyDescent="0.3">
      <c r="R136" s="1018"/>
      <c r="S136" s="1018"/>
      <c r="W136" s="1018"/>
      <c r="X136" s="1018"/>
      <c r="AE136" s="1018"/>
      <c r="AF136" s="1018"/>
      <c r="AV136" s="1018"/>
      <c r="AW136" s="1018"/>
      <c r="AX136" s="1018"/>
      <c r="AY136" s="1018"/>
      <c r="AZ136" s="1018"/>
      <c r="BA136" s="1018"/>
      <c r="BC136" s="1018"/>
      <c r="BE136" s="1018"/>
      <c r="BF136" s="1018"/>
      <c r="BG136" s="1018"/>
    </row>
    <row r="137" spans="18:59" x14ac:dyDescent="0.3">
      <c r="R137" s="1018"/>
      <c r="S137" s="1018"/>
      <c r="W137" s="1018"/>
      <c r="X137" s="1018"/>
      <c r="AE137" s="1018"/>
      <c r="AF137" s="1018"/>
      <c r="AV137" s="1018"/>
      <c r="AW137" s="1018"/>
      <c r="AX137" s="1018"/>
      <c r="AY137" s="1018"/>
      <c r="AZ137" s="1018"/>
      <c r="BA137" s="1018"/>
      <c r="BC137" s="1018"/>
      <c r="BE137" s="1018"/>
      <c r="BF137" s="1018"/>
      <c r="BG137" s="1018"/>
    </row>
    <row r="138" spans="18:59" x14ac:dyDescent="0.3">
      <c r="R138" s="1018"/>
      <c r="S138" s="1018"/>
      <c r="W138" s="1018"/>
      <c r="X138" s="1018"/>
      <c r="AE138" s="1018"/>
      <c r="AF138" s="1018"/>
      <c r="AV138" s="1018"/>
      <c r="AW138" s="1018"/>
      <c r="AX138" s="1018"/>
      <c r="AY138" s="1018"/>
      <c r="AZ138" s="1018"/>
      <c r="BA138" s="1018"/>
      <c r="BC138" s="1018"/>
      <c r="BE138" s="1018"/>
      <c r="BF138" s="1018"/>
      <c r="BG138" s="1018"/>
    </row>
    <row r="139" spans="18:59" x14ac:dyDescent="0.3">
      <c r="R139" s="1018"/>
      <c r="S139" s="1018"/>
      <c r="W139" s="1018"/>
      <c r="X139" s="1018"/>
      <c r="AE139" s="1018"/>
      <c r="AF139" s="1018"/>
      <c r="AV139" s="1018"/>
      <c r="AW139" s="1018"/>
      <c r="AX139" s="1018"/>
      <c r="AY139" s="1018"/>
      <c r="AZ139" s="1018"/>
      <c r="BA139" s="1018"/>
      <c r="BC139" s="1018"/>
      <c r="BE139" s="1018"/>
      <c r="BF139" s="1018"/>
      <c r="BG139" s="1018"/>
    </row>
    <row r="140" spans="18:59" x14ac:dyDescent="0.3">
      <c r="R140" s="1018"/>
      <c r="S140" s="1018"/>
      <c r="W140" s="1018"/>
      <c r="X140" s="1018"/>
      <c r="AE140" s="1018"/>
      <c r="AF140" s="1018"/>
      <c r="AV140" s="1018"/>
      <c r="AW140" s="1018"/>
      <c r="AX140" s="1018"/>
      <c r="AY140" s="1018"/>
      <c r="AZ140" s="1018"/>
      <c r="BA140" s="1018"/>
      <c r="BC140" s="1018"/>
      <c r="BE140" s="1018"/>
      <c r="BF140" s="1018"/>
      <c r="BG140" s="1018"/>
    </row>
    <row r="141" spans="18:59" x14ac:dyDescent="0.3">
      <c r="R141" s="1018"/>
      <c r="S141" s="1018"/>
      <c r="W141" s="1018"/>
      <c r="X141" s="1018"/>
      <c r="AE141" s="1018"/>
      <c r="AF141" s="1018"/>
      <c r="AV141" s="1018"/>
      <c r="AW141" s="1018"/>
      <c r="AX141" s="1018"/>
      <c r="AY141" s="1018"/>
      <c r="AZ141" s="1018"/>
      <c r="BA141" s="1018"/>
      <c r="BC141" s="1018"/>
      <c r="BE141" s="1018"/>
      <c r="BF141" s="1018"/>
      <c r="BG141" s="1018"/>
    </row>
    <row r="142" spans="18:59" x14ac:dyDescent="0.3">
      <c r="R142" s="1018"/>
      <c r="S142" s="1018"/>
      <c r="W142" s="1018"/>
      <c r="X142" s="1018"/>
      <c r="AE142" s="1018"/>
      <c r="AF142" s="1018"/>
      <c r="AV142" s="1018"/>
      <c r="AW142" s="1018"/>
      <c r="AX142" s="1018"/>
      <c r="AY142" s="1018"/>
      <c r="AZ142" s="1018"/>
      <c r="BA142" s="1018"/>
      <c r="BC142" s="1018"/>
      <c r="BE142" s="1018"/>
      <c r="BF142" s="1018"/>
      <c r="BG142" s="1018"/>
    </row>
    <row r="143" spans="18:59" x14ac:dyDescent="0.3">
      <c r="R143" s="1018"/>
      <c r="S143" s="1018"/>
      <c r="W143" s="1018"/>
      <c r="X143" s="1018"/>
      <c r="AE143" s="1018"/>
      <c r="AF143" s="1018"/>
      <c r="AV143" s="1018"/>
      <c r="AW143" s="1018"/>
      <c r="AX143" s="1018"/>
      <c r="AY143" s="1018"/>
      <c r="AZ143" s="1018"/>
      <c r="BA143" s="1018"/>
      <c r="BC143" s="1018"/>
      <c r="BE143" s="1018"/>
      <c r="BF143" s="1018"/>
      <c r="BG143" s="1018"/>
    </row>
    <row r="144" spans="18:59" x14ac:dyDescent="0.3">
      <c r="R144" s="1018"/>
      <c r="S144" s="1018"/>
      <c r="W144" s="1018"/>
      <c r="X144" s="1018"/>
      <c r="AE144" s="1018"/>
      <c r="AF144" s="1018"/>
      <c r="AV144" s="1018"/>
      <c r="AW144" s="1018"/>
      <c r="AX144" s="1018"/>
      <c r="AY144" s="1018"/>
      <c r="AZ144" s="1018"/>
      <c r="BA144" s="1018"/>
      <c r="BC144" s="1018"/>
      <c r="BE144" s="1018"/>
      <c r="BF144" s="1018"/>
      <c r="BG144" s="1018"/>
    </row>
    <row r="145" spans="18:59" x14ac:dyDescent="0.3">
      <c r="R145" s="1018"/>
      <c r="S145" s="1018"/>
      <c r="W145" s="1018"/>
      <c r="X145" s="1018"/>
      <c r="AE145" s="1018"/>
      <c r="AF145" s="1018"/>
      <c r="AV145" s="1018"/>
      <c r="AW145" s="1018"/>
      <c r="AX145" s="1018"/>
      <c r="AY145" s="1018"/>
      <c r="AZ145" s="1018"/>
      <c r="BA145" s="1018"/>
      <c r="BC145" s="1018"/>
      <c r="BE145" s="1018"/>
      <c r="BF145" s="1018"/>
      <c r="BG145" s="1018"/>
    </row>
    <row r="146" spans="18:59" x14ac:dyDescent="0.3">
      <c r="R146" s="1018"/>
      <c r="S146" s="1018"/>
      <c r="W146" s="1018"/>
      <c r="X146" s="1018"/>
      <c r="AE146" s="1018"/>
      <c r="AF146" s="1018"/>
      <c r="AV146" s="1018"/>
      <c r="AW146" s="1018"/>
      <c r="AX146" s="1018"/>
      <c r="AY146" s="1018"/>
      <c r="AZ146" s="1018"/>
      <c r="BA146" s="1018"/>
      <c r="BC146" s="1018"/>
      <c r="BE146" s="1018"/>
      <c r="BF146" s="1018"/>
      <c r="BG146" s="1018"/>
    </row>
    <row r="147" spans="18:59" x14ac:dyDescent="0.3">
      <c r="R147" s="1018"/>
      <c r="S147" s="1018"/>
      <c r="W147" s="1018"/>
      <c r="X147" s="1018"/>
      <c r="AE147" s="1018"/>
      <c r="AF147" s="1018"/>
      <c r="AV147" s="1018"/>
      <c r="AW147" s="1018"/>
      <c r="AX147" s="1018"/>
      <c r="AY147" s="1018"/>
      <c r="AZ147" s="1018"/>
      <c r="BA147" s="1018"/>
      <c r="BC147" s="1018"/>
      <c r="BE147" s="1018"/>
      <c r="BF147" s="1018"/>
      <c r="BG147" s="1018"/>
    </row>
    <row r="148" spans="18:59" x14ac:dyDescent="0.3">
      <c r="R148" s="1018"/>
      <c r="S148" s="1018"/>
      <c r="W148" s="1018"/>
      <c r="X148" s="1018"/>
      <c r="AE148" s="1018"/>
      <c r="AF148" s="1018"/>
      <c r="AV148" s="1018"/>
      <c r="AW148" s="1018"/>
      <c r="AX148" s="1018"/>
      <c r="AY148" s="1018"/>
      <c r="AZ148" s="1018"/>
      <c r="BA148" s="1018"/>
      <c r="BC148" s="1018"/>
      <c r="BE148" s="1018"/>
      <c r="BF148" s="1018"/>
      <c r="BG148" s="1018"/>
    </row>
    <row r="149" spans="18:59" x14ac:dyDescent="0.3">
      <c r="R149" s="1018"/>
      <c r="S149" s="1018"/>
      <c r="W149" s="1018"/>
      <c r="X149" s="1018"/>
      <c r="AE149" s="1018"/>
      <c r="AF149" s="1018"/>
      <c r="AV149" s="1018"/>
      <c r="AW149" s="1018"/>
      <c r="AX149" s="1018"/>
      <c r="AY149" s="1018"/>
      <c r="AZ149" s="1018"/>
      <c r="BA149" s="1018"/>
      <c r="BC149" s="1018"/>
      <c r="BE149" s="1018"/>
      <c r="BF149" s="1018"/>
      <c r="BG149" s="1018"/>
    </row>
    <row r="150" spans="18:59" x14ac:dyDescent="0.3">
      <c r="R150" s="1018"/>
      <c r="S150" s="1018"/>
      <c r="W150" s="1018"/>
      <c r="X150" s="1018"/>
      <c r="AE150" s="1018"/>
      <c r="AF150" s="1018"/>
      <c r="AV150" s="1018"/>
      <c r="AW150" s="1018"/>
      <c r="AX150" s="1018"/>
      <c r="AY150" s="1018"/>
      <c r="AZ150" s="1018"/>
      <c r="BA150" s="1018"/>
      <c r="BC150" s="1018"/>
      <c r="BE150" s="1018"/>
      <c r="BF150" s="1018"/>
      <c r="BG150" s="1018"/>
    </row>
    <row r="151" spans="18:59" x14ac:dyDescent="0.3">
      <c r="R151" s="1018"/>
      <c r="S151" s="1018"/>
      <c r="W151" s="1018"/>
      <c r="X151" s="1018"/>
      <c r="AE151" s="1018"/>
      <c r="AF151" s="1018"/>
      <c r="AV151" s="1018"/>
      <c r="AW151" s="1018"/>
      <c r="AX151" s="1018"/>
      <c r="AY151" s="1018"/>
      <c r="AZ151" s="1018"/>
      <c r="BA151" s="1018"/>
      <c r="BC151" s="1018"/>
      <c r="BE151" s="1018"/>
      <c r="BF151" s="1018"/>
      <c r="BG151" s="1018"/>
    </row>
    <row r="152" spans="18:59" x14ac:dyDescent="0.3">
      <c r="R152" s="1018"/>
      <c r="S152" s="1018"/>
      <c r="W152" s="1018"/>
      <c r="X152" s="1018"/>
      <c r="AE152" s="1018"/>
      <c r="AF152" s="1018"/>
      <c r="AV152" s="1018"/>
      <c r="AW152" s="1018"/>
      <c r="AX152" s="1018"/>
      <c r="AY152" s="1018"/>
      <c r="AZ152" s="1018"/>
      <c r="BA152" s="1018"/>
      <c r="BC152" s="1018"/>
      <c r="BE152" s="1018"/>
      <c r="BF152" s="1018"/>
      <c r="BG152" s="1018"/>
    </row>
    <row r="153" spans="18:59" x14ac:dyDescent="0.3">
      <c r="R153" s="1018"/>
      <c r="S153" s="1018"/>
      <c r="W153" s="1018"/>
      <c r="X153" s="1018"/>
      <c r="AE153" s="1018"/>
      <c r="AF153" s="1018"/>
      <c r="AV153" s="1018"/>
      <c r="AW153" s="1018"/>
      <c r="AX153" s="1018"/>
      <c r="AY153" s="1018"/>
      <c r="AZ153" s="1018"/>
      <c r="BA153" s="1018"/>
      <c r="BC153" s="1018"/>
      <c r="BE153" s="1018"/>
      <c r="BF153" s="1018"/>
      <c r="BG153" s="1018"/>
    </row>
    <row r="154" spans="18:59" x14ac:dyDescent="0.3">
      <c r="R154" s="1018"/>
      <c r="S154" s="1018"/>
      <c r="W154" s="1018"/>
      <c r="X154" s="1018"/>
      <c r="AE154" s="1018"/>
      <c r="AF154" s="1018"/>
      <c r="AV154" s="1018"/>
      <c r="AW154" s="1018"/>
      <c r="AX154" s="1018"/>
      <c r="AY154" s="1018"/>
      <c r="AZ154" s="1018"/>
      <c r="BA154" s="1018"/>
      <c r="BC154" s="1018"/>
      <c r="BE154" s="1018"/>
      <c r="BF154" s="1018"/>
      <c r="BG154" s="1018"/>
    </row>
    <row r="155" spans="18:59" x14ac:dyDescent="0.3">
      <c r="R155" s="1018"/>
      <c r="S155" s="1018"/>
      <c r="W155" s="1018"/>
      <c r="X155" s="1018"/>
      <c r="AE155" s="1018"/>
      <c r="AF155" s="1018"/>
      <c r="AV155" s="1018"/>
      <c r="AW155" s="1018"/>
      <c r="AX155" s="1018"/>
      <c r="AY155" s="1018"/>
      <c r="AZ155" s="1018"/>
      <c r="BA155" s="1018"/>
      <c r="BC155" s="1018"/>
      <c r="BE155" s="1018"/>
      <c r="BF155" s="1018"/>
      <c r="BG155" s="1018"/>
    </row>
    <row r="156" spans="18:59" x14ac:dyDescent="0.3">
      <c r="R156" s="1018"/>
      <c r="S156" s="1018"/>
      <c r="W156" s="1018"/>
      <c r="X156" s="1018"/>
      <c r="AE156" s="1018"/>
      <c r="AF156" s="1018"/>
      <c r="AV156" s="1018"/>
      <c r="AW156" s="1018"/>
      <c r="AX156" s="1018"/>
      <c r="AY156" s="1018"/>
      <c r="AZ156" s="1018"/>
      <c r="BA156" s="1018"/>
      <c r="BC156" s="1018"/>
      <c r="BE156" s="1018"/>
      <c r="BF156" s="1018"/>
      <c r="BG156" s="1018"/>
    </row>
    <row r="157" spans="18:59" x14ac:dyDescent="0.3">
      <c r="R157" s="1018"/>
      <c r="S157" s="1018"/>
      <c r="W157" s="1018"/>
      <c r="X157" s="1018"/>
      <c r="AE157" s="1018"/>
      <c r="AF157" s="1018"/>
      <c r="AV157" s="1018"/>
      <c r="AW157" s="1018"/>
      <c r="AX157" s="1018"/>
      <c r="AY157" s="1018"/>
      <c r="AZ157" s="1018"/>
      <c r="BA157" s="1018"/>
      <c r="BC157" s="1018"/>
      <c r="BE157" s="1018"/>
      <c r="BF157" s="1018"/>
      <c r="BG157" s="1018"/>
    </row>
    <row r="158" spans="18:59" x14ac:dyDescent="0.3">
      <c r="R158" s="1018"/>
      <c r="S158" s="1018"/>
      <c r="W158" s="1018"/>
      <c r="X158" s="1018"/>
      <c r="AE158" s="1018"/>
      <c r="AF158" s="1018"/>
      <c r="AV158" s="1018"/>
      <c r="AW158" s="1018"/>
      <c r="AX158" s="1018"/>
      <c r="AY158" s="1018"/>
      <c r="AZ158" s="1018"/>
      <c r="BA158" s="1018"/>
      <c r="BC158" s="1018"/>
      <c r="BE158" s="1018"/>
      <c r="BF158" s="1018"/>
      <c r="BG158" s="1018"/>
    </row>
    <row r="159" spans="18:59" x14ac:dyDescent="0.3">
      <c r="R159" s="1018"/>
      <c r="S159" s="1018"/>
      <c r="W159" s="1018"/>
      <c r="X159" s="1018"/>
      <c r="AE159" s="1018"/>
      <c r="AF159" s="1018"/>
      <c r="AV159" s="1018"/>
      <c r="AW159" s="1018"/>
      <c r="AX159" s="1018"/>
      <c r="AY159" s="1018"/>
      <c r="AZ159" s="1018"/>
      <c r="BA159" s="1018"/>
      <c r="BC159" s="1018"/>
      <c r="BE159" s="1018"/>
      <c r="BF159" s="1018"/>
      <c r="BG159" s="1018"/>
    </row>
    <row r="160" spans="18:59" x14ac:dyDescent="0.3">
      <c r="R160" s="1018"/>
      <c r="S160" s="1018"/>
      <c r="W160" s="1018"/>
      <c r="X160" s="1018"/>
      <c r="AE160" s="1018"/>
      <c r="AF160" s="1018"/>
      <c r="AV160" s="1018"/>
      <c r="AW160" s="1018"/>
      <c r="AX160" s="1018"/>
      <c r="AY160" s="1018"/>
      <c r="AZ160" s="1018"/>
      <c r="BA160" s="1018"/>
      <c r="BC160" s="1018"/>
      <c r="BE160" s="1018"/>
      <c r="BF160" s="1018"/>
      <c r="BG160" s="1018"/>
    </row>
    <row r="161" spans="18:59" x14ac:dyDescent="0.3">
      <c r="R161" s="1018"/>
      <c r="S161" s="1018"/>
      <c r="W161" s="1018"/>
      <c r="X161" s="1018"/>
      <c r="AE161" s="1018"/>
      <c r="AF161" s="1018"/>
      <c r="AV161" s="1018"/>
      <c r="AW161" s="1018"/>
      <c r="AX161" s="1018"/>
      <c r="AY161" s="1018"/>
      <c r="AZ161" s="1018"/>
      <c r="BA161" s="1018"/>
      <c r="BC161" s="1018"/>
      <c r="BE161" s="1018"/>
      <c r="BF161" s="1018"/>
      <c r="BG161" s="1018"/>
    </row>
    <row r="162" spans="18:59" x14ac:dyDescent="0.3">
      <c r="R162" s="1018"/>
      <c r="S162" s="1018"/>
      <c r="W162" s="1018"/>
      <c r="X162" s="1018"/>
      <c r="AE162" s="1018"/>
      <c r="AF162" s="1018"/>
      <c r="AV162" s="1018"/>
      <c r="AW162" s="1018"/>
      <c r="AX162" s="1018"/>
      <c r="AY162" s="1018"/>
      <c r="AZ162" s="1018"/>
      <c r="BA162" s="1018"/>
      <c r="BC162" s="1018"/>
      <c r="BE162" s="1018"/>
      <c r="BF162" s="1018"/>
      <c r="BG162" s="1018"/>
    </row>
    <row r="163" spans="18:59" x14ac:dyDescent="0.3">
      <c r="R163" s="1018"/>
      <c r="S163" s="1018"/>
      <c r="W163" s="1018"/>
      <c r="X163" s="1018"/>
      <c r="AE163" s="1018"/>
      <c r="AF163" s="1018"/>
      <c r="AV163" s="1018"/>
      <c r="AW163" s="1018"/>
      <c r="AX163" s="1018"/>
      <c r="AY163" s="1018"/>
      <c r="AZ163" s="1018"/>
      <c r="BA163" s="1018"/>
      <c r="BC163" s="1018"/>
      <c r="BE163" s="1018"/>
      <c r="BF163" s="1018"/>
      <c r="BG163" s="1018"/>
    </row>
    <row r="164" spans="18:59" x14ac:dyDescent="0.3">
      <c r="R164" s="1018"/>
      <c r="S164" s="1018"/>
      <c r="W164" s="1018"/>
      <c r="X164" s="1018"/>
      <c r="AE164" s="1018"/>
      <c r="AF164" s="1018"/>
      <c r="AV164" s="1018"/>
      <c r="AW164" s="1018"/>
      <c r="AX164" s="1018"/>
      <c r="AY164" s="1018"/>
      <c r="AZ164" s="1018"/>
      <c r="BA164" s="1018"/>
      <c r="BC164" s="1018"/>
      <c r="BE164" s="1018"/>
      <c r="BF164" s="1018"/>
      <c r="BG164" s="1018"/>
    </row>
    <row r="165" spans="18:59" x14ac:dyDescent="0.3">
      <c r="R165" s="1018"/>
      <c r="S165" s="1018"/>
      <c r="W165" s="1018"/>
      <c r="X165" s="1018"/>
      <c r="AE165" s="1018"/>
      <c r="AF165" s="1018"/>
      <c r="AV165" s="1018"/>
      <c r="AW165" s="1018"/>
      <c r="AX165" s="1018"/>
      <c r="AY165" s="1018"/>
      <c r="AZ165" s="1018"/>
      <c r="BA165" s="1018"/>
      <c r="BC165" s="1018"/>
      <c r="BE165" s="1018"/>
      <c r="BF165" s="1018"/>
      <c r="BG165" s="1018"/>
    </row>
    <row r="166" spans="18:59" x14ac:dyDescent="0.3">
      <c r="R166" s="1018"/>
      <c r="S166" s="1018"/>
      <c r="W166" s="1018"/>
      <c r="X166" s="1018"/>
      <c r="AE166" s="1018"/>
      <c r="AF166" s="1018"/>
      <c r="AV166" s="1018"/>
      <c r="AW166" s="1018"/>
      <c r="AX166" s="1018"/>
      <c r="AY166" s="1018"/>
      <c r="AZ166" s="1018"/>
      <c r="BA166" s="1018"/>
      <c r="BC166" s="1018"/>
      <c r="BE166" s="1018"/>
      <c r="BF166" s="1018"/>
      <c r="BG166" s="1018"/>
    </row>
    <row r="167" spans="18:59" x14ac:dyDescent="0.3">
      <c r="R167" s="1018"/>
      <c r="S167" s="1018"/>
      <c r="W167" s="1018"/>
      <c r="X167" s="1018"/>
      <c r="AE167" s="1018"/>
      <c r="AF167" s="1018"/>
      <c r="AV167" s="1018"/>
      <c r="AW167" s="1018"/>
      <c r="AX167" s="1018"/>
      <c r="AY167" s="1018"/>
      <c r="AZ167" s="1018"/>
      <c r="BA167" s="1018"/>
      <c r="BC167" s="1018"/>
      <c r="BE167" s="1018"/>
      <c r="BF167" s="1018"/>
      <c r="BG167" s="1018"/>
    </row>
    <row r="168" spans="18:59" x14ac:dyDescent="0.3">
      <c r="R168" s="1018"/>
      <c r="S168" s="1018"/>
      <c r="W168" s="1018"/>
      <c r="X168" s="1018"/>
      <c r="AE168" s="1018"/>
      <c r="AF168" s="1018"/>
      <c r="AV168" s="1018"/>
      <c r="AW168" s="1018"/>
      <c r="AX168" s="1018"/>
      <c r="AY168" s="1018"/>
      <c r="AZ168" s="1018"/>
      <c r="BA168" s="1018"/>
      <c r="BC168" s="1018"/>
      <c r="BE168" s="1018"/>
      <c r="BF168" s="1018"/>
      <c r="BG168" s="1018"/>
    </row>
    <row r="169" spans="18:59" x14ac:dyDescent="0.3">
      <c r="R169" s="1018"/>
      <c r="S169" s="1018"/>
      <c r="W169" s="1018"/>
      <c r="X169" s="1018"/>
      <c r="AE169" s="1018"/>
      <c r="AF169" s="1018"/>
      <c r="AV169" s="1018"/>
      <c r="AW169" s="1018"/>
      <c r="AX169" s="1018"/>
      <c r="AY169" s="1018"/>
      <c r="AZ169" s="1018"/>
      <c r="BA169" s="1018"/>
      <c r="BC169" s="1018"/>
      <c r="BE169" s="1018"/>
      <c r="BF169" s="1018"/>
      <c r="BG169" s="1018"/>
    </row>
    <row r="170" spans="18:59" x14ac:dyDescent="0.3">
      <c r="R170" s="1018"/>
      <c r="S170" s="1018"/>
      <c r="W170" s="1018"/>
      <c r="X170" s="1018"/>
      <c r="AE170" s="1018"/>
      <c r="AF170" s="1018"/>
      <c r="AV170" s="1018"/>
      <c r="AW170" s="1018"/>
      <c r="AX170" s="1018"/>
      <c r="AY170" s="1018"/>
      <c r="AZ170" s="1018"/>
      <c r="BA170" s="1018"/>
      <c r="BC170" s="1018"/>
      <c r="BE170" s="1018"/>
      <c r="BF170" s="1018"/>
      <c r="BG170" s="1018"/>
    </row>
    <row r="171" spans="18:59" x14ac:dyDescent="0.3">
      <c r="R171" s="1018"/>
      <c r="S171" s="1018"/>
      <c r="W171" s="1018"/>
      <c r="X171" s="1018"/>
      <c r="AE171" s="1018"/>
      <c r="AF171" s="1018"/>
      <c r="AV171" s="1018"/>
      <c r="AW171" s="1018"/>
      <c r="AX171" s="1018"/>
      <c r="AY171" s="1018"/>
      <c r="AZ171" s="1018"/>
      <c r="BA171" s="1018"/>
      <c r="BC171" s="1018"/>
      <c r="BE171" s="1018"/>
      <c r="BF171" s="1018"/>
      <c r="BG171" s="1018"/>
    </row>
    <row r="172" spans="18:59" x14ac:dyDescent="0.3">
      <c r="R172" s="1018"/>
      <c r="S172" s="1018"/>
      <c r="W172" s="1018"/>
      <c r="X172" s="1018"/>
      <c r="AE172" s="1018"/>
      <c r="AF172" s="1018"/>
      <c r="AV172" s="1018"/>
      <c r="AW172" s="1018"/>
      <c r="AX172" s="1018"/>
      <c r="AY172" s="1018"/>
      <c r="AZ172" s="1018"/>
      <c r="BA172" s="1018"/>
      <c r="BC172" s="1018"/>
      <c r="BE172" s="1018"/>
      <c r="BF172" s="1018"/>
      <c r="BG172" s="1018"/>
    </row>
    <row r="173" spans="18:59" x14ac:dyDescent="0.3">
      <c r="R173" s="1018"/>
      <c r="S173" s="1018"/>
      <c r="W173" s="1018"/>
      <c r="X173" s="1018"/>
      <c r="AE173" s="1018"/>
      <c r="AF173" s="1018"/>
      <c r="AV173" s="1018"/>
      <c r="AW173" s="1018"/>
      <c r="AX173" s="1018"/>
      <c r="AY173" s="1018"/>
      <c r="AZ173" s="1018"/>
      <c r="BA173" s="1018"/>
      <c r="BC173" s="1018"/>
      <c r="BE173" s="1018"/>
      <c r="BF173" s="1018"/>
      <c r="BG173" s="1018"/>
    </row>
    <row r="174" spans="18:59" x14ac:dyDescent="0.3">
      <c r="R174" s="1018"/>
      <c r="S174" s="1018"/>
      <c r="W174" s="1018"/>
      <c r="X174" s="1018"/>
      <c r="AE174" s="1018"/>
      <c r="AF174" s="1018"/>
      <c r="AV174" s="1018"/>
      <c r="AW174" s="1018"/>
      <c r="AX174" s="1018"/>
      <c r="AY174" s="1018"/>
      <c r="AZ174" s="1018"/>
      <c r="BA174" s="1018"/>
      <c r="BC174" s="1018"/>
      <c r="BE174" s="1018"/>
      <c r="BF174" s="1018"/>
      <c r="BG174" s="1018"/>
    </row>
    <row r="175" spans="18:59" x14ac:dyDescent="0.3">
      <c r="R175" s="1018"/>
      <c r="S175" s="1018"/>
      <c r="W175" s="1018"/>
      <c r="X175" s="1018"/>
      <c r="AE175" s="1018"/>
      <c r="AF175" s="1018"/>
      <c r="AV175" s="1018"/>
      <c r="AW175" s="1018"/>
      <c r="AX175" s="1018"/>
      <c r="AY175" s="1018"/>
      <c r="AZ175" s="1018"/>
      <c r="BA175" s="1018"/>
      <c r="BC175" s="1018"/>
      <c r="BE175" s="1018"/>
      <c r="BF175" s="1018"/>
      <c r="BG175" s="1018"/>
    </row>
    <row r="176" spans="18:59" x14ac:dyDescent="0.3">
      <c r="R176" s="1018"/>
      <c r="S176" s="1018"/>
      <c r="W176" s="1018"/>
      <c r="X176" s="1018"/>
      <c r="AE176" s="1018"/>
      <c r="AF176" s="1018"/>
      <c r="AV176" s="1018"/>
      <c r="AW176" s="1018"/>
      <c r="AX176" s="1018"/>
      <c r="AY176" s="1018"/>
      <c r="AZ176" s="1018"/>
      <c r="BA176" s="1018"/>
      <c r="BC176" s="1018"/>
      <c r="BE176" s="1018"/>
      <c r="BF176" s="1018"/>
      <c r="BG176" s="1018"/>
    </row>
    <row r="177" spans="18:59" x14ac:dyDescent="0.3">
      <c r="R177" s="1018"/>
      <c r="S177" s="1018"/>
      <c r="W177" s="1018"/>
      <c r="X177" s="1018"/>
      <c r="AE177" s="1018"/>
      <c r="AF177" s="1018"/>
      <c r="AV177" s="1018"/>
      <c r="AW177" s="1018"/>
      <c r="AX177" s="1018"/>
      <c r="AY177" s="1018"/>
      <c r="AZ177" s="1018"/>
      <c r="BA177" s="1018"/>
      <c r="BC177" s="1018"/>
      <c r="BE177" s="1018"/>
      <c r="BF177" s="1018"/>
      <c r="BG177" s="1018"/>
    </row>
    <row r="178" spans="18:59" x14ac:dyDescent="0.3">
      <c r="R178" s="1018"/>
      <c r="S178" s="1018"/>
      <c r="W178" s="1018"/>
      <c r="X178" s="1018"/>
      <c r="AE178" s="1018"/>
      <c r="AF178" s="1018"/>
      <c r="AV178" s="1018"/>
      <c r="AW178" s="1018"/>
      <c r="AX178" s="1018"/>
      <c r="AY178" s="1018"/>
      <c r="AZ178" s="1018"/>
      <c r="BA178" s="1018"/>
      <c r="BC178" s="1018"/>
      <c r="BE178" s="1018"/>
      <c r="BF178" s="1018"/>
      <c r="BG178" s="1018"/>
    </row>
    <row r="179" spans="18:59" x14ac:dyDescent="0.3">
      <c r="R179" s="1018"/>
      <c r="S179" s="1018"/>
      <c r="W179" s="1018"/>
      <c r="X179" s="1018"/>
      <c r="AE179" s="1018"/>
      <c r="AF179" s="1018"/>
      <c r="AV179" s="1018"/>
      <c r="AW179" s="1018"/>
      <c r="AX179" s="1018"/>
      <c r="AY179" s="1018"/>
      <c r="AZ179" s="1018"/>
      <c r="BA179" s="1018"/>
      <c r="BC179" s="1018"/>
      <c r="BE179" s="1018"/>
      <c r="BF179" s="1018"/>
      <c r="BG179" s="1018"/>
    </row>
    <row r="180" spans="18:59" x14ac:dyDescent="0.3">
      <c r="R180" s="1018"/>
      <c r="S180" s="1018"/>
      <c r="W180" s="1018"/>
      <c r="X180" s="1018"/>
      <c r="AE180" s="1018"/>
      <c r="AF180" s="1018"/>
      <c r="AV180" s="1018"/>
      <c r="AW180" s="1018"/>
      <c r="AX180" s="1018"/>
      <c r="AY180" s="1018"/>
      <c r="AZ180" s="1018"/>
      <c r="BA180" s="1018"/>
      <c r="BC180" s="1018"/>
      <c r="BE180" s="1018"/>
      <c r="BF180" s="1018"/>
      <c r="BG180" s="1018"/>
    </row>
    <row r="181" spans="18:59" x14ac:dyDescent="0.3">
      <c r="R181" s="1018"/>
      <c r="S181" s="1018"/>
      <c r="W181" s="1018"/>
      <c r="X181" s="1018"/>
      <c r="AE181" s="1018"/>
      <c r="AF181" s="1018"/>
      <c r="AV181" s="1018"/>
      <c r="AW181" s="1018"/>
      <c r="AX181" s="1018"/>
      <c r="AY181" s="1018"/>
      <c r="AZ181" s="1018"/>
      <c r="BA181" s="1018"/>
      <c r="BC181" s="1018"/>
      <c r="BE181" s="1018"/>
      <c r="BF181" s="1018"/>
      <c r="BG181" s="1018"/>
    </row>
    <row r="182" spans="18:59" x14ac:dyDescent="0.3">
      <c r="R182" s="1018"/>
      <c r="S182" s="1018"/>
      <c r="W182" s="1018"/>
      <c r="X182" s="1018"/>
      <c r="AE182" s="1018"/>
      <c r="AF182" s="1018"/>
      <c r="AV182" s="1018"/>
      <c r="AW182" s="1018"/>
      <c r="AX182" s="1018"/>
      <c r="AY182" s="1018"/>
      <c r="AZ182" s="1018"/>
      <c r="BA182" s="1018"/>
      <c r="BC182" s="1018"/>
      <c r="BE182" s="1018"/>
      <c r="BF182" s="1018"/>
      <c r="BG182" s="1018"/>
    </row>
    <row r="183" spans="18:59" x14ac:dyDescent="0.3">
      <c r="R183" s="1018"/>
      <c r="S183" s="1018"/>
      <c r="W183" s="1018"/>
      <c r="X183" s="1018"/>
      <c r="AE183" s="1018"/>
      <c r="AF183" s="1018"/>
      <c r="AV183" s="1018"/>
      <c r="AW183" s="1018"/>
      <c r="AX183" s="1018"/>
      <c r="AY183" s="1018"/>
      <c r="AZ183" s="1018"/>
      <c r="BA183" s="1018"/>
      <c r="BC183" s="1018"/>
      <c r="BE183" s="1018"/>
      <c r="BF183" s="1018"/>
      <c r="BG183" s="1018"/>
    </row>
    <row r="184" spans="18:59" x14ac:dyDescent="0.3">
      <c r="R184" s="1018"/>
      <c r="S184" s="1018"/>
      <c r="W184" s="1018"/>
      <c r="X184" s="1018"/>
      <c r="AE184" s="1018"/>
      <c r="AF184" s="1018"/>
      <c r="AV184" s="1018"/>
      <c r="AW184" s="1018"/>
      <c r="AX184" s="1018"/>
      <c r="AY184" s="1018"/>
      <c r="AZ184" s="1018"/>
      <c r="BA184" s="1018"/>
      <c r="BC184" s="1018"/>
      <c r="BE184" s="1018"/>
      <c r="BF184" s="1018"/>
      <c r="BG184" s="1018"/>
    </row>
    <row r="185" spans="18:59" x14ac:dyDescent="0.3">
      <c r="R185" s="1018"/>
      <c r="S185" s="1018"/>
      <c r="W185" s="1018"/>
      <c r="X185" s="1018"/>
      <c r="AE185" s="1018"/>
      <c r="AF185" s="1018"/>
      <c r="AV185" s="1018"/>
      <c r="AW185" s="1018"/>
      <c r="AX185" s="1018"/>
      <c r="AY185" s="1018"/>
      <c r="AZ185" s="1018"/>
      <c r="BA185" s="1018"/>
      <c r="BC185" s="1018"/>
      <c r="BE185" s="1018"/>
      <c r="BF185" s="1018"/>
      <c r="BG185" s="1018"/>
    </row>
    <row r="186" spans="18:59" x14ac:dyDescent="0.3">
      <c r="R186" s="1018"/>
      <c r="S186" s="1018"/>
      <c r="W186" s="1018"/>
      <c r="X186" s="1018"/>
      <c r="AE186" s="1018"/>
      <c r="AF186" s="1018"/>
      <c r="AV186" s="1018"/>
      <c r="AW186" s="1018"/>
      <c r="AX186" s="1018"/>
      <c r="AY186" s="1018"/>
      <c r="AZ186" s="1018"/>
      <c r="BA186" s="1018"/>
      <c r="BC186" s="1018"/>
      <c r="BE186" s="1018"/>
      <c r="BF186" s="1018"/>
      <c r="BG186" s="1018"/>
    </row>
    <row r="187" spans="18:59" x14ac:dyDescent="0.3">
      <c r="R187" s="1018"/>
      <c r="S187" s="1018"/>
      <c r="W187" s="1018"/>
      <c r="X187" s="1018"/>
      <c r="AE187" s="1018"/>
      <c r="AF187" s="1018"/>
      <c r="AV187" s="1018"/>
      <c r="AW187" s="1018"/>
      <c r="AX187" s="1018"/>
      <c r="AY187" s="1018"/>
      <c r="AZ187" s="1018"/>
      <c r="BA187" s="1018"/>
      <c r="BC187" s="1018"/>
      <c r="BE187" s="1018"/>
      <c r="BF187" s="1018"/>
      <c r="BG187" s="1018"/>
    </row>
    <row r="188" spans="18:59" x14ac:dyDescent="0.3">
      <c r="R188" s="1018"/>
      <c r="S188" s="1018"/>
      <c r="W188" s="1018"/>
      <c r="X188" s="1018"/>
      <c r="AE188" s="1018"/>
      <c r="AF188" s="1018"/>
      <c r="AV188" s="1018"/>
      <c r="AW188" s="1018"/>
      <c r="AX188" s="1018"/>
      <c r="AY188" s="1018"/>
      <c r="AZ188" s="1018"/>
      <c r="BA188" s="1018"/>
      <c r="BC188" s="1018"/>
      <c r="BE188" s="1018"/>
      <c r="BF188" s="1018"/>
      <c r="BG188" s="1018"/>
    </row>
    <row r="189" spans="18:59" x14ac:dyDescent="0.3">
      <c r="R189" s="1018"/>
      <c r="S189" s="1018"/>
      <c r="W189" s="1018"/>
      <c r="X189" s="1018"/>
      <c r="AE189" s="1018"/>
      <c r="AF189" s="1018"/>
      <c r="AV189" s="1018"/>
      <c r="AW189" s="1018"/>
      <c r="AX189" s="1018"/>
      <c r="AY189" s="1018"/>
      <c r="AZ189" s="1018"/>
      <c r="BA189" s="1018"/>
      <c r="BC189" s="1018"/>
      <c r="BE189" s="1018"/>
      <c r="BF189" s="1018"/>
      <c r="BG189" s="1018"/>
    </row>
    <row r="190" spans="18:59" x14ac:dyDescent="0.3">
      <c r="R190" s="1018"/>
      <c r="S190" s="1018"/>
      <c r="W190" s="1018"/>
      <c r="X190" s="1018"/>
      <c r="AE190" s="1018"/>
      <c r="AF190" s="1018"/>
      <c r="AV190" s="1018"/>
      <c r="AW190" s="1018"/>
      <c r="AX190" s="1018"/>
      <c r="AY190" s="1018"/>
      <c r="AZ190" s="1018"/>
      <c r="BA190" s="1018"/>
      <c r="BC190" s="1018"/>
      <c r="BE190" s="1018"/>
      <c r="BF190" s="1018"/>
      <c r="BG190" s="1018"/>
    </row>
    <row r="191" spans="18:59" x14ac:dyDescent="0.3">
      <c r="R191" s="1018"/>
      <c r="S191" s="1018"/>
      <c r="W191" s="1018"/>
      <c r="X191" s="1018"/>
      <c r="AE191" s="1018"/>
      <c r="AF191" s="1018"/>
      <c r="AV191" s="1018"/>
      <c r="AW191" s="1018"/>
      <c r="AX191" s="1018"/>
      <c r="AY191" s="1018"/>
      <c r="AZ191" s="1018"/>
      <c r="BA191" s="1018"/>
      <c r="BC191" s="1018"/>
      <c r="BE191" s="1018"/>
      <c r="BF191" s="1018"/>
      <c r="BG191" s="1018"/>
    </row>
    <row r="192" spans="18:59" x14ac:dyDescent="0.3">
      <c r="R192" s="1018"/>
      <c r="S192" s="1018"/>
      <c r="W192" s="1018"/>
      <c r="X192" s="1018"/>
      <c r="AE192" s="1018"/>
      <c r="AF192" s="1018"/>
      <c r="AV192" s="1018"/>
      <c r="AW192" s="1018"/>
      <c r="AX192" s="1018"/>
      <c r="AY192" s="1018"/>
      <c r="AZ192" s="1018"/>
      <c r="BA192" s="1018"/>
      <c r="BC192" s="1018"/>
      <c r="BE192" s="1018"/>
      <c r="BF192" s="1018"/>
      <c r="BG192" s="1018"/>
    </row>
    <row r="193" spans="18:59" x14ac:dyDescent="0.3">
      <c r="R193" s="1018"/>
      <c r="S193" s="1018"/>
      <c r="W193" s="1018"/>
      <c r="X193" s="1018"/>
      <c r="AE193" s="1018"/>
      <c r="AF193" s="1018"/>
      <c r="AV193" s="1018"/>
      <c r="AW193" s="1018"/>
      <c r="AX193" s="1018"/>
      <c r="AY193" s="1018"/>
      <c r="AZ193" s="1018"/>
      <c r="BA193" s="1018"/>
      <c r="BC193" s="1018"/>
      <c r="BE193" s="1018"/>
      <c r="BF193" s="1018"/>
      <c r="BG193" s="1018"/>
    </row>
    <row r="194" spans="18:59" x14ac:dyDescent="0.3">
      <c r="R194" s="1018"/>
      <c r="S194" s="1018"/>
      <c r="W194" s="1018"/>
      <c r="X194" s="1018"/>
      <c r="AE194" s="1018"/>
      <c r="AF194" s="1018"/>
      <c r="AV194" s="1018"/>
      <c r="AW194" s="1018"/>
      <c r="AX194" s="1018"/>
      <c r="AY194" s="1018"/>
      <c r="AZ194" s="1018"/>
      <c r="BA194" s="1018"/>
      <c r="BC194" s="1018"/>
      <c r="BE194" s="1018"/>
      <c r="BF194" s="1018"/>
      <c r="BG194" s="1018"/>
    </row>
    <row r="195" spans="18:59" x14ac:dyDescent="0.3">
      <c r="R195" s="1018"/>
      <c r="S195" s="1018"/>
      <c r="W195" s="1018"/>
      <c r="X195" s="1018"/>
      <c r="AE195" s="1018"/>
      <c r="AF195" s="1018"/>
      <c r="AV195" s="1018"/>
      <c r="AW195" s="1018"/>
      <c r="AX195" s="1018"/>
      <c r="AY195" s="1018"/>
      <c r="AZ195" s="1018"/>
      <c r="BA195" s="1018"/>
      <c r="BC195" s="1018"/>
      <c r="BE195" s="1018"/>
      <c r="BF195" s="1018"/>
      <c r="BG195" s="1018"/>
    </row>
    <row r="196" spans="18:59" x14ac:dyDescent="0.3">
      <c r="R196" s="1018"/>
      <c r="S196" s="1018"/>
      <c r="W196" s="1018"/>
      <c r="X196" s="1018"/>
      <c r="AE196" s="1018"/>
      <c r="AF196" s="1018"/>
      <c r="AV196" s="1018"/>
      <c r="AW196" s="1018"/>
      <c r="AX196" s="1018"/>
      <c r="AY196" s="1018"/>
      <c r="AZ196" s="1018"/>
      <c r="BA196" s="1018"/>
      <c r="BC196" s="1018"/>
      <c r="BE196" s="1018"/>
      <c r="BF196" s="1018"/>
      <c r="BG196" s="1018"/>
    </row>
    <row r="197" spans="18:59" x14ac:dyDescent="0.3">
      <c r="R197" s="1018"/>
      <c r="S197" s="1018"/>
      <c r="W197" s="1018"/>
      <c r="X197" s="1018"/>
      <c r="AE197" s="1018"/>
      <c r="AF197" s="1018"/>
      <c r="AV197" s="1018"/>
      <c r="AW197" s="1018"/>
      <c r="AX197" s="1018"/>
      <c r="AY197" s="1018"/>
      <c r="AZ197" s="1018"/>
      <c r="BA197" s="1018"/>
      <c r="BC197" s="1018"/>
      <c r="BE197" s="1018"/>
      <c r="BF197" s="1018"/>
      <c r="BG197" s="1018"/>
    </row>
    <row r="198" spans="18:59" x14ac:dyDescent="0.3">
      <c r="R198" s="1018"/>
      <c r="S198" s="1018"/>
      <c r="W198" s="1018"/>
      <c r="X198" s="1018"/>
      <c r="AE198" s="1018"/>
      <c r="AF198" s="1018"/>
      <c r="AV198" s="1018"/>
      <c r="AW198" s="1018"/>
      <c r="AX198" s="1018"/>
      <c r="AY198" s="1018"/>
      <c r="AZ198" s="1018"/>
      <c r="BA198" s="1018"/>
      <c r="BC198" s="1018"/>
      <c r="BE198" s="1018"/>
      <c r="BF198" s="1018"/>
      <c r="BG198" s="1018"/>
    </row>
    <row r="199" spans="18:59" x14ac:dyDescent="0.3">
      <c r="R199" s="1018"/>
      <c r="S199" s="1018"/>
      <c r="W199" s="1018"/>
      <c r="X199" s="1018"/>
      <c r="AE199" s="1018"/>
      <c r="AF199" s="1018"/>
      <c r="AV199" s="1018"/>
      <c r="AW199" s="1018"/>
      <c r="AX199" s="1018"/>
      <c r="AY199" s="1018"/>
      <c r="AZ199" s="1018"/>
      <c r="BA199" s="1018"/>
      <c r="BC199" s="1018"/>
      <c r="BE199" s="1018"/>
      <c r="BF199" s="1018"/>
      <c r="BG199" s="1018"/>
    </row>
    <row r="200" spans="18:59" x14ac:dyDescent="0.3">
      <c r="R200" s="1018"/>
      <c r="S200" s="1018"/>
      <c r="W200" s="1018"/>
      <c r="X200" s="1018"/>
      <c r="AE200" s="1018"/>
      <c r="AF200" s="1018"/>
      <c r="AV200" s="1018"/>
      <c r="AW200" s="1018"/>
      <c r="AX200" s="1018"/>
      <c r="AY200" s="1018"/>
      <c r="AZ200" s="1018"/>
      <c r="BA200" s="1018"/>
      <c r="BC200" s="1018"/>
      <c r="BE200" s="1018"/>
      <c r="BF200" s="1018"/>
      <c r="BG200" s="1018"/>
    </row>
    <row r="201" spans="18:59" x14ac:dyDescent="0.3">
      <c r="R201" s="1018"/>
      <c r="S201" s="1018"/>
      <c r="W201" s="1018"/>
      <c r="X201" s="1018"/>
      <c r="AE201" s="1018"/>
      <c r="AF201" s="1018"/>
      <c r="AV201" s="1018"/>
      <c r="AW201" s="1018"/>
      <c r="AX201" s="1018"/>
      <c r="AY201" s="1018"/>
      <c r="AZ201" s="1018"/>
      <c r="BA201" s="1018"/>
      <c r="BC201" s="1018"/>
      <c r="BE201" s="1018"/>
      <c r="BF201" s="1018"/>
      <c r="BG201" s="1018"/>
    </row>
    <row r="202" spans="18:59" x14ac:dyDescent="0.3">
      <c r="R202" s="1018"/>
      <c r="S202" s="1018"/>
      <c r="W202" s="1018"/>
      <c r="X202" s="1018"/>
      <c r="AE202" s="1018"/>
      <c r="AF202" s="1018"/>
      <c r="AV202" s="1018"/>
      <c r="AW202" s="1018"/>
      <c r="AX202" s="1018"/>
      <c r="AY202" s="1018"/>
      <c r="AZ202" s="1018"/>
      <c r="BA202" s="1018"/>
      <c r="BC202" s="1018"/>
      <c r="BE202" s="1018"/>
      <c r="BF202" s="1018"/>
      <c r="BG202" s="1018"/>
    </row>
    <row r="203" spans="18:59" x14ac:dyDescent="0.3">
      <c r="R203" s="1018"/>
      <c r="S203" s="1018"/>
      <c r="W203" s="1018"/>
      <c r="X203" s="1018"/>
      <c r="AE203" s="1018"/>
      <c r="AF203" s="1018"/>
      <c r="AV203" s="1018"/>
      <c r="AW203" s="1018"/>
      <c r="AX203" s="1018"/>
      <c r="AY203" s="1018"/>
      <c r="AZ203" s="1018"/>
      <c r="BA203" s="1018"/>
      <c r="BC203" s="1018"/>
      <c r="BE203" s="1018"/>
      <c r="BF203" s="1018"/>
      <c r="BG203" s="1018"/>
    </row>
    <row r="204" spans="18:59" x14ac:dyDescent="0.3">
      <c r="R204" s="1018"/>
      <c r="S204" s="1018"/>
      <c r="W204" s="1018"/>
      <c r="X204" s="1018"/>
      <c r="AE204" s="1018"/>
      <c r="AF204" s="1018"/>
      <c r="AV204" s="1018"/>
      <c r="AW204" s="1018"/>
      <c r="AX204" s="1018"/>
      <c r="AY204" s="1018"/>
      <c r="AZ204" s="1018"/>
      <c r="BA204" s="1018"/>
      <c r="BC204" s="1018"/>
      <c r="BE204" s="1018"/>
      <c r="BF204" s="1018"/>
      <c r="BG204" s="1018"/>
    </row>
    <row r="205" spans="18:59" x14ac:dyDescent="0.3">
      <c r="R205" s="1018"/>
      <c r="S205" s="1018"/>
      <c r="W205" s="1018"/>
      <c r="X205" s="1018"/>
      <c r="AE205" s="1018"/>
      <c r="AF205" s="1018"/>
      <c r="AV205" s="1018"/>
      <c r="AW205" s="1018"/>
      <c r="AX205" s="1018"/>
      <c r="AY205" s="1018"/>
      <c r="AZ205" s="1018"/>
      <c r="BA205" s="1018"/>
      <c r="BC205" s="1018"/>
      <c r="BE205" s="1018"/>
      <c r="BF205" s="1018"/>
      <c r="BG205" s="1018"/>
    </row>
    <row r="206" spans="18:59" x14ac:dyDescent="0.3">
      <c r="R206" s="1018"/>
      <c r="S206" s="1018"/>
      <c r="W206" s="1018"/>
      <c r="X206" s="1018"/>
      <c r="AE206" s="1018"/>
      <c r="AF206" s="1018"/>
      <c r="AV206" s="1018"/>
      <c r="AW206" s="1018"/>
      <c r="AX206" s="1018"/>
      <c r="AY206" s="1018"/>
      <c r="AZ206" s="1018"/>
      <c r="BA206" s="1018"/>
      <c r="BC206" s="1018"/>
      <c r="BE206" s="1018"/>
      <c r="BF206" s="1018"/>
      <c r="BG206" s="1018"/>
    </row>
    <row r="207" spans="18:59" x14ac:dyDescent="0.3">
      <c r="R207" s="1018"/>
      <c r="S207" s="1018"/>
      <c r="W207" s="1018"/>
      <c r="X207" s="1018"/>
      <c r="AE207" s="1018"/>
      <c r="AF207" s="1018"/>
      <c r="AV207" s="1018"/>
      <c r="AW207" s="1018"/>
      <c r="AX207" s="1018"/>
      <c r="AY207" s="1018"/>
      <c r="AZ207" s="1018"/>
      <c r="BA207" s="1018"/>
      <c r="BC207" s="1018"/>
      <c r="BE207" s="1018"/>
      <c r="BF207" s="1018"/>
      <c r="BG207" s="1018"/>
    </row>
    <row r="208" spans="18:59" x14ac:dyDescent="0.3">
      <c r="R208" s="1018"/>
      <c r="S208" s="1018"/>
      <c r="W208" s="1018"/>
      <c r="X208" s="1018"/>
      <c r="AE208" s="1018"/>
      <c r="AF208" s="1018"/>
      <c r="AV208" s="1018"/>
      <c r="AW208" s="1018"/>
      <c r="AX208" s="1018"/>
      <c r="AY208" s="1018"/>
      <c r="AZ208" s="1018"/>
      <c r="BA208" s="1018"/>
      <c r="BC208" s="1018"/>
      <c r="BE208" s="1018"/>
      <c r="BF208" s="1018"/>
      <c r="BG208" s="1018"/>
    </row>
    <row r="209" spans="18:59" x14ac:dyDescent="0.3">
      <c r="R209" s="1018"/>
      <c r="S209" s="1018"/>
      <c r="W209" s="1018"/>
      <c r="X209" s="1018"/>
      <c r="AE209" s="1018"/>
      <c r="AF209" s="1018"/>
      <c r="AV209" s="1018"/>
      <c r="AW209" s="1018"/>
      <c r="AX209" s="1018"/>
      <c r="AY209" s="1018"/>
      <c r="AZ209" s="1018"/>
      <c r="BA209" s="1018"/>
      <c r="BC209" s="1018"/>
      <c r="BE209" s="1018"/>
      <c r="BF209" s="1018"/>
      <c r="BG209" s="1018"/>
    </row>
    <row r="210" spans="18:59" x14ac:dyDescent="0.3">
      <c r="R210" s="1018"/>
      <c r="S210" s="1018"/>
      <c r="W210" s="1018"/>
      <c r="X210" s="1018"/>
      <c r="AE210" s="1018"/>
      <c r="AF210" s="1018"/>
      <c r="AV210" s="1018"/>
      <c r="AW210" s="1018"/>
      <c r="AX210" s="1018"/>
      <c r="AY210" s="1018"/>
      <c r="AZ210" s="1018"/>
      <c r="BA210" s="1018"/>
      <c r="BC210" s="1018"/>
      <c r="BE210" s="1018"/>
      <c r="BF210" s="1018"/>
      <c r="BG210" s="1018"/>
    </row>
    <row r="211" spans="18:59" x14ac:dyDescent="0.3">
      <c r="R211" s="1018"/>
      <c r="S211" s="1018"/>
      <c r="W211" s="1018"/>
      <c r="X211" s="1018"/>
      <c r="AE211" s="1018"/>
      <c r="AF211" s="1018"/>
      <c r="AV211" s="1018"/>
      <c r="AW211" s="1018"/>
      <c r="AX211" s="1018"/>
      <c r="AY211" s="1018"/>
      <c r="AZ211" s="1018"/>
      <c r="BA211" s="1018"/>
      <c r="BC211" s="1018"/>
      <c r="BE211" s="1018"/>
      <c r="BF211" s="1018"/>
      <c r="BG211" s="1018"/>
    </row>
    <row r="212" spans="18:59" x14ac:dyDescent="0.3">
      <c r="R212" s="1018"/>
      <c r="S212" s="1018"/>
      <c r="W212" s="1018"/>
      <c r="X212" s="1018"/>
      <c r="AE212" s="1018"/>
      <c r="AF212" s="1018"/>
      <c r="AV212" s="1018"/>
      <c r="AW212" s="1018"/>
      <c r="AX212" s="1018"/>
      <c r="AY212" s="1018"/>
      <c r="AZ212" s="1018"/>
      <c r="BA212" s="1018"/>
      <c r="BC212" s="1018"/>
      <c r="BE212" s="1018"/>
      <c r="BF212" s="1018"/>
      <c r="BG212" s="1018"/>
    </row>
    <row r="213" spans="18:59" x14ac:dyDescent="0.3">
      <c r="R213" s="1018"/>
      <c r="S213" s="1018"/>
      <c r="W213" s="1018"/>
      <c r="X213" s="1018"/>
      <c r="AE213" s="1018"/>
      <c r="AF213" s="1018"/>
      <c r="AV213" s="1018"/>
      <c r="AW213" s="1018"/>
      <c r="AX213" s="1018"/>
      <c r="AY213" s="1018"/>
      <c r="AZ213" s="1018"/>
      <c r="BA213" s="1018"/>
      <c r="BC213" s="1018"/>
      <c r="BE213" s="1018"/>
      <c r="BF213" s="1018"/>
      <c r="BG213" s="1018"/>
    </row>
    <row r="214" spans="18:59" x14ac:dyDescent="0.3">
      <c r="R214" s="1018"/>
      <c r="S214" s="1018"/>
      <c r="W214" s="1018"/>
      <c r="X214" s="1018"/>
      <c r="AE214" s="1018"/>
      <c r="AF214" s="1018"/>
      <c r="AV214" s="1018"/>
      <c r="AW214" s="1018"/>
      <c r="AX214" s="1018"/>
      <c r="AY214" s="1018"/>
      <c r="AZ214" s="1018"/>
      <c r="BA214" s="1018"/>
      <c r="BC214" s="1018"/>
      <c r="BE214" s="1018"/>
      <c r="BF214" s="1018"/>
      <c r="BG214" s="1018"/>
    </row>
    <row r="215" spans="18:59" x14ac:dyDescent="0.3">
      <c r="R215" s="1018"/>
      <c r="S215" s="1018"/>
      <c r="W215" s="1018"/>
      <c r="X215" s="1018"/>
      <c r="AE215" s="1018"/>
      <c r="AF215" s="1018"/>
      <c r="AV215" s="1018"/>
      <c r="AW215" s="1018"/>
      <c r="AX215" s="1018"/>
      <c r="AY215" s="1018"/>
      <c r="AZ215" s="1018"/>
      <c r="BA215" s="1018"/>
      <c r="BC215" s="1018"/>
      <c r="BE215" s="1018"/>
      <c r="BF215" s="1018"/>
      <c r="BG215" s="1018"/>
    </row>
    <row r="216" spans="18:59" x14ac:dyDescent="0.3">
      <c r="R216" s="1018"/>
      <c r="S216" s="1018"/>
      <c r="W216" s="1018"/>
      <c r="X216" s="1018"/>
      <c r="AE216" s="1018"/>
      <c r="AF216" s="1018"/>
      <c r="AV216" s="1018"/>
      <c r="AW216" s="1018"/>
      <c r="AX216" s="1018"/>
      <c r="AY216" s="1018"/>
      <c r="AZ216" s="1018"/>
      <c r="BA216" s="1018"/>
      <c r="BC216" s="1018"/>
      <c r="BE216" s="1018"/>
      <c r="BF216" s="1018"/>
      <c r="BG216" s="1018"/>
    </row>
    <row r="217" spans="18:59" x14ac:dyDescent="0.3">
      <c r="R217" s="1018"/>
      <c r="S217" s="1018"/>
      <c r="W217" s="1018"/>
      <c r="X217" s="1018"/>
      <c r="AE217" s="1018"/>
      <c r="AF217" s="1018"/>
      <c r="AV217" s="1018"/>
      <c r="AW217" s="1018"/>
      <c r="AX217" s="1018"/>
      <c r="AY217" s="1018"/>
      <c r="AZ217" s="1018"/>
      <c r="BA217" s="1018"/>
      <c r="BC217" s="1018"/>
      <c r="BE217" s="1018"/>
      <c r="BF217" s="1018"/>
      <c r="BG217" s="1018"/>
    </row>
    <row r="218" spans="18:59" x14ac:dyDescent="0.3">
      <c r="R218" s="1018"/>
      <c r="S218" s="1018"/>
      <c r="W218" s="1018"/>
      <c r="X218" s="1018"/>
      <c r="AE218" s="1018"/>
      <c r="AF218" s="1018"/>
      <c r="AV218" s="1018"/>
      <c r="AW218" s="1018"/>
      <c r="AX218" s="1018"/>
      <c r="AY218" s="1018"/>
      <c r="AZ218" s="1018"/>
      <c r="BA218" s="1018"/>
      <c r="BC218" s="1018"/>
      <c r="BE218" s="1018"/>
      <c r="BF218" s="1018"/>
      <c r="BG218" s="1018"/>
    </row>
    <row r="219" spans="18:59" x14ac:dyDescent="0.3">
      <c r="R219" s="1018"/>
      <c r="S219" s="1018"/>
      <c r="W219" s="1018"/>
      <c r="X219" s="1018"/>
      <c r="AE219" s="1018"/>
      <c r="AF219" s="1018"/>
      <c r="AV219" s="1018"/>
      <c r="AW219" s="1018"/>
      <c r="AX219" s="1018"/>
      <c r="AY219" s="1018"/>
      <c r="AZ219" s="1018"/>
      <c r="BA219" s="1018"/>
      <c r="BC219" s="1018"/>
      <c r="BE219" s="1018"/>
      <c r="BF219" s="1018"/>
      <c r="BG219" s="1018"/>
    </row>
    <row r="220" spans="18:59" x14ac:dyDescent="0.3">
      <c r="R220" s="1018"/>
      <c r="S220" s="1018"/>
      <c r="W220" s="1018"/>
      <c r="X220" s="1018"/>
      <c r="AE220" s="1018"/>
      <c r="AF220" s="1018"/>
      <c r="AV220" s="1018"/>
      <c r="AW220" s="1018"/>
      <c r="AX220" s="1018"/>
      <c r="AY220" s="1018"/>
      <c r="AZ220" s="1018"/>
      <c r="BA220" s="1018"/>
      <c r="BC220" s="1018"/>
      <c r="BE220" s="1018"/>
      <c r="BF220" s="1018"/>
      <c r="BG220" s="1018"/>
    </row>
    <row r="221" spans="18:59" x14ac:dyDescent="0.3">
      <c r="R221" s="1018"/>
      <c r="S221" s="1018"/>
      <c r="W221" s="1018"/>
      <c r="X221" s="1018"/>
      <c r="AE221" s="1018"/>
      <c r="AF221" s="1018"/>
      <c r="AV221" s="1018"/>
      <c r="AW221" s="1018"/>
      <c r="AX221" s="1018"/>
      <c r="AY221" s="1018"/>
      <c r="AZ221" s="1018"/>
      <c r="BA221" s="1018"/>
      <c r="BC221" s="1018"/>
      <c r="BE221" s="1018"/>
      <c r="BF221" s="1018"/>
      <c r="BG221" s="1018"/>
    </row>
    <row r="222" spans="18:59" x14ac:dyDescent="0.3">
      <c r="R222" s="1018"/>
      <c r="S222" s="1018"/>
      <c r="W222" s="1018"/>
      <c r="X222" s="1018"/>
      <c r="AE222" s="1018"/>
      <c r="AF222" s="1018"/>
      <c r="AV222" s="1018"/>
      <c r="AW222" s="1018"/>
      <c r="AX222" s="1018"/>
      <c r="AY222" s="1018"/>
      <c r="AZ222" s="1018"/>
      <c r="BA222" s="1018"/>
      <c r="BC222" s="1018"/>
      <c r="BE222" s="1018"/>
      <c r="BF222" s="1018"/>
      <c r="BG222" s="1018"/>
    </row>
    <row r="223" spans="18:59" x14ac:dyDescent="0.3">
      <c r="R223" s="1018"/>
      <c r="S223" s="1018"/>
      <c r="W223" s="1018"/>
      <c r="X223" s="1018"/>
      <c r="AE223" s="1018"/>
      <c r="AF223" s="1018"/>
      <c r="AV223" s="1018"/>
      <c r="AW223" s="1018"/>
      <c r="AX223" s="1018"/>
      <c r="AY223" s="1018"/>
      <c r="AZ223" s="1018"/>
      <c r="BA223" s="1018"/>
      <c r="BC223" s="1018"/>
      <c r="BE223" s="1018"/>
      <c r="BF223" s="1018"/>
      <c r="BG223" s="1018"/>
    </row>
    <row r="224" spans="18:59" x14ac:dyDescent="0.3">
      <c r="R224" s="1018"/>
      <c r="S224" s="1018"/>
      <c r="W224" s="1018"/>
      <c r="X224" s="1018"/>
      <c r="AE224" s="1018"/>
      <c r="AF224" s="1018"/>
      <c r="AV224" s="1018"/>
      <c r="AW224" s="1018"/>
      <c r="AX224" s="1018"/>
      <c r="AY224" s="1018"/>
      <c r="AZ224" s="1018"/>
      <c r="BA224" s="1018"/>
      <c r="BC224" s="1018"/>
      <c r="BE224" s="1018"/>
      <c r="BF224" s="1018"/>
      <c r="BG224" s="1018"/>
    </row>
    <row r="225" spans="18:59" x14ac:dyDescent="0.3">
      <c r="R225" s="1018"/>
      <c r="S225" s="1018"/>
      <c r="W225" s="1018"/>
      <c r="X225" s="1018"/>
      <c r="AE225" s="1018"/>
      <c r="AF225" s="1018"/>
      <c r="AV225" s="1018"/>
      <c r="AW225" s="1018"/>
      <c r="AX225" s="1018"/>
      <c r="AY225" s="1018"/>
      <c r="AZ225" s="1018"/>
      <c r="BA225" s="1018"/>
      <c r="BC225" s="1018"/>
      <c r="BE225" s="1018"/>
      <c r="BF225" s="1018"/>
      <c r="BG225" s="1018"/>
    </row>
    <row r="226" spans="18:59" x14ac:dyDescent="0.3">
      <c r="R226" s="1018"/>
      <c r="S226" s="1018"/>
      <c r="W226" s="1018"/>
      <c r="X226" s="1018"/>
      <c r="AE226" s="1018"/>
      <c r="AF226" s="1018"/>
      <c r="AV226" s="1018"/>
      <c r="AW226" s="1018"/>
      <c r="AX226" s="1018"/>
      <c r="AY226" s="1018"/>
      <c r="AZ226" s="1018"/>
      <c r="BA226" s="1018"/>
      <c r="BC226" s="1018"/>
      <c r="BE226" s="1018"/>
      <c r="BF226" s="1018"/>
      <c r="BG226" s="1018"/>
    </row>
    <row r="227" spans="18:59" x14ac:dyDescent="0.3">
      <c r="R227" s="1018"/>
      <c r="S227" s="1018"/>
      <c r="W227" s="1018"/>
      <c r="X227" s="1018"/>
      <c r="AE227" s="1018"/>
      <c r="AF227" s="1018"/>
      <c r="AV227" s="1018"/>
      <c r="AW227" s="1018"/>
      <c r="AX227" s="1018"/>
      <c r="AY227" s="1018"/>
      <c r="AZ227" s="1018"/>
      <c r="BA227" s="1018"/>
      <c r="BC227" s="1018"/>
      <c r="BE227" s="1018"/>
      <c r="BF227" s="1018"/>
      <c r="BG227" s="1018"/>
    </row>
    <row r="228" spans="18:59" x14ac:dyDescent="0.3">
      <c r="R228" s="1018"/>
      <c r="S228" s="1018"/>
      <c r="W228" s="1018"/>
      <c r="X228" s="1018"/>
      <c r="AE228" s="1018"/>
      <c r="AF228" s="1018"/>
      <c r="AV228" s="1018"/>
      <c r="AW228" s="1018"/>
      <c r="AX228" s="1018"/>
      <c r="AY228" s="1018"/>
      <c r="AZ228" s="1018"/>
      <c r="BA228" s="1018"/>
      <c r="BC228" s="1018"/>
      <c r="BE228" s="1018"/>
      <c r="BF228" s="1018"/>
      <c r="BG228" s="1018"/>
    </row>
    <row r="229" spans="18:59" x14ac:dyDescent="0.3">
      <c r="R229" s="1018"/>
      <c r="S229" s="1018"/>
      <c r="W229" s="1018"/>
      <c r="X229" s="1018"/>
      <c r="AE229" s="1018"/>
      <c r="AF229" s="1018"/>
      <c r="AV229" s="1018"/>
      <c r="AW229" s="1018"/>
      <c r="AX229" s="1018"/>
      <c r="AY229" s="1018"/>
      <c r="AZ229" s="1018"/>
      <c r="BA229" s="1018"/>
      <c r="BC229" s="1018"/>
      <c r="BE229" s="1018"/>
      <c r="BF229" s="1018"/>
      <c r="BG229" s="1018"/>
    </row>
    <row r="230" spans="18:59" x14ac:dyDescent="0.3">
      <c r="R230" s="1018"/>
      <c r="S230" s="1018"/>
      <c r="W230" s="1018"/>
      <c r="X230" s="1018"/>
      <c r="AE230" s="1018"/>
      <c r="AF230" s="1018"/>
      <c r="AV230" s="1018"/>
      <c r="AW230" s="1018"/>
      <c r="AX230" s="1018"/>
      <c r="AY230" s="1018"/>
      <c r="AZ230" s="1018"/>
      <c r="BA230" s="1018"/>
      <c r="BC230" s="1018"/>
      <c r="BE230" s="1018"/>
      <c r="BF230" s="1018"/>
      <c r="BG230" s="1018"/>
    </row>
    <row r="231" spans="18:59" x14ac:dyDescent="0.3">
      <c r="R231" s="1018"/>
      <c r="S231" s="1018"/>
      <c r="W231" s="1018"/>
      <c r="X231" s="1018"/>
      <c r="AE231" s="1018"/>
      <c r="AF231" s="1018"/>
      <c r="AV231" s="1018"/>
      <c r="AW231" s="1018"/>
      <c r="AX231" s="1018"/>
      <c r="AY231" s="1018"/>
      <c r="AZ231" s="1018"/>
      <c r="BA231" s="1018"/>
      <c r="BC231" s="1018"/>
      <c r="BE231" s="1018"/>
      <c r="BF231" s="1018"/>
      <c r="BG231" s="1018"/>
    </row>
    <row r="232" spans="18:59" x14ac:dyDescent="0.3">
      <c r="R232" s="1018"/>
      <c r="S232" s="1018"/>
      <c r="W232" s="1018"/>
      <c r="X232" s="1018"/>
      <c r="AE232" s="1018"/>
      <c r="AF232" s="1018"/>
      <c r="AV232" s="1018"/>
      <c r="AW232" s="1018"/>
      <c r="AX232" s="1018"/>
      <c r="AY232" s="1018"/>
      <c r="AZ232" s="1018"/>
      <c r="BA232" s="1018"/>
      <c r="BC232" s="1018"/>
      <c r="BE232" s="1018"/>
      <c r="BF232" s="1018"/>
      <c r="BG232" s="1018"/>
    </row>
    <row r="233" spans="18:59" x14ac:dyDescent="0.3">
      <c r="R233" s="1018"/>
      <c r="S233" s="1018"/>
      <c r="W233" s="1018"/>
      <c r="X233" s="1018"/>
      <c r="AE233" s="1018"/>
      <c r="AF233" s="1018"/>
      <c r="AV233" s="1018"/>
      <c r="AW233" s="1018"/>
      <c r="AX233" s="1018"/>
      <c r="AY233" s="1018"/>
      <c r="AZ233" s="1018"/>
      <c r="BA233" s="1018"/>
      <c r="BC233" s="1018"/>
      <c r="BE233" s="1018"/>
      <c r="BF233" s="1018"/>
      <c r="BG233" s="1018"/>
    </row>
    <row r="234" spans="18:59" x14ac:dyDescent="0.3">
      <c r="R234" s="1018"/>
      <c r="S234" s="1018"/>
      <c r="W234" s="1018"/>
      <c r="X234" s="1018"/>
      <c r="AE234" s="1018"/>
      <c r="AF234" s="1018"/>
      <c r="AV234" s="1018"/>
      <c r="AW234" s="1018"/>
      <c r="AX234" s="1018"/>
      <c r="AY234" s="1018"/>
      <c r="AZ234" s="1018"/>
      <c r="BA234" s="1018"/>
      <c r="BC234" s="1018"/>
      <c r="BE234" s="1018"/>
      <c r="BF234" s="1018"/>
      <c r="BG234" s="1018"/>
    </row>
    <row r="235" spans="18:59" x14ac:dyDescent="0.3">
      <c r="R235" s="1018"/>
      <c r="S235" s="1018"/>
      <c r="W235" s="1018"/>
      <c r="X235" s="1018"/>
      <c r="AE235" s="1018"/>
      <c r="AF235" s="1018"/>
      <c r="AV235" s="1018"/>
      <c r="AW235" s="1018"/>
      <c r="AX235" s="1018"/>
      <c r="AY235" s="1018"/>
      <c r="AZ235" s="1018"/>
      <c r="BA235" s="1018"/>
      <c r="BC235" s="1018"/>
      <c r="BE235" s="1018"/>
      <c r="BF235" s="1018"/>
      <c r="BG235" s="1018"/>
    </row>
    <row r="236" spans="18:59" x14ac:dyDescent="0.3">
      <c r="R236" s="1018"/>
      <c r="S236" s="1018"/>
      <c r="W236" s="1018"/>
      <c r="X236" s="1018"/>
      <c r="AE236" s="1018"/>
      <c r="AF236" s="1018"/>
      <c r="AV236" s="1018"/>
      <c r="AW236" s="1018"/>
      <c r="AX236" s="1018"/>
      <c r="AY236" s="1018"/>
      <c r="AZ236" s="1018"/>
      <c r="BA236" s="1018"/>
      <c r="BC236" s="1018"/>
      <c r="BE236" s="1018"/>
      <c r="BF236" s="1018"/>
      <c r="BG236" s="1018"/>
    </row>
    <row r="237" spans="18:59" x14ac:dyDescent="0.3">
      <c r="R237" s="1018"/>
      <c r="S237" s="1018"/>
      <c r="W237" s="1018"/>
      <c r="X237" s="1018"/>
      <c r="AE237" s="1018"/>
      <c r="AF237" s="1018"/>
      <c r="AV237" s="1018"/>
      <c r="AW237" s="1018"/>
      <c r="AX237" s="1018"/>
      <c r="AY237" s="1018"/>
      <c r="AZ237" s="1018"/>
      <c r="BA237" s="1018"/>
      <c r="BC237" s="1018"/>
      <c r="BE237" s="1018"/>
      <c r="BF237" s="1018"/>
      <c r="BG237" s="1018"/>
    </row>
    <row r="238" spans="18:59" x14ac:dyDescent="0.3">
      <c r="R238" s="1018"/>
      <c r="S238" s="1018"/>
      <c r="W238" s="1018"/>
      <c r="X238" s="1018"/>
      <c r="AE238" s="1018"/>
      <c r="AF238" s="1018"/>
      <c r="AV238" s="1018"/>
      <c r="AW238" s="1018"/>
      <c r="AX238" s="1018"/>
      <c r="AY238" s="1018"/>
      <c r="AZ238" s="1018"/>
      <c r="BA238" s="1018"/>
      <c r="BC238" s="1018"/>
      <c r="BE238" s="1018"/>
      <c r="BF238" s="1018"/>
      <c r="BG238" s="1018"/>
    </row>
    <row r="239" spans="18:59" x14ac:dyDescent="0.3">
      <c r="R239" s="1018"/>
      <c r="S239" s="1018"/>
      <c r="W239" s="1018"/>
      <c r="X239" s="1018"/>
      <c r="AE239" s="1018"/>
      <c r="AF239" s="1018"/>
      <c r="AV239" s="1018"/>
      <c r="AW239" s="1018"/>
      <c r="AX239" s="1018"/>
      <c r="AY239" s="1018"/>
      <c r="AZ239" s="1018"/>
      <c r="BA239" s="1018"/>
      <c r="BC239" s="1018"/>
      <c r="BE239" s="1018"/>
      <c r="BF239" s="1018"/>
      <c r="BG239" s="1018"/>
    </row>
    <row r="240" spans="18:59" x14ac:dyDescent="0.3">
      <c r="R240" s="1018"/>
      <c r="S240" s="1018"/>
      <c r="W240" s="1018"/>
      <c r="X240" s="1018"/>
      <c r="AE240" s="1018"/>
      <c r="AF240" s="1018"/>
      <c r="AV240" s="1018"/>
      <c r="AW240" s="1018"/>
      <c r="AX240" s="1018"/>
      <c r="AY240" s="1018"/>
      <c r="AZ240" s="1018"/>
      <c r="BA240" s="1018"/>
      <c r="BC240" s="1018"/>
      <c r="BE240" s="1018"/>
      <c r="BF240" s="1018"/>
      <c r="BG240" s="1018"/>
    </row>
    <row r="241" spans="18:59" x14ac:dyDescent="0.3">
      <c r="R241" s="1018"/>
      <c r="S241" s="1018"/>
      <c r="W241" s="1018"/>
      <c r="X241" s="1018"/>
      <c r="AE241" s="1018"/>
      <c r="AF241" s="1018"/>
      <c r="AV241" s="1018"/>
      <c r="AW241" s="1018"/>
      <c r="AX241" s="1018"/>
      <c r="AY241" s="1018"/>
      <c r="AZ241" s="1018"/>
      <c r="BA241" s="1018"/>
      <c r="BC241" s="1018"/>
      <c r="BE241" s="1018"/>
      <c r="BF241" s="1018"/>
      <c r="BG241" s="1018"/>
    </row>
    <row r="242" spans="18:59" x14ac:dyDescent="0.3">
      <c r="R242" s="1018"/>
      <c r="S242" s="1018"/>
      <c r="W242" s="1018"/>
      <c r="X242" s="1018"/>
      <c r="AE242" s="1018"/>
      <c r="AF242" s="1018"/>
      <c r="AV242" s="1018"/>
      <c r="AW242" s="1018"/>
      <c r="AX242" s="1018"/>
      <c r="AY242" s="1018"/>
      <c r="AZ242" s="1018"/>
      <c r="BA242" s="1018"/>
      <c r="BC242" s="1018"/>
      <c r="BE242" s="1018"/>
      <c r="BF242" s="1018"/>
      <c r="BG242" s="1018"/>
    </row>
    <row r="243" spans="18:59" x14ac:dyDescent="0.3">
      <c r="R243" s="1018"/>
      <c r="S243" s="1018"/>
      <c r="W243" s="1018"/>
      <c r="X243" s="1018"/>
      <c r="AE243" s="1018"/>
      <c r="AF243" s="1018"/>
      <c r="AV243" s="1018"/>
      <c r="AW243" s="1018"/>
      <c r="AX243" s="1018"/>
      <c r="AY243" s="1018"/>
      <c r="AZ243" s="1018"/>
      <c r="BA243" s="1018"/>
      <c r="BC243" s="1018"/>
      <c r="BE243" s="1018"/>
      <c r="BF243" s="1018"/>
      <c r="BG243" s="1018"/>
    </row>
    <row r="244" spans="18:59" x14ac:dyDescent="0.3">
      <c r="R244" s="1018"/>
      <c r="S244" s="1018"/>
      <c r="W244" s="1018"/>
      <c r="X244" s="1018"/>
      <c r="AE244" s="1018"/>
      <c r="AF244" s="1018"/>
      <c r="AV244" s="1018"/>
      <c r="AW244" s="1018"/>
      <c r="AX244" s="1018"/>
      <c r="AY244" s="1018"/>
      <c r="AZ244" s="1018"/>
      <c r="BA244" s="1018"/>
      <c r="BC244" s="1018"/>
      <c r="BE244" s="1018"/>
      <c r="BF244" s="1018"/>
      <c r="BG244" s="1018"/>
    </row>
    <row r="245" spans="18:59" x14ac:dyDescent="0.3">
      <c r="R245" s="1018"/>
      <c r="S245" s="1018"/>
      <c r="W245" s="1018"/>
      <c r="X245" s="1018"/>
      <c r="AE245" s="1018"/>
      <c r="AF245" s="1018"/>
      <c r="AV245" s="1018"/>
      <c r="AW245" s="1018"/>
      <c r="AX245" s="1018"/>
      <c r="AY245" s="1018"/>
      <c r="AZ245" s="1018"/>
      <c r="BA245" s="1018"/>
      <c r="BC245" s="1018"/>
      <c r="BE245" s="1018"/>
      <c r="BF245" s="1018"/>
      <c r="BG245" s="1018"/>
    </row>
    <row r="246" spans="18:59" x14ac:dyDescent="0.3">
      <c r="R246" s="1018"/>
      <c r="S246" s="1018"/>
      <c r="W246" s="1018"/>
      <c r="X246" s="1018"/>
      <c r="AE246" s="1018"/>
      <c r="AF246" s="1018"/>
      <c r="AV246" s="1018"/>
      <c r="AW246" s="1018"/>
      <c r="AX246" s="1018"/>
      <c r="AY246" s="1018"/>
      <c r="AZ246" s="1018"/>
      <c r="BA246" s="1018"/>
      <c r="BC246" s="1018"/>
      <c r="BE246" s="1018"/>
      <c r="BF246" s="1018"/>
      <c r="BG246" s="1018"/>
    </row>
    <row r="247" spans="18:59" x14ac:dyDescent="0.3">
      <c r="R247" s="1018"/>
      <c r="S247" s="1018"/>
      <c r="W247" s="1018"/>
      <c r="X247" s="1018"/>
      <c r="AE247" s="1018"/>
      <c r="AF247" s="1018"/>
      <c r="AV247" s="1018"/>
      <c r="AW247" s="1018"/>
      <c r="AX247" s="1018"/>
      <c r="AY247" s="1018"/>
      <c r="AZ247" s="1018"/>
      <c r="BA247" s="1018"/>
      <c r="BC247" s="1018"/>
      <c r="BE247" s="1018"/>
      <c r="BF247" s="1018"/>
      <c r="BG247" s="1018"/>
    </row>
    <row r="248" spans="18:59" x14ac:dyDescent="0.3">
      <c r="R248" s="1018"/>
      <c r="S248" s="1018"/>
      <c r="W248" s="1018"/>
      <c r="X248" s="1018"/>
      <c r="AE248" s="1018"/>
      <c r="AF248" s="1018"/>
      <c r="AV248" s="1018"/>
      <c r="AW248" s="1018"/>
      <c r="AX248" s="1018"/>
      <c r="AY248" s="1018"/>
      <c r="AZ248" s="1018"/>
      <c r="BA248" s="1018"/>
      <c r="BC248" s="1018"/>
      <c r="BE248" s="1018"/>
      <c r="BF248" s="1018"/>
      <c r="BG248" s="1018"/>
    </row>
    <row r="249" spans="18:59" x14ac:dyDescent="0.3">
      <c r="R249" s="1018"/>
      <c r="S249" s="1018"/>
      <c r="W249" s="1018"/>
      <c r="X249" s="1018"/>
      <c r="AE249" s="1018"/>
      <c r="AF249" s="1018"/>
      <c r="AV249" s="1018"/>
      <c r="AW249" s="1018"/>
      <c r="AX249" s="1018"/>
      <c r="AY249" s="1018"/>
      <c r="AZ249" s="1018"/>
      <c r="BA249" s="1018"/>
      <c r="BC249" s="1018"/>
      <c r="BE249" s="1018"/>
      <c r="BF249" s="1018"/>
      <c r="BG249" s="1018"/>
    </row>
    <row r="250" spans="18:59" x14ac:dyDescent="0.3">
      <c r="R250" s="1018"/>
      <c r="S250" s="1018"/>
      <c r="W250" s="1018"/>
      <c r="X250" s="1018"/>
      <c r="AE250" s="1018"/>
      <c r="AF250" s="1018"/>
      <c r="AV250" s="1018"/>
      <c r="AW250" s="1018"/>
      <c r="AX250" s="1018"/>
      <c r="AY250" s="1018"/>
      <c r="AZ250" s="1018"/>
      <c r="BA250" s="1018"/>
      <c r="BC250" s="1018"/>
      <c r="BE250" s="1018"/>
      <c r="BF250" s="1018"/>
      <c r="BG250" s="1018"/>
    </row>
    <row r="251" spans="18:59" x14ac:dyDescent="0.3">
      <c r="R251" s="1018"/>
      <c r="S251" s="1018"/>
      <c r="W251" s="1018"/>
      <c r="X251" s="1018"/>
      <c r="AE251" s="1018"/>
      <c r="AF251" s="1018"/>
      <c r="AV251" s="1018"/>
      <c r="AW251" s="1018"/>
      <c r="AX251" s="1018"/>
      <c r="AY251" s="1018"/>
      <c r="AZ251" s="1018"/>
      <c r="BA251" s="1018"/>
      <c r="BC251" s="1018"/>
      <c r="BE251" s="1018"/>
      <c r="BF251" s="1018"/>
      <c r="BG251" s="1018"/>
    </row>
    <row r="252" spans="18:59" x14ac:dyDescent="0.3">
      <c r="R252" s="1018"/>
      <c r="S252" s="1018"/>
      <c r="W252" s="1018"/>
      <c r="X252" s="1018"/>
      <c r="AE252" s="1018"/>
      <c r="AF252" s="1018"/>
      <c r="AV252" s="1018"/>
      <c r="AW252" s="1018"/>
      <c r="AX252" s="1018"/>
      <c r="AY252" s="1018"/>
      <c r="AZ252" s="1018"/>
      <c r="BA252" s="1018"/>
      <c r="BC252" s="1018"/>
      <c r="BE252" s="1018"/>
      <c r="BF252" s="1018"/>
      <c r="BG252" s="1018"/>
    </row>
    <row r="253" spans="18:59" x14ac:dyDescent="0.3">
      <c r="R253" s="1018"/>
      <c r="S253" s="1018"/>
      <c r="W253" s="1018"/>
      <c r="X253" s="1018"/>
      <c r="AE253" s="1018"/>
      <c r="AF253" s="1018"/>
      <c r="AV253" s="1018"/>
      <c r="AW253" s="1018"/>
      <c r="AX253" s="1018"/>
      <c r="AY253" s="1018"/>
      <c r="AZ253" s="1018"/>
      <c r="BA253" s="1018"/>
      <c r="BC253" s="1018"/>
      <c r="BE253" s="1018"/>
      <c r="BF253" s="1018"/>
      <c r="BG253" s="1018"/>
    </row>
    <row r="254" spans="18:59" x14ac:dyDescent="0.3">
      <c r="R254" s="1018"/>
      <c r="S254" s="1018"/>
      <c r="W254" s="1018"/>
      <c r="X254" s="1018"/>
      <c r="AE254" s="1018"/>
      <c r="AF254" s="1018"/>
      <c r="AV254" s="1018"/>
      <c r="AW254" s="1018"/>
      <c r="AX254" s="1018"/>
      <c r="AY254" s="1018"/>
      <c r="AZ254" s="1018"/>
      <c r="BA254" s="1018"/>
      <c r="BC254" s="1018"/>
      <c r="BE254" s="1018"/>
      <c r="BF254" s="1018"/>
      <c r="BG254" s="1018"/>
    </row>
    <row r="255" spans="18:59" x14ac:dyDescent="0.3">
      <c r="R255" s="1018"/>
      <c r="S255" s="1018"/>
      <c r="W255" s="1018"/>
      <c r="X255" s="1018"/>
      <c r="AE255" s="1018"/>
      <c r="AF255" s="1018"/>
      <c r="AV255" s="1018"/>
      <c r="AW255" s="1018"/>
      <c r="AX255" s="1018"/>
      <c r="AY255" s="1018"/>
      <c r="AZ255" s="1018"/>
      <c r="BA255" s="1018"/>
      <c r="BC255" s="1018"/>
      <c r="BE255" s="1018"/>
      <c r="BF255" s="1018"/>
      <c r="BG255" s="1018"/>
    </row>
    <row r="256" spans="18:59" x14ac:dyDescent="0.3">
      <c r="R256" s="1018"/>
      <c r="S256" s="1018"/>
      <c r="W256" s="1018"/>
      <c r="X256" s="1018"/>
      <c r="AE256" s="1018"/>
      <c r="AF256" s="1018"/>
      <c r="AV256" s="1018"/>
      <c r="AW256" s="1018"/>
      <c r="AX256" s="1018"/>
      <c r="AY256" s="1018"/>
      <c r="AZ256" s="1018"/>
      <c r="BA256" s="1018"/>
      <c r="BC256" s="1018"/>
      <c r="BE256" s="1018"/>
      <c r="BF256" s="1018"/>
      <c r="BG256" s="1018"/>
    </row>
    <row r="257" spans="18:59" x14ac:dyDescent="0.3">
      <c r="R257" s="1018"/>
      <c r="S257" s="1018"/>
      <c r="W257" s="1018"/>
      <c r="X257" s="1018"/>
      <c r="AE257" s="1018"/>
      <c r="AF257" s="1018"/>
      <c r="AV257" s="1018"/>
      <c r="AW257" s="1018"/>
      <c r="AX257" s="1018"/>
      <c r="AY257" s="1018"/>
      <c r="AZ257" s="1018"/>
      <c r="BA257" s="1018"/>
      <c r="BC257" s="1018"/>
      <c r="BE257" s="1018"/>
      <c r="BF257" s="1018"/>
      <c r="BG257" s="1018"/>
    </row>
    <row r="258" spans="18:59" x14ac:dyDescent="0.3">
      <c r="R258" s="1018"/>
      <c r="S258" s="1018"/>
      <c r="W258" s="1018"/>
      <c r="X258" s="1018"/>
      <c r="AE258" s="1018"/>
      <c r="AF258" s="1018"/>
      <c r="AV258" s="1018"/>
      <c r="AW258" s="1018"/>
      <c r="AX258" s="1018"/>
      <c r="AY258" s="1018"/>
      <c r="AZ258" s="1018"/>
      <c r="BA258" s="1018"/>
      <c r="BC258" s="1018"/>
      <c r="BE258" s="1018"/>
      <c r="BF258" s="1018"/>
      <c r="BG258" s="1018"/>
    </row>
    <row r="259" spans="18:59" x14ac:dyDescent="0.3">
      <c r="R259" s="1018"/>
      <c r="S259" s="1018"/>
      <c r="W259" s="1018"/>
      <c r="X259" s="1018"/>
      <c r="AE259" s="1018"/>
      <c r="AF259" s="1018"/>
      <c r="AV259" s="1018"/>
      <c r="AW259" s="1018"/>
      <c r="AX259" s="1018"/>
      <c r="AY259" s="1018"/>
      <c r="AZ259" s="1018"/>
      <c r="BA259" s="1018"/>
      <c r="BC259" s="1018"/>
      <c r="BE259" s="1018"/>
      <c r="BF259" s="1018"/>
      <c r="BG259" s="1018"/>
    </row>
    <row r="260" spans="18:59" x14ac:dyDescent="0.3">
      <c r="R260" s="1018"/>
      <c r="S260" s="1018"/>
      <c r="W260" s="1018"/>
      <c r="X260" s="1018"/>
      <c r="AE260" s="1018"/>
      <c r="AF260" s="1018"/>
      <c r="AV260" s="1018"/>
      <c r="AW260" s="1018"/>
      <c r="AX260" s="1018"/>
      <c r="AY260" s="1018"/>
      <c r="AZ260" s="1018"/>
      <c r="BA260" s="1018"/>
      <c r="BC260" s="1018"/>
      <c r="BE260" s="1018"/>
      <c r="BF260" s="1018"/>
      <c r="BG260" s="1018"/>
    </row>
    <row r="261" spans="18:59" x14ac:dyDescent="0.3">
      <c r="R261" s="1018"/>
      <c r="S261" s="1018"/>
      <c r="W261" s="1018"/>
      <c r="X261" s="1018"/>
      <c r="AE261" s="1018"/>
      <c r="AF261" s="1018"/>
      <c r="AV261" s="1018"/>
      <c r="AW261" s="1018"/>
      <c r="AX261" s="1018"/>
      <c r="AY261" s="1018"/>
      <c r="AZ261" s="1018"/>
      <c r="BA261" s="1018"/>
      <c r="BC261" s="1018"/>
      <c r="BE261" s="1018"/>
      <c r="BF261" s="1018"/>
      <c r="BG261" s="1018"/>
    </row>
    <row r="262" spans="18:59" x14ac:dyDescent="0.3">
      <c r="R262" s="1018"/>
      <c r="S262" s="1018"/>
      <c r="W262" s="1018"/>
      <c r="X262" s="1018"/>
      <c r="AE262" s="1018"/>
      <c r="AF262" s="1018"/>
      <c r="AV262" s="1018"/>
      <c r="AW262" s="1018"/>
      <c r="AX262" s="1018"/>
      <c r="AY262" s="1018"/>
      <c r="AZ262" s="1018"/>
      <c r="BA262" s="1018"/>
      <c r="BC262" s="1018"/>
      <c r="BE262" s="1018"/>
      <c r="BF262" s="1018"/>
      <c r="BG262" s="1018"/>
    </row>
    <row r="263" spans="18:59" x14ac:dyDescent="0.3">
      <c r="R263" s="1018"/>
      <c r="S263" s="1018"/>
      <c r="W263" s="1018"/>
      <c r="X263" s="1018"/>
      <c r="AE263" s="1018"/>
      <c r="AF263" s="1018"/>
      <c r="AV263" s="1018"/>
      <c r="AW263" s="1018"/>
      <c r="AX263" s="1018"/>
      <c r="AY263" s="1018"/>
      <c r="AZ263" s="1018"/>
      <c r="BA263" s="1018"/>
      <c r="BC263" s="1018"/>
      <c r="BE263" s="1018"/>
      <c r="BF263" s="1018"/>
      <c r="BG263" s="1018"/>
    </row>
    <row r="264" spans="18:59" x14ac:dyDescent="0.3">
      <c r="R264" s="1018"/>
      <c r="S264" s="1018"/>
      <c r="W264" s="1018"/>
      <c r="X264" s="1018"/>
      <c r="AE264" s="1018"/>
      <c r="AF264" s="1018"/>
      <c r="AV264" s="1018"/>
      <c r="AW264" s="1018"/>
      <c r="AX264" s="1018"/>
      <c r="AY264" s="1018"/>
      <c r="AZ264" s="1018"/>
      <c r="BA264" s="1018"/>
      <c r="BC264" s="1018"/>
      <c r="BE264" s="1018"/>
      <c r="BF264" s="1018"/>
      <c r="BG264" s="1018"/>
    </row>
    <row r="265" spans="18:59" x14ac:dyDescent="0.3">
      <c r="R265" s="1018"/>
      <c r="S265" s="1018"/>
      <c r="W265" s="1018"/>
      <c r="X265" s="1018"/>
      <c r="AE265" s="1018"/>
      <c r="AF265" s="1018"/>
      <c r="AV265" s="1018"/>
      <c r="AW265" s="1018"/>
      <c r="AX265" s="1018"/>
      <c r="AY265" s="1018"/>
      <c r="AZ265" s="1018"/>
      <c r="BA265" s="1018"/>
      <c r="BC265" s="1018"/>
      <c r="BE265" s="1018"/>
      <c r="BF265" s="1018"/>
      <c r="BG265" s="1018"/>
    </row>
    <row r="266" spans="18:59" x14ac:dyDescent="0.3">
      <c r="R266" s="1018"/>
      <c r="S266" s="1018"/>
      <c r="W266" s="1018"/>
      <c r="X266" s="1018"/>
      <c r="AE266" s="1018"/>
      <c r="AF266" s="1018"/>
      <c r="AV266" s="1018"/>
      <c r="AW266" s="1018"/>
      <c r="AX266" s="1018"/>
      <c r="AY266" s="1018"/>
      <c r="AZ266" s="1018"/>
      <c r="BA266" s="1018"/>
      <c r="BC266" s="1018"/>
      <c r="BE266" s="1018"/>
      <c r="BF266" s="1018"/>
      <c r="BG266" s="1018"/>
    </row>
    <row r="267" spans="18:59" x14ac:dyDescent="0.3">
      <c r="R267" s="1018"/>
      <c r="S267" s="1018"/>
      <c r="W267" s="1018"/>
      <c r="X267" s="1018"/>
      <c r="AE267" s="1018"/>
      <c r="AF267" s="1018"/>
      <c r="AV267" s="1018"/>
      <c r="AW267" s="1018"/>
      <c r="AX267" s="1018"/>
      <c r="AY267" s="1018"/>
      <c r="AZ267" s="1018"/>
      <c r="BA267" s="1018"/>
      <c r="BC267" s="1018"/>
      <c r="BE267" s="1018"/>
      <c r="BF267" s="1018"/>
      <c r="BG267" s="1018"/>
    </row>
    <row r="268" spans="18:59" x14ac:dyDescent="0.3">
      <c r="R268" s="1018"/>
      <c r="S268" s="1018"/>
      <c r="W268" s="1018"/>
      <c r="X268" s="1018"/>
      <c r="AE268" s="1018"/>
      <c r="AF268" s="1018"/>
      <c r="AV268" s="1018"/>
      <c r="AW268" s="1018"/>
      <c r="AX268" s="1018"/>
      <c r="AY268" s="1018"/>
      <c r="AZ268" s="1018"/>
      <c r="BA268" s="1018"/>
      <c r="BC268" s="1018"/>
      <c r="BE268" s="1018"/>
      <c r="BF268" s="1018"/>
      <c r="BG268" s="1018"/>
    </row>
    <row r="269" spans="18:59" x14ac:dyDescent="0.3">
      <c r="R269" s="1018"/>
      <c r="S269" s="1018"/>
      <c r="W269" s="1018"/>
      <c r="X269" s="1018"/>
      <c r="AE269" s="1018"/>
      <c r="AF269" s="1018"/>
      <c r="AV269" s="1018"/>
      <c r="AW269" s="1018"/>
      <c r="AX269" s="1018"/>
      <c r="AY269" s="1018"/>
      <c r="AZ269" s="1018"/>
      <c r="BA269" s="1018"/>
      <c r="BC269" s="1018"/>
      <c r="BE269" s="1018"/>
      <c r="BF269" s="1018"/>
      <c r="BG269" s="1018"/>
    </row>
    <row r="270" spans="18:59" x14ac:dyDescent="0.3">
      <c r="R270" s="1018"/>
      <c r="S270" s="1018"/>
      <c r="W270" s="1018"/>
      <c r="X270" s="1018"/>
      <c r="AE270" s="1018"/>
      <c r="AF270" s="1018"/>
      <c r="AV270" s="1018"/>
      <c r="AW270" s="1018"/>
      <c r="AX270" s="1018"/>
      <c r="AY270" s="1018"/>
      <c r="AZ270" s="1018"/>
      <c r="BA270" s="1018"/>
      <c r="BC270" s="1018"/>
      <c r="BE270" s="1018"/>
      <c r="BF270" s="1018"/>
      <c r="BG270" s="1018"/>
    </row>
    <row r="271" spans="18:59" x14ac:dyDescent="0.3">
      <c r="R271" s="1018"/>
      <c r="S271" s="1018"/>
      <c r="W271" s="1018"/>
      <c r="X271" s="1018"/>
      <c r="AE271" s="1018"/>
      <c r="AF271" s="1018"/>
      <c r="AV271" s="1018"/>
      <c r="AW271" s="1018"/>
      <c r="AX271" s="1018"/>
      <c r="AY271" s="1018"/>
      <c r="AZ271" s="1018"/>
      <c r="BA271" s="1018"/>
      <c r="BC271" s="1018"/>
      <c r="BE271" s="1018"/>
      <c r="BF271" s="1018"/>
      <c r="BG271" s="1018"/>
    </row>
    <row r="272" spans="18:59" x14ac:dyDescent="0.3">
      <c r="R272" s="1018"/>
      <c r="S272" s="1018"/>
      <c r="W272" s="1018"/>
      <c r="X272" s="1018"/>
      <c r="AE272" s="1018"/>
      <c r="AF272" s="1018"/>
      <c r="AV272" s="1018"/>
      <c r="AW272" s="1018"/>
      <c r="AX272" s="1018"/>
      <c r="AY272" s="1018"/>
      <c r="AZ272" s="1018"/>
      <c r="BA272" s="1018"/>
      <c r="BC272" s="1018"/>
      <c r="BE272" s="1018"/>
      <c r="BF272" s="1018"/>
      <c r="BG272" s="1018"/>
    </row>
    <row r="273" spans="18:59" x14ac:dyDescent="0.3">
      <c r="R273" s="1018"/>
      <c r="S273" s="1018"/>
      <c r="W273" s="1018"/>
      <c r="X273" s="1018"/>
      <c r="AE273" s="1018"/>
      <c r="AF273" s="1018"/>
      <c r="AV273" s="1018"/>
      <c r="AW273" s="1018"/>
      <c r="AX273" s="1018"/>
      <c r="AY273" s="1018"/>
      <c r="AZ273" s="1018"/>
      <c r="BA273" s="1018"/>
      <c r="BC273" s="1018"/>
      <c r="BE273" s="1018"/>
      <c r="BF273" s="1018"/>
      <c r="BG273" s="1018"/>
    </row>
    <row r="274" spans="18:59" x14ac:dyDescent="0.3">
      <c r="R274" s="1018"/>
      <c r="S274" s="1018"/>
      <c r="W274" s="1018"/>
      <c r="X274" s="1018"/>
      <c r="AE274" s="1018"/>
      <c r="AF274" s="1018"/>
      <c r="AV274" s="1018"/>
      <c r="AW274" s="1018"/>
      <c r="AX274" s="1018"/>
      <c r="AY274" s="1018"/>
      <c r="AZ274" s="1018"/>
      <c r="BA274" s="1018"/>
      <c r="BC274" s="1018"/>
      <c r="BE274" s="1018"/>
      <c r="BF274" s="1018"/>
      <c r="BG274" s="1018"/>
    </row>
    <row r="275" spans="18:59" x14ac:dyDescent="0.3">
      <c r="R275" s="1018"/>
      <c r="S275" s="1018"/>
      <c r="W275" s="1018"/>
      <c r="X275" s="1018"/>
      <c r="AE275" s="1018"/>
      <c r="AF275" s="1018"/>
      <c r="AV275" s="1018"/>
      <c r="AW275" s="1018"/>
      <c r="AX275" s="1018"/>
      <c r="AY275" s="1018"/>
      <c r="AZ275" s="1018"/>
      <c r="BA275" s="1018"/>
      <c r="BC275" s="1018"/>
      <c r="BE275" s="1018"/>
      <c r="BF275" s="1018"/>
      <c r="BG275" s="1018"/>
    </row>
    <row r="276" spans="18:59" x14ac:dyDescent="0.3">
      <c r="R276" s="1018"/>
      <c r="S276" s="1018"/>
      <c r="W276" s="1018"/>
      <c r="X276" s="1018"/>
      <c r="AE276" s="1018"/>
      <c r="AF276" s="1018"/>
      <c r="AV276" s="1018"/>
      <c r="AW276" s="1018"/>
      <c r="AX276" s="1018"/>
      <c r="AY276" s="1018"/>
      <c r="AZ276" s="1018"/>
      <c r="BA276" s="1018"/>
      <c r="BC276" s="1018"/>
      <c r="BE276" s="1018"/>
      <c r="BF276" s="1018"/>
      <c r="BG276" s="1018"/>
    </row>
    <row r="277" spans="18:59" x14ac:dyDescent="0.3">
      <c r="R277" s="1018"/>
      <c r="S277" s="1018"/>
      <c r="W277" s="1018"/>
      <c r="X277" s="1018"/>
      <c r="AE277" s="1018"/>
      <c r="AF277" s="1018"/>
      <c r="AV277" s="1018"/>
      <c r="AW277" s="1018"/>
      <c r="AX277" s="1018"/>
      <c r="AY277" s="1018"/>
      <c r="AZ277" s="1018"/>
      <c r="BA277" s="1018"/>
      <c r="BC277" s="1018"/>
      <c r="BE277" s="1018"/>
      <c r="BF277" s="1018"/>
      <c r="BG277" s="1018"/>
    </row>
    <row r="278" spans="18:59" x14ac:dyDescent="0.3">
      <c r="R278" s="1018"/>
      <c r="S278" s="1018"/>
      <c r="W278" s="1018"/>
      <c r="X278" s="1018"/>
      <c r="AE278" s="1018"/>
      <c r="AF278" s="1018"/>
      <c r="AV278" s="1018"/>
      <c r="AW278" s="1018"/>
      <c r="AX278" s="1018"/>
      <c r="AY278" s="1018"/>
      <c r="AZ278" s="1018"/>
      <c r="BA278" s="1018"/>
      <c r="BC278" s="1018"/>
      <c r="BE278" s="1018"/>
      <c r="BF278" s="1018"/>
      <c r="BG278" s="1018"/>
    </row>
    <row r="279" spans="18:59" x14ac:dyDescent="0.3">
      <c r="R279" s="1018"/>
      <c r="S279" s="1018"/>
      <c r="W279" s="1018"/>
      <c r="X279" s="1018"/>
      <c r="AE279" s="1018"/>
      <c r="AF279" s="1018"/>
      <c r="AV279" s="1018"/>
      <c r="AW279" s="1018"/>
      <c r="AX279" s="1018"/>
      <c r="AY279" s="1018"/>
      <c r="AZ279" s="1018"/>
      <c r="BA279" s="1018"/>
      <c r="BC279" s="1018"/>
      <c r="BE279" s="1018"/>
      <c r="BF279" s="1018"/>
      <c r="BG279" s="1018"/>
    </row>
    <row r="280" spans="18:59" x14ac:dyDescent="0.3">
      <c r="R280" s="1018"/>
      <c r="S280" s="1018"/>
      <c r="W280" s="1018"/>
      <c r="X280" s="1018"/>
      <c r="AE280" s="1018"/>
      <c r="AF280" s="1018"/>
      <c r="AV280" s="1018"/>
      <c r="AW280" s="1018"/>
      <c r="AX280" s="1018"/>
      <c r="AY280" s="1018"/>
      <c r="AZ280" s="1018"/>
      <c r="BA280" s="1018"/>
      <c r="BC280" s="1018"/>
      <c r="BE280" s="1018"/>
      <c r="BF280" s="1018"/>
      <c r="BG280" s="1018"/>
    </row>
    <row r="281" spans="18:59" x14ac:dyDescent="0.3">
      <c r="R281" s="1018"/>
      <c r="S281" s="1018"/>
      <c r="W281" s="1018"/>
      <c r="X281" s="1018"/>
      <c r="AE281" s="1018"/>
      <c r="AF281" s="1018"/>
      <c r="AV281" s="1018"/>
      <c r="AW281" s="1018"/>
      <c r="AX281" s="1018"/>
      <c r="AY281" s="1018"/>
      <c r="AZ281" s="1018"/>
      <c r="BA281" s="1018"/>
      <c r="BC281" s="1018"/>
      <c r="BE281" s="1018"/>
      <c r="BF281" s="1018"/>
      <c r="BG281" s="1018"/>
    </row>
    <row r="282" spans="18:59" x14ac:dyDescent="0.3">
      <c r="R282" s="1018"/>
      <c r="S282" s="1018"/>
      <c r="W282" s="1018"/>
      <c r="X282" s="1018"/>
      <c r="AE282" s="1018"/>
      <c r="AF282" s="1018"/>
      <c r="AV282" s="1018"/>
      <c r="AW282" s="1018"/>
      <c r="AX282" s="1018"/>
      <c r="AY282" s="1018"/>
      <c r="AZ282" s="1018"/>
      <c r="BA282" s="1018"/>
      <c r="BC282" s="1018"/>
      <c r="BE282" s="1018"/>
      <c r="BF282" s="1018"/>
      <c r="BG282" s="1018"/>
    </row>
    <row r="283" spans="18:59" x14ac:dyDescent="0.3">
      <c r="R283" s="1018"/>
      <c r="S283" s="1018"/>
      <c r="W283" s="1018"/>
      <c r="X283" s="1018"/>
      <c r="AE283" s="1018"/>
      <c r="AF283" s="1018"/>
      <c r="AV283" s="1018"/>
      <c r="AW283" s="1018"/>
      <c r="AX283" s="1018"/>
      <c r="AY283" s="1018"/>
      <c r="AZ283" s="1018"/>
      <c r="BA283" s="1018"/>
      <c r="BC283" s="1018"/>
      <c r="BE283" s="1018"/>
      <c r="BF283" s="1018"/>
      <c r="BG283" s="1018"/>
    </row>
    <row r="284" spans="18:59" x14ac:dyDescent="0.3">
      <c r="R284" s="1018"/>
      <c r="S284" s="1018"/>
      <c r="W284" s="1018"/>
      <c r="X284" s="1018"/>
      <c r="AE284" s="1018"/>
      <c r="AF284" s="1018"/>
      <c r="AV284" s="1018"/>
      <c r="AW284" s="1018"/>
      <c r="AX284" s="1018"/>
      <c r="AY284" s="1018"/>
      <c r="AZ284" s="1018"/>
      <c r="BA284" s="1018"/>
      <c r="BC284" s="1018"/>
      <c r="BE284" s="1018"/>
      <c r="BF284" s="1018"/>
      <c r="BG284" s="1018"/>
    </row>
    <row r="285" spans="18:59" x14ac:dyDescent="0.3">
      <c r="R285" s="1018"/>
      <c r="S285" s="1018"/>
      <c r="W285" s="1018"/>
      <c r="X285" s="1018"/>
      <c r="AE285" s="1018"/>
      <c r="AF285" s="1018"/>
      <c r="AV285" s="1018"/>
      <c r="AW285" s="1018"/>
      <c r="AX285" s="1018"/>
      <c r="AY285" s="1018"/>
      <c r="AZ285" s="1018"/>
      <c r="BA285" s="1018"/>
      <c r="BC285" s="1018"/>
      <c r="BE285" s="1018"/>
      <c r="BF285" s="1018"/>
      <c r="BG285" s="1018"/>
    </row>
    <row r="286" spans="18:59" x14ac:dyDescent="0.3">
      <c r="R286" s="1018"/>
      <c r="S286" s="1018"/>
      <c r="W286" s="1018"/>
      <c r="X286" s="1018"/>
      <c r="AE286" s="1018"/>
      <c r="AF286" s="1018"/>
      <c r="AV286" s="1018"/>
      <c r="AW286" s="1018"/>
      <c r="AX286" s="1018"/>
      <c r="AY286" s="1018"/>
      <c r="AZ286" s="1018"/>
      <c r="BA286" s="1018"/>
      <c r="BC286" s="1018"/>
      <c r="BE286" s="1018"/>
      <c r="BF286" s="1018"/>
      <c r="BG286" s="1018"/>
    </row>
    <row r="287" spans="18:59" x14ac:dyDescent="0.3">
      <c r="R287" s="1018"/>
      <c r="S287" s="1018"/>
      <c r="W287" s="1018"/>
      <c r="X287" s="1018"/>
      <c r="AE287" s="1018"/>
      <c r="AF287" s="1018"/>
      <c r="AV287" s="1018"/>
      <c r="AW287" s="1018"/>
      <c r="AX287" s="1018"/>
      <c r="AY287" s="1018"/>
      <c r="AZ287" s="1018"/>
      <c r="BA287" s="1018"/>
      <c r="BC287" s="1018"/>
      <c r="BE287" s="1018"/>
      <c r="BF287" s="1018"/>
      <c r="BG287" s="1018"/>
    </row>
    <row r="288" spans="18:59" x14ac:dyDescent="0.3">
      <c r="R288" s="1018"/>
      <c r="S288" s="1018"/>
      <c r="W288" s="1018"/>
      <c r="X288" s="1018"/>
      <c r="AE288" s="1018"/>
      <c r="AF288" s="1018"/>
      <c r="AV288" s="1018"/>
      <c r="AW288" s="1018"/>
      <c r="AX288" s="1018"/>
      <c r="AY288" s="1018"/>
      <c r="AZ288" s="1018"/>
      <c r="BA288" s="1018"/>
      <c r="BC288" s="1018"/>
      <c r="BE288" s="1018"/>
      <c r="BF288" s="1018"/>
      <c r="BG288" s="1018"/>
    </row>
    <row r="289" spans="18:59" x14ac:dyDescent="0.3">
      <c r="R289" s="1018"/>
      <c r="S289" s="1018"/>
      <c r="W289" s="1018"/>
      <c r="X289" s="1018"/>
      <c r="AE289" s="1018"/>
      <c r="AF289" s="1018"/>
      <c r="AV289" s="1018"/>
      <c r="AW289" s="1018"/>
      <c r="AX289" s="1018"/>
      <c r="AY289" s="1018"/>
      <c r="AZ289" s="1018"/>
      <c r="BA289" s="1018"/>
      <c r="BC289" s="1018"/>
      <c r="BE289" s="1018"/>
      <c r="BF289" s="1018"/>
      <c r="BG289" s="1018"/>
    </row>
    <row r="290" spans="18:59" x14ac:dyDescent="0.3">
      <c r="R290" s="1018"/>
      <c r="S290" s="1018"/>
      <c r="W290" s="1018"/>
      <c r="X290" s="1018"/>
      <c r="AE290" s="1018"/>
      <c r="AF290" s="1018"/>
      <c r="AV290" s="1018"/>
      <c r="AW290" s="1018"/>
      <c r="AX290" s="1018"/>
      <c r="AY290" s="1018"/>
      <c r="AZ290" s="1018"/>
      <c r="BA290" s="1018"/>
      <c r="BC290" s="1018"/>
      <c r="BE290" s="1018"/>
      <c r="BF290" s="1018"/>
      <c r="BG290" s="1018"/>
    </row>
    <row r="291" spans="18:59" x14ac:dyDescent="0.3">
      <c r="R291" s="1018"/>
      <c r="S291" s="1018"/>
      <c r="W291" s="1018"/>
      <c r="X291" s="1018"/>
      <c r="AE291" s="1018"/>
      <c r="AF291" s="1018"/>
      <c r="AV291" s="1018"/>
      <c r="AW291" s="1018"/>
      <c r="AX291" s="1018"/>
      <c r="AY291" s="1018"/>
      <c r="AZ291" s="1018"/>
      <c r="BA291" s="1018"/>
      <c r="BC291" s="1018"/>
      <c r="BE291" s="1018"/>
      <c r="BF291" s="1018"/>
      <c r="BG291" s="1018"/>
    </row>
    <row r="292" spans="18:59" x14ac:dyDescent="0.3">
      <c r="R292" s="1018"/>
      <c r="S292" s="1018"/>
      <c r="W292" s="1018"/>
      <c r="X292" s="1018"/>
      <c r="AE292" s="1018"/>
      <c r="AF292" s="1018"/>
      <c r="AV292" s="1018"/>
      <c r="AW292" s="1018"/>
      <c r="AX292" s="1018"/>
      <c r="AY292" s="1018"/>
      <c r="AZ292" s="1018"/>
      <c r="BA292" s="1018"/>
      <c r="BC292" s="1018"/>
      <c r="BE292" s="1018"/>
      <c r="BF292" s="1018"/>
      <c r="BG292" s="1018"/>
    </row>
    <row r="293" spans="18:59" x14ac:dyDescent="0.3">
      <c r="R293" s="1018"/>
      <c r="S293" s="1018"/>
      <c r="W293" s="1018"/>
      <c r="X293" s="1018"/>
      <c r="AE293" s="1018"/>
      <c r="AF293" s="1018"/>
      <c r="AV293" s="1018"/>
      <c r="AW293" s="1018"/>
      <c r="AX293" s="1018"/>
      <c r="AY293" s="1018"/>
      <c r="AZ293" s="1018"/>
      <c r="BA293" s="1018"/>
      <c r="BC293" s="1018"/>
      <c r="BE293" s="1018"/>
      <c r="BF293" s="1018"/>
      <c r="BG293" s="1018"/>
    </row>
    <row r="294" spans="18:59" x14ac:dyDescent="0.3">
      <c r="R294" s="1018"/>
      <c r="S294" s="1018"/>
      <c r="W294" s="1018"/>
      <c r="X294" s="1018"/>
      <c r="AE294" s="1018"/>
      <c r="AF294" s="1018"/>
      <c r="AV294" s="1018"/>
      <c r="AW294" s="1018"/>
      <c r="AX294" s="1018"/>
      <c r="AY294" s="1018"/>
      <c r="AZ294" s="1018"/>
      <c r="BA294" s="1018"/>
      <c r="BC294" s="1018"/>
      <c r="BE294" s="1018"/>
      <c r="BF294" s="1018"/>
      <c r="BG294" s="1018"/>
    </row>
    <row r="295" spans="18:59" x14ac:dyDescent="0.3">
      <c r="R295" s="1018"/>
      <c r="S295" s="1018"/>
      <c r="W295" s="1018"/>
      <c r="X295" s="1018"/>
      <c r="AE295" s="1018"/>
      <c r="AF295" s="1018"/>
      <c r="AV295" s="1018"/>
      <c r="AW295" s="1018"/>
      <c r="AX295" s="1018"/>
      <c r="AY295" s="1018"/>
      <c r="AZ295" s="1018"/>
      <c r="BA295" s="1018"/>
      <c r="BC295" s="1018"/>
      <c r="BE295" s="1018"/>
      <c r="BF295" s="1018"/>
      <c r="BG295" s="1018"/>
    </row>
    <row r="296" spans="18:59" x14ac:dyDescent="0.3">
      <c r="R296" s="1018"/>
      <c r="S296" s="1018"/>
      <c r="W296" s="1018"/>
      <c r="X296" s="1018"/>
      <c r="AE296" s="1018"/>
      <c r="AF296" s="1018"/>
      <c r="AV296" s="1018"/>
      <c r="AW296" s="1018"/>
      <c r="AX296" s="1018"/>
      <c r="AY296" s="1018"/>
      <c r="AZ296" s="1018"/>
      <c r="BA296" s="1018"/>
      <c r="BC296" s="1018"/>
      <c r="BE296" s="1018"/>
      <c r="BF296" s="1018"/>
      <c r="BG296" s="1018"/>
    </row>
    <row r="297" spans="18:59" x14ac:dyDescent="0.3">
      <c r="R297" s="1018"/>
      <c r="S297" s="1018"/>
      <c r="W297" s="1018"/>
      <c r="X297" s="1018"/>
      <c r="AE297" s="1018"/>
      <c r="AF297" s="1018"/>
      <c r="AV297" s="1018"/>
      <c r="AW297" s="1018"/>
      <c r="AX297" s="1018"/>
      <c r="AY297" s="1018"/>
      <c r="AZ297" s="1018"/>
      <c r="BA297" s="1018"/>
      <c r="BC297" s="1018"/>
      <c r="BE297" s="1018"/>
      <c r="BF297" s="1018"/>
      <c r="BG297" s="1018"/>
    </row>
    <row r="298" spans="18:59" x14ac:dyDescent="0.3">
      <c r="R298" s="1018"/>
      <c r="S298" s="1018"/>
      <c r="W298" s="1018"/>
      <c r="X298" s="1018"/>
      <c r="AE298" s="1018"/>
      <c r="AF298" s="1018"/>
      <c r="AV298" s="1018"/>
      <c r="AW298" s="1018"/>
      <c r="AX298" s="1018"/>
      <c r="AY298" s="1018"/>
      <c r="AZ298" s="1018"/>
      <c r="BA298" s="1018"/>
      <c r="BC298" s="1018"/>
      <c r="BE298" s="1018"/>
      <c r="BF298" s="1018"/>
      <c r="BG298" s="1018"/>
    </row>
    <row r="299" spans="18:59" x14ac:dyDescent="0.3">
      <c r="R299" s="1018"/>
      <c r="S299" s="1018"/>
      <c r="W299" s="1018"/>
      <c r="X299" s="1018"/>
      <c r="AE299" s="1018"/>
      <c r="AF299" s="1018"/>
      <c r="AV299" s="1018"/>
      <c r="AW299" s="1018"/>
      <c r="AX299" s="1018"/>
      <c r="AY299" s="1018"/>
      <c r="AZ299" s="1018"/>
      <c r="BA299" s="1018"/>
      <c r="BC299" s="1018"/>
      <c r="BE299" s="1018"/>
      <c r="BF299" s="1018"/>
      <c r="BG299" s="1018"/>
    </row>
    <row r="300" spans="18:59" x14ac:dyDescent="0.3">
      <c r="R300" s="1018"/>
      <c r="S300" s="1018"/>
      <c r="W300" s="1018"/>
      <c r="X300" s="1018"/>
      <c r="AE300" s="1018"/>
      <c r="AF300" s="1018"/>
      <c r="AV300" s="1018"/>
      <c r="AW300" s="1018"/>
      <c r="AX300" s="1018"/>
      <c r="AY300" s="1018"/>
      <c r="AZ300" s="1018"/>
      <c r="BA300" s="1018"/>
      <c r="BC300" s="1018"/>
      <c r="BE300" s="1018"/>
      <c r="BF300" s="1018"/>
      <c r="BG300" s="1018"/>
    </row>
    <row r="301" spans="18:59" x14ac:dyDescent="0.3">
      <c r="R301" s="1018"/>
      <c r="S301" s="1018"/>
      <c r="W301" s="1018"/>
      <c r="X301" s="1018"/>
      <c r="AE301" s="1018"/>
      <c r="AF301" s="1018"/>
      <c r="AV301" s="1018"/>
      <c r="AW301" s="1018"/>
      <c r="AX301" s="1018"/>
      <c r="AY301" s="1018"/>
      <c r="AZ301" s="1018"/>
      <c r="BA301" s="1018"/>
      <c r="BC301" s="1018"/>
      <c r="BE301" s="1018"/>
      <c r="BF301" s="1018"/>
      <c r="BG301" s="1018"/>
    </row>
    <row r="302" spans="18:59" x14ac:dyDescent="0.3">
      <c r="R302" s="1018"/>
      <c r="S302" s="1018"/>
      <c r="W302" s="1018"/>
      <c r="X302" s="1018"/>
      <c r="AE302" s="1018"/>
      <c r="AF302" s="1018"/>
      <c r="AV302" s="1018"/>
      <c r="AW302" s="1018"/>
      <c r="AX302" s="1018"/>
      <c r="AY302" s="1018"/>
      <c r="AZ302" s="1018"/>
      <c r="BA302" s="1018"/>
      <c r="BC302" s="1018"/>
      <c r="BE302" s="1018"/>
      <c r="BF302" s="1018"/>
      <c r="BG302" s="1018"/>
    </row>
    <row r="303" spans="18:59" x14ac:dyDescent="0.3">
      <c r="R303" s="1018"/>
      <c r="S303" s="1018"/>
      <c r="W303" s="1018"/>
      <c r="X303" s="1018"/>
      <c r="AE303" s="1018"/>
      <c r="AF303" s="1018"/>
      <c r="AV303" s="1018"/>
      <c r="AW303" s="1018"/>
      <c r="AX303" s="1018"/>
      <c r="AY303" s="1018"/>
      <c r="AZ303" s="1018"/>
      <c r="BA303" s="1018"/>
      <c r="BC303" s="1018"/>
      <c r="BE303" s="1018"/>
      <c r="BF303" s="1018"/>
      <c r="BG303" s="1018"/>
    </row>
    <row r="304" spans="18:59" x14ac:dyDescent="0.3">
      <c r="R304" s="1018"/>
      <c r="S304" s="1018"/>
      <c r="W304" s="1018"/>
      <c r="X304" s="1018"/>
      <c r="AE304" s="1018"/>
      <c r="AF304" s="1018"/>
      <c r="AV304" s="1018"/>
      <c r="AW304" s="1018"/>
      <c r="AX304" s="1018"/>
      <c r="AY304" s="1018"/>
      <c r="AZ304" s="1018"/>
      <c r="BA304" s="1018"/>
      <c r="BC304" s="1018"/>
      <c r="BE304" s="1018"/>
      <c r="BF304" s="1018"/>
      <c r="BG304" s="1018"/>
    </row>
    <row r="305" spans="18:59" x14ac:dyDescent="0.3">
      <c r="R305" s="1018"/>
      <c r="S305" s="1018"/>
      <c r="W305" s="1018"/>
      <c r="X305" s="1018"/>
      <c r="AE305" s="1018"/>
      <c r="AF305" s="1018"/>
      <c r="AV305" s="1018"/>
      <c r="AW305" s="1018"/>
      <c r="AX305" s="1018"/>
      <c r="AY305" s="1018"/>
      <c r="AZ305" s="1018"/>
      <c r="BA305" s="1018"/>
      <c r="BC305" s="1018"/>
      <c r="BE305" s="1018"/>
      <c r="BF305" s="1018"/>
      <c r="BG305" s="1018"/>
    </row>
    <row r="306" spans="18:59" x14ac:dyDescent="0.3">
      <c r="R306" s="1018"/>
      <c r="S306" s="1018"/>
      <c r="W306" s="1018"/>
      <c r="X306" s="1018"/>
      <c r="AE306" s="1018"/>
      <c r="AF306" s="1018"/>
      <c r="AV306" s="1018"/>
      <c r="AW306" s="1018"/>
      <c r="AX306" s="1018"/>
      <c r="AY306" s="1018"/>
      <c r="AZ306" s="1018"/>
      <c r="BA306" s="1018"/>
      <c r="BC306" s="1018"/>
      <c r="BE306" s="1018"/>
      <c r="BF306" s="1018"/>
      <c r="BG306" s="1018"/>
    </row>
    <row r="307" spans="18:59" x14ac:dyDescent="0.3">
      <c r="R307" s="1018"/>
      <c r="S307" s="1018"/>
      <c r="W307" s="1018"/>
      <c r="X307" s="1018"/>
      <c r="AE307" s="1018"/>
      <c r="AF307" s="1018"/>
      <c r="AV307" s="1018"/>
      <c r="AW307" s="1018"/>
      <c r="AX307" s="1018"/>
      <c r="AY307" s="1018"/>
      <c r="AZ307" s="1018"/>
      <c r="BA307" s="1018"/>
      <c r="BC307" s="1018"/>
      <c r="BE307" s="1018"/>
      <c r="BF307" s="1018"/>
      <c r="BG307" s="1018"/>
    </row>
    <row r="308" spans="18:59" x14ac:dyDescent="0.3">
      <c r="R308" s="1018"/>
      <c r="S308" s="1018"/>
      <c r="W308" s="1018"/>
      <c r="X308" s="1018"/>
      <c r="AE308" s="1018"/>
      <c r="AF308" s="1018"/>
      <c r="AV308" s="1018"/>
      <c r="AW308" s="1018"/>
      <c r="AX308" s="1018"/>
      <c r="AY308" s="1018"/>
      <c r="AZ308" s="1018"/>
      <c r="BA308" s="1018"/>
      <c r="BC308" s="1018"/>
      <c r="BE308" s="1018"/>
      <c r="BF308" s="1018"/>
      <c r="BG308" s="1018"/>
    </row>
    <row r="309" spans="18:59" x14ac:dyDescent="0.3">
      <c r="R309" s="1018"/>
      <c r="S309" s="1018"/>
      <c r="W309" s="1018"/>
      <c r="X309" s="1018"/>
      <c r="AE309" s="1018"/>
      <c r="AF309" s="1018"/>
      <c r="AV309" s="1018"/>
      <c r="AW309" s="1018"/>
      <c r="AX309" s="1018"/>
      <c r="AY309" s="1018"/>
      <c r="AZ309" s="1018"/>
      <c r="BA309" s="1018"/>
      <c r="BC309" s="1018"/>
      <c r="BE309" s="1018"/>
      <c r="BF309" s="1018"/>
      <c r="BG309" s="1018"/>
    </row>
    <row r="310" spans="18:59" x14ac:dyDescent="0.3">
      <c r="R310" s="1018"/>
      <c r="S310" s="1018"/>
      <c r="W310" s="1018"/>
      <c r="X310" s="1018"/>
      <c r="AE310" s="1018"/>
      <c r="AF310" s="1018"/>
      <c r="AV310" s="1018"/>
      <c r="AW310" s="1018"/>
      <c r="AX310" s="1018"/>
      <c r="AY310" s="1018"/>
      <c r="AZ310" s="1018"/>
      <c r="BA310" s="1018"/>
      <c r="BC310" s="1018"/>
      <c r="BE310" s="1018"/>
      <c r="BF310" s="1018"/>
      <c r="BG310" s="1018"/>
    </row>
    <row r="311" spans="18:59" x14ac:dyDescent="0.3">
      <c r="R311" s="1018"/>
      <c r="S311" s="1018"/>
      <c r="W311" s="1018"/>
      <c r="X311" s="1018"/>
      <c r="AE311" s="1018"/>
      <c r="AF311" s="1018"/>
      <c r="AV311" s="1018"/>
      <c r="AW311" s="1018"/>
      <c r="AX311" s="1018"/>
      <c r="AY311" s="1018"/>
      <c r="AZ311" s="1018"/>
      <c r="BA311" s="1018"/>
      <c r="BC311" s="1018"/>
      <c r="BE311" s="1018"/>
      <c r="BF311" s="1018"/>
      <c r="BG311" s="1018"/>
    </row>
    <row r="312" spans="18:59" x14ac:dyDescent="0.3">
      <c r="R312" s="1018"/>
      <c r="S312" s="1018"/>
      <c r="W312" s="1018"/>
      <c r="X312" s="1018"/>
      <c r="AE312" s="1018"/>
      <c r="AF312" s="1018"/>
      <c r="AV312" s="1018"/>
      <c r="AW312" s="1018"/>
      <c r="AX312" s="1018"/>
      <c r="AY312" s="1018"/>
      <c r="AZ312" s="1018"/>
      <c r="BA312" s="1018"/>
      <c r="BC312" s="1018"/>
      <c r="BE312" s="1018"/>
      <c r="BF312" s="1018"/>
      <c r="BG312" s="1018"/>
    </row>
    <row r="313" spans="18:59" x14ac:dyDescent="0.3">
      <c r="R313" s="1018"/>
      <c r="S313" s="1018"/>
      <c r="W313" s="1018"/>
      <c r="X313" s="1018"/>
      <c r="AE313" s="1018"/>
      <c r="AF313" s="1018"/>
      <c r="AV313" s="1018"/>
      <c r="AW313" s="1018"/>
      <c r="AX313" s="1018"/>
      <c r="AY313" s="1018"/>
      <c r="AZ313" s="1018"/>
      <c r="BA313" s="1018"/>
      <c r="BC313" s="1018"/>
      <c r="BE313" s="1018"/>
      <c r="BF313" s="1018"/>
      <c r="BG313" s="1018"/>
    </row>
    <row r="314" spans="18:59" x14ac:dyDescent="0.3">
      <c r="R314" s="1018"/>
      <c r="S314" s="1018"/>
      <c r="W314" s="1018"/>
      <c r="X314" s="1018"/>
      <c r="AE314" s="1018"/>
      <c r="AF314" s="1018"/>
      <c r="AV314" s="1018"/>
      <c r="AW314" s="1018"/>
      <c r="AX314" s="1018"/>
      <c r="AY314" s="1018"/>
      <c r="AZ314" s="1018"/>
      <c r="BA314" s="1018"/>
      <c r="BC314" s="1018"/>
      <c r="BE314" s="1018"/>
      <c r="BF314" s="1018"/>
      <c r="BG314" s="1018"/>
    </row>
    <row r="315" spans="18:59" x14ac:dyDescent="0.3">
      <c r="R315" s="1018"/>
      <c r="S315" s="1018"/>
      <c r="W315" s="1018"/>
      <c r="X315" s="1018"/>
      <c r="AE315" s="1018"/>
      <c r="AF315" s="1018"/>
      <c r="AV315" s="1018"/>
      <c r="AW315" s="1018"/>
      <c r="AX315" s="1018"/>
      <c r="AY315" s="1018"/>
      <c r="AZ315" s="1018"/>
      <c r="BA315" s="1018"/>
      <c r="BC315" s="1018"/>
      <c r="BE315" s="1018"/>
      <c r="BF315" s="1018"/>
      <c r="BG315" s="1018"/>
    </row>
    <row r="316" spans="18:59" x14ac:dyDescent="0.3">
      <c r="R316" s="1018"/>
      <c r="S316" s="1018"/>
      <c r="W316" s="1018"/>
      <c r="X316" s="1018"/>
      <c r="AE316" s="1018"/>
      <c r="AF316" s="1018"/>
      <c r="AV316" s="1018"/>
      <c r="AW316" s="1018"/>
      <c r="AX316" s="1018"/>
      <c r="AY316" s="1018"/>
      <c r="AZ316" s="1018"/>
      <c r="BA316" s="1018"/>
      <c r="BC316" s="1018"/>
      <c r="BE316" s="1018"/>
      <c r="BF316" s="1018"/>
      <c r="BG316" s="1018"/>
    </row>
    <row r="317" spans="18:59" x14ac:dyDescent="0.3">
      <c r="R317" s="1018"/>
      <c r="S317" s="1018"/>
      <c r="W317" s="1018"/>
      <c r="X317" s="1018"/>
      <c r="AE317" s="1018"/>
      <c r="AF317" s="1018"/>
      <c r="AV317" s="1018"/>
      <c r="AW317" s="1018"/>
      <c r="AX317" s="1018"/>
      <c r="AY317" s="1018"/>
      <c r="AZ317" s="1018"/>
      <c r="BA317" s="1018"/>
      <c r="BC317" s="1018"/>
      <c r="BE317" s="1018"/>
      <c r="BF317" s="1018"/>
      <c r="BG317" s="1018"/>
    </row>
    <row r="318" spans="18:59" x14ac:dyDescent="0.3">
      <c r="R318" s="1018"/>
      <c r="S318" s="1018"/>
      <c r="W318" s="1018"/>
      <c r="X318" s="1018"/>
      <c r="AE318" s="1018"/>
      <c r="AF318" s="1018"/>
      <c r="AV318" s="1018"/>
      <c r="AW318" s="1018"/>
      <c r="AX318" s="1018"/>
      <c r="AY318" s="1018"/>
      <c r="AZ318" s="1018"/>
      <c r="BA318" s="1018"/>
      <c r="BC318" s="1018"/>
      <c r="BE318" s="1018"/>
      <c r="BF318" s="1018"/>
      <c r="BG318" s="1018"/>
    </row>
    <row r="319" spans="18:59" x14ac:dyDescent="0.3">
      <c r="R319" s="1018"/>
      <c r="S319" s="1018"/>
      <c r="W319" s="1018"/>
      <c r="X319" s="1018"/>
      <c r="AE319" s="1018"/>
      <c r="AF319" s="1018"/>
      <c r="AV319" s="1018"/>
      <c r="AW319" s="1018"/>
      <c r="AX319" s="1018"/>
      <c r="AY319" s="1018"/>
      <c r="AZ319" s="1018"/>
      <c r="BA319" s="1018"/>
      <c r="BC319" s="1018"/>
      <c r="BE319" s="1018"/>
      <c r="BF319" s="1018"/>
      <c r="BG319" s="1018"/>
    </row>
    <row r="320" spans="18:59" x14ac:dyDescent="0.3">
      <c r="R320" s="1018"/>
      <c r="S320" s="1018"/>
      <c r="W320" s="1018"/>
      <c r="X320" s="1018"/>
      <c r="AE320" s="1018"/>
      <c r="AF320" s="1018"/>
      <c r="AV320" s="1018"/>
      <c r="AW320" s="1018"/>
      <c r="AX320" s="1018"/>
      <c r="AY320" s="1018"/>
      <c r="AZ320" s="1018"/>
      <c r="BA320" s="1018"/>
      <c r="BC320" s="1018"/>
      <c r="BE320" s="1018"/>
      <c r="BF320" s="1018"/>
      <c r="BG320" s="1018"/>
    </row>
    <row r="321" spans="18:59" x14ac:dyDescent="0.3">
      <c r="R321" s="1018"/>
      <c r="S321" s="1018"/>
      <c r="W321" s="1018"/>
      <c r="X321" s="1018"/>
      <c r="AE321" s="1018"/>
      <c r="AF321" s="1018"/>
      <c r="AV321" s="1018"/>
      <c r="AW321" s="1018"/>
      <c r="AX321" s="1018"/>
      <c r="AY321" s="1018"/>
      <c r="AZ321" s="1018"/>
      <c r="BA321" s="1018"/>
      <c r="BC321" s="1018"/>
      <c r="BE321" s="1018"/>
      <c r="BF321" s="1018"/>
      <c r="BG321" s="1018"/>
    </row>
    <row r="322" spans="18:59" x14ac:dyDescent="0.3">
      <c r="R322" s="1018"/>
      <c r="S322" s="1018"/>
      <c r="W322" s="1018"/>
      <c r="X322" s="1018"/>
      <c r="AE322" s="1018"/>
      <c r="AF322" s="1018"/>
      <c r="AV322" s="1018"/>
      <c r="AW322" s="1018"/>
      <c r="AX322" s="1018"/>
      <c r="AY322" s="1018"/>
      <c r="AZ322" s="1018"/>
      <c r="BA322" s="1018"/>
      <c r="BC322" s="1018"/>
      <c r="BE322" s="1018"/>
      <c r="BF322" s="1018"/>
      <c r="BG322" s="1018"/>
    </row>
    <row r="323" spans="18:59" x14ac:dyDescent="0.3">
      <c r="R323" s="1018"/>
      <c r="S323" s="1018"/>
      <c r="W323" s="1018"/>
      <c r="X323" s="1018"/>
      <c r="AE323" s="1018"/>
      <c r="AF323" s="1018"/>
      <c r="AV323" s="1018"/>
      <c r="AW323" s="1018"/>
      <c r="AX323" s="1018"/>
      <c r="AY323" s="1018"/>
      <c r="AZ323" s="1018"/>
      <c r="BA323" s="1018"/>
      <c r="BC323" s="1018"/>
      <c r="BE323" s="1018"/>
      <c r="BF323" s="1018"/>
      <c r="BG323" s="1018"/>
    </row>
    <row r="324" spans="18:59" x14ac:dyDescent="0.3">
      <c r="R324" s="1018"/>
      <c r="S324" s="1018"/>
      <c r="W324" s="1018"/>
      <c r="X324" s="1018"/>
      <c r="AE324" s="1018"/>
      <c r="AF324" s="1018"/>
      <c r="AV324" s="1018"/>
      <c r="AW324" s="1018"/>
      <c r="AX324" s="1018"/>
      <c r="AY324" s="1018"/>
      <c r="AZ324" s="1018"/>
      <c r="BA324" s="1018"/>
      <c r="BC324" s="1018"/>
      <c r="BE324" s="1018"/>
      <c r="BF324" s="1018"/>
      <c r="BG324" s="1018"/>
    </row>
    <row r="325" spans="18:59" x14ac:dyDescent="0.3">
      <c r="R325" s="1018"/>
      <c r="S325" s="1018"/>
      <c r="W325" s="1018"/>
      <c r="X325" s="1018"/>
      <c r="AE325" s="1018"/>
      <c r="AF325" s="1018"/>
      <c r="AV325" s="1018"/>
      <c r="AW325" s="1018"/>
      <c r="AX325" s="1018"/>
      <c r="AY325" s="1018"/>
      <c r="AZ325" s="1018"/>
      <c r="BA325" s="1018"/>
      <c r="BC325" s="1018"/>
      <c r="BE325" s="1018"/>
      <c r="BF325" s="1018"/>
      <c r="BG325" s="1018"/>
    </row>
    <row r="326" spans="18:59" x14ac:dyDescent="0.3">
      <c r="R326" s="1018"/>
      <c r="S326" s="1018"/>
      <c r="W326" s="1018"/>
      <c r="X326" s="1018"/>
      <c r="AE326" s="1018"/>
      <c r="AF326" s="1018"/>
      <c r="AV326" s="1018"/>
      <c r="AW326" s="1018"/>
      <c r="AX326" s="1018"/>
      <c r="AY326" s="1018"/>
      <c r="AZ326" s="1018"/>
      <c r="BA326" s="1018"/>
      <c r="BC326" s="1018"/>
      <c r="BE326" s="1018"/>
      <c r="BF326" s="1018"/>
      <c r="BG326" s="1018"/>
    </row>
    <row r="327" spans="18:59" x14ac:dyDescent="0.3">
      <c r="R327" s="1018"/>
      <c r="S327" s="1018"/>
      <c r="W327" s="1018"/>
      <c r="X327" s="1018"/>
      <c r="AE327" s="1018"/>
      <c r="AF327" s="1018"/>
      <c r="AV327" s="1018"/>
      <c r="AW327" s="1018"/>
      <c r="AX327" s="1018"/>
      <c r="AY327" s="1018"/>
      <c r="AZ327" s="1018"/>
      <c r="BA327" s="1018"/>
      <c r="BC327" s="1018"/>
      <c r="BE327" s="1018"/>
      <c r="BF327" s="1018"/>
      <c r="BG327" s="1018"/>
    </row>
    <row r="328" spans="18:59" x14ac:dyDescent="0.3">
      <c r="R328" s="1018"/>
      <c r="S328" s="1018"/>
      <c r="W328" s="1018"/>
      <c r="X328" s="1018"/>
      <c r="AE328" s="1018"/>
      <c r="AF328" s="1018"/>
      <c r="AV328" s="1018"/>
      <c r="AW328" s="1018"/>
      <c r="AX328" s="1018"/>
      <c r="AY328" s="1018"/>
      <c r="AZ328" s="1018"/>
      <c r="BA328" s="1018"/>
      <c r="BC328" s="1018"/>
      <c r="BE328" s="1018"/>
      <c r="BF328" s="1018"/>
      <c r="BG328" s="1018"/>
    </row>
    <row r="329" spans="18:59" x14ac:dyDescent="0.3">
      <c r="R329" s="1018"/>
      <c r="S329" s="1018"/>
      <c r="W329" s="1018"/>
      <c r="X329" s="1018"/>
      <c r="AE329" s="1018"/>
      <c r="AF329" s="1018"/>
      <c r="AV329" s="1018"/>
      <c r="AW329" s="1018"/>
      <c r="AX329" s="1018"/>
      <c r="AY329" s="1018"/>
      <c r="AZ329" s="1018"/>
      <c r="BA329" s="1018"/>
      <c r="BC329" s="1018"/>
      <c r="BE329" s="1018"/>
      <c r="BF329" s="1018"/>
      <c r="BG329" s="1018"/>
    </row>
    <row r="330" spans="18:59" x14ac:dyDescent="0.3">
      <c r="R330" s="1018"/>
      <c r="S330" s="1018"/>
      <c r="W330" s="1018"/>
      <c r="X330" s="1018"/>
      <c r="AE330" s="1018"/>
      <c r="AF330" s="1018"/>
      <c r="AV330" s="1018"/>
      <c r="AW330" s="1018"/>
      <c r="AX330" s="1018"/>
      <c r="AY330" s="1018"/>
      <c r="AZ330" s="1018"/>
      <c r="BA330" s="1018"/>
      <c r="BC330" s="1018"/>
      <c r="BE330" s="1018"/>
      <c r="BF330" s="1018"/>
      <c r="BG330" s="1018"/>
    </row>
    <row r="331" spans="18:59" x14ac:dyDescent="0.3">
      <c r="R331" s="1018"/>
      <c r="S331" s="1018"/>
      <c r="W331" s="1018"/>
      <c r="X331" s="1018"/>
      <c r="AE331" s="1018"/>
      <c r="AF331" s="1018"/>
      <c r="AV331" s="1018"/>
      <c r="AW331" s="1018"/>
      <c r="AX331" s="1018"/>
      <c r="AY331" s="1018"/>
      <c r="AZ331" s="1018"/>
      <c r="BA331" s="1018"/>
      <c r="BC331" s="1018"/>
      <c r="BE331" s="1018"/>
      <c r="BF331" s="1018"/>
      <c r="BG331" s="1018"/>
    </row>
    <row r="332" spans="18:59" x14ac:dyDescent="0.3">
      <c r="R332" s="1018"/>
      <c r="S332" s="1018"/>
      <c r="W332" s="1018"/>
      <c r="X332" s="1018"/>
      <c r="AE332" s="1018"/>
      <c r="AF332" s="1018"/>
      <c r="AV332" s="1018"/>
      <c r="AW332" s="1018"/>
      <c r="AX332" s="1018"/>
      <c r="AY332" s="1018"/>
      <c r="AZ332" s="1018"/>
      <c r="BA332" s="1018"/>
      <c r="BC332" s="1018"/>
      <c r="BE332" s="1018"/>
      <c r="BF332" s="1018"/>
      <c r="BG332" s="1018"/>
    </row>
    <row r="333" spans="18:59" x14ac:dyDescent="0.3">
      <c r="R333" s="1018"/>
      <c r="S333" s="1018"/>
      <c r="W333" s="1018"/>
      <c r="X333" s="1018"/>
      <c r="AE333" s="1018"/>
      <c r="AF333" s="1018"/>
      <c r="AV333" s="1018"/>
      <c r="AW333" s="1018"/>
      <c r="AX333" s="1018"/>
      <c r="AY333" s="1018"/>
      <c r="AZ333" s="1018"/>
      <c r="BA333" s="1018"/>
      <c r="BC333" s="1018"/>
      <c r="BE333" s="1018"/>
      <c r="BF333" s="1018"/>
      <c r="BG333" s="1018"/>
    </row>
    <row r="334" spans="18:59" x14ac:dyDescent="0.3">
      <c r="R334" s="1018"/>
      <c r="S334" s="1018"/>
      <c r="W334" s="1018"/>
      <c r="X334" s="1018"/>
      <c r="AE334" s="1018"/>
      <c r="AF334" s="1018"/>
      <c r="AV334" s="1018"/>
      <c r="AW334" s="1018"/>
      <c r="AX334" s="1018"/>
      <c r="AY334" s="1018"/>
      <c r="AZ334" s="1018"/>
      <c r="BA334" s="1018"/>
      <c r="BC334" s="1018"/>
      <c r="BE334" s="1018"/>
      <c r="BF334" s="1018"/>
      <c r="BG334" s="1018"/>
    </row>
    <row r="335" spans="18:59" x14ac:dyDescent="0.3">
      <c r="R335" s="1018"/>
      <c r="S335" s="1018"/>
      <c r="W335" s="1018"/>
      <c r="X335" s="1018"/>
      <c r="AE335" s="1018"/>
      <c r="AF335" s="1018"/>
      <c r="AV335" s="1018"/>
      <c r="AW335" s="1018"/>
      <c r="AX335" s="1018"/>
      <c r="AY335" s="1018"/>
      <c r="AZ335" s="1018"/>
      <c r="BA335" s="1018"/>
      <c r="BC335" s="1018"/>
      <c r="BE335" s="1018"/>
      <c r="BF335" s="1018"/>
      <c r="BG335" s="1018"/>
    </row>
    <row r="336" spans="18:59" x14ac:dyDescent="0.3">
      <c r="R336" s="1018"/>
      <c r="S336" s="1018"/>
      <c r="W336" s="1018"/>
      <c r="X336" s="1018"/>
      <c r="AE336" s="1018"/>
      <c r="AF336" s="1018"/>
      <c r="AV336" s="1018"/>
      <c r="AW336" s="1018"/>
      <c r="AX336" s="1018"/>
      <c r="AY336" s="1018"/>
      <c r="AZ336" s="1018"/>
      <c r="BA336" s="1018"/>
      <c r="BC336" s="1018"/>
      <c r="BE336" s="1018"/>
      <c r="BF336" s="1018"/>
      <c r="BG336" s="1018"/>
    </row>
    <row r="337" spans="18:59" x14ac:dyDescent="0.3">
      <c r="R337" s="1018"/>
      <c r="S337" s="1018"/>
      <c r="W337" s="1018"/>
      <c r="X337" s="1018"/>
      <c r="AE337" s="1018"/>
      <c r="AF337" s="1018"/>
      <c r="AV337" s="1018"/>
      <c r="AW337" s="1018"/>
      <c r="AX337" s="1018"/>
      <c r="AY337" s="1018"/>
      <c r="AZ337" s="1018"/>
      <c r="BA337" s="1018"/>
      <c r="BC337" s="1018"/>
      <c r="BE337" s="1018"/>
      <c r="BF337" s="1018"/>
      <c r="BG337" s="1018"/>
    </row>
    <row r="338" spans="18:59" x14ac:dyDescent="0.3">
      <c r="R338" s="1018"/>
      <c r="S338" s="1018"/>
      <c r="W338" s="1018"/>
      <c r="X338" s="1018"/>
      <c r="AE338" s="1018"/>
      <c r="AF338" s="1018"/>
      <c r="AV338" s="1018"/>
      <c r="AW338" s="1018"/>
      <c r="AX338" s="1018"/>
      <c r="AY338" s="1018"/>
      <c r="AZ338" s="1018"/>
      <c r="BA338" s="1018"/>
      <c r="BC338" s="1018"/>
      <c r="BE338" s="1018"/>
      <c r="BF338" s="1018"/>
      <c r="BG338" s="1018"/>
    </row>
    <row r="339" spans="18:59" x14ac:dyDescent="0.3">
      <c r="R339" s="1018"/>
      <c r="S339" s="1018"/>
      <c r="W339" s="1018"/>
      <c r="X339" s="1018"/>
      <c r="AE339" s="1018"/>
      <c r="AF339" s="1018"/>
      <c r="AV339" s="1018"/>
      <c r="AW339" s="1018"/>
      <c r="AX339" s="1018"/>
      <c r="AY339" s="1018"/>
      <c r="AZ339" s="1018"/>
      <c r="BA339" s="1018"/>
      <c r="BC339" s="1018"/>
      <c r="BE339" s="1018"/>
      <c r="BF339" s="1018"/>
      <c r="BG339" s="1018"/>
    </row>
    <row r="340" spans="18:59" x14ac:dyDescent="0.3">
      <c r="R340" s="1018"/>
      <c r="S340" s="1018"/>
      <c r="W340" s="1018"/>
      <c r="X340" s="1018"/>
      <c r="AE340" s="1018"/>
      <c r="AF340" s="1018"/>
      <c r="AV340" s="1018"/>
      <c r="AW340" s="1018"/>
      <c r="AX340" s="1018"/>
      <c r="AY340" s="1018"/>
      <c r="AZ340" s="1018"/>
      <c r="BA340" s="1018"/>
      <c r="BC340" s="1018"/>
      <c r="BE340" s="1018"/>
      <c r="BF340" s="1018"/>
      <c r="BG340" s="1018"/>
    </row>
    <row r="341" spans="18:59" x14ac:dyDescent="0.3">
      <c r="R341" s="1018"/>
      <c r="S341" s="1018"/>
      <c r="W341" s="1018"/>
      <c r="X341" s="1018"/>
      <c r="AE341" s="1018"/>
      <c r="AF341" s="1018"/>
      <c r="AV341" s="1018"/>
      <c r="AW341" s="1018"/>
      <c r="AX341" s="1018"/>
      <c r="AY341" s="1018"/>
      <c r="AZ341" s="1018"/>
      <c r="BA341" s="1018"/>
      <c r="BC341" s="1018"/>
      <c r="BE341" s="1018"/>
      <c r="BF341" s="1018"/>
      <c r="BG341" s="1018"/>
    </row>
    <row r="342" spans="18:59" x14ac:dyDescent="0.3">
      <c r="R342" s="1018"/>
      <c r="S342" s="1018"/>
      <c r="W342" s="1018"/>
      <c r="X342" s="1018"/>
      <c r="AE342" s="1018"/>
      <c r="AF342" s="1018"/>
      <c r="AV342" s="1018"/>
      <c r="AW342" s="1018"/>
      <c r="AX342" s="1018"/>
      <c r="AY342" s="1018"/>
      <c r="AZ342" s="1018"/>
      <c r="BA342" s="1018"/>
      <c r="BC342" s="1018"/>
      <c r="BE342" s="1018"/>
      <c r="BF342" s="1018"/>
      <c r="BG342" s="1018"/>
    </row>
    <row r="343" spans="18:59" x14ac:dyDescent="0.3">
      <c r="R343" s="1018"/>
      <c r="S343" s="1018"/>
      <c r="W343" s="1018"/>
      <c r="X343" s="1018"/>
      <c r="AE343" s="1018"/>
      <c r="AF343" s="1018"/>
      <c r="AV343" s="1018"/>
      <c r="AW343" s="1018"/>
      <c r="AX343" s="1018"/>
      <c r="AY343" s="1018"/>
      <c r="AZ343" s="1018"/>
      <c r="BA343" s="1018"/>
      <c r="BC343" s="1018"/>
      <c r="BE343" s="1018"/>
      <c r="BF343" s="1018"/>
      <c r="BG343" s="1018"/>
    </row>
    <row r="344" spans="18:59" x14ac:dyDescent="0.3">
      <c r="R344" s="1018"/>
      <c r="S344" s="1018"/>
      <c r="W344" s="1018"/>
      <c r="X344" s="1018"/>
      <c r="AE344" s="1018"/>
      <c r="AF344" s="1018"/>
      <c r="AV344" s="1018"/>
      <c r="AW344" s="1018"/>
      <c r="AX344" s="1018"/>
      <c r="AY344" s="1018"/>
      <c r="AZ344" s="1018"/>
      <c r="BA344" s="1018"/>
      <c r="BC344" s="1018"/>
      <c r="BE344" s="1018"/>
      <c r="BF344" s="1018"/>
      <c r="BG344" s="1018"/>
    </row>
    <row r="345" spans="18:59" x14ac:dyDescent="0.3">
      <c r="R345" s="1018"/>
      <c r="S345" s="1018"/>
      <c r="W345" s="1018"/>
      <c r="X345" s="1018"/>
      <c r="AE345" s="1018"/>
      <c r="AF345" s="1018"/>
      <c r="AV345" s="1018"/>
      <c r="AW345" s="1018"/>
      <c r="AX345" s="1018"/>
      <c r="AY345" s="1018"/>
      <c r="AZ345" s="1018"/>
      <c r="BA345" s="1018"/>
      <c r="BC345" s="1018"/>
      <c r="BE345" s="1018"/>
      <c r="BF345" s="1018"/>
      <c r="BG345" s="1018"/>
    </row>
    <row r="346" spans="18:59" x14ac:dyDescent="0.3">
      <c r="R346" s="1018"/>
      <c r="S346" s="1018"/>
      <c r="W346" s="1018"/>
      <c r="X346" s="1018"/>
      <c r="AE346" s="1018"/>
      <c r="AF346" s="1018"/>
      <c r="AV346" s="1018"/>
      <c r="AW346" s="1018"/>
      <c r="AX346" s="1018"/>
      <c r="AY346" s="1018"/>
      <c r="AZ346" s="1018"/>
      <c r="BA346" s="1018"/>
      <c r="BC346" s="1018"/>
      <c r="BE346" s="1018"/>
      <c r="BF346" s="1018"/>
      <c r="BG346" s="1018"/>
    </row>
    <row r="347" spans="18:59" x14ac:dyDescent="0.3">
      <c r="R347" s="1018"/>
      <c r="S347" s="1018"/>
      <c r="W347" s="1018"/>
      <c r="X347" s="1018"/>
      <c r="AE347" s="1018"/>
      <c r="AF347" s="1018"/>
      <c r="AV347" s="1018"/>
      <c r="AW347" s="1018"/>
      <c r="AX347" s="1018"/>
      <c r="AY347" s="1018"/>
      <c r="AZ347" s="1018"/>
      <c r="BA347" s="1018"/>
      <c r="BC347" s="1018"/>
      <c r="BE347" s="1018"/>
      <c r="BF347" s="1018"/>
      <c r="BG347" s="1018"/>
    </row>
    <row r="348" spans="18:59" x14ac:dyDescent="0.3">
      <c r="R348" s="1018"/>
      <c r="S348" s="1018"/>
      <c r="W348" s="1018"/>
      <c r="X348" s="1018"/>
      <c r="AE348" s="1018"/>
      <c r="AF348" s="1018"/>
      <c r="AV348" s="1018"/>
      <c r="AW348" s="1018"/>
      <c r="AX348" s="1018"/>
      <c r="AY348" s="1018"/>
      <c r="AZ348" s="1018"/>
      <c r="BA348" s="1018"/>
      <c r="BC348" s="1018"/>
      <c r="BE348" s="1018"/>
      <c r="BF348" s="1018"/>
      <c r="BG348" s="1018"/>
    </row>
    <row r="349" spans="18:59" x14ac:dyDescent="0.3">
      <c r="R349" s="1018"/>
      <c r="S349" s="1018"/>
      <c r="W349" s="1018"/>
      <c r="X349" s="1018"/>
      <c r="AE349" s="1018"/>
      <c r="AF349" s="1018"/>
      <c r="AV349" s="1018"/>
      <c r="AW349" s="1018"/>
      <c r="AX349" s="1018"/>
      <c r="AY349" s="1018"/>
      <c r="AZ349" s="1018"/>
      <c r="BA349" s="1018"/>
      <c r="BC349" s="1018"/>
      <c r="BE349" s="1018"/>
      <c r="BF349" s="1018"/>
      <c r="BG349" s="1018"/>
    </row>
    <row r="350" spans="18:59" x14ac:dyDescent="0.3">
      <c r="R350" s="1018"/>
      <c r="S350" s="1018"/>
      <c r="W350" s="1018"/>
      <c r="X350" s="1018"/>
      <c r="AE350" s="1018"/>
      <c r="AF350" s="1018"/>
      <c r="AV350" s="1018"/>
      <c r="AW350" s="1018"/>
      <c r="AX350" s="1018"/>
      <c r="AY350" s="1018"/>
      <c r="AZ350" s="1018"/>
      <c r="BA350" s="1018"/>
      <c r="BC350" s="1018"/>
      <c r="BE350" s="1018"/>
      <c r="BF350" s="1018"/>
      <c r="BG350" s="1018"/>
    </row>
    <row r="351" spans="18:59" x14ac:dyDescent="0.3">
      <c r="R351" s="1018"/>
      <c r="S351" s="1018"/>
      <c r="W351" s="1018"/>
      <c r="X351" s="1018"/>
      <c r="AE351" s="1018"/>
      <c r="AF351" s="1018"/>
      <c r="AV351" s="1018"/>
      <c r="AW351" s="1018"/>
      <c r="AX351" s="1018"/>
      <c r="AY351" s="1018"/>
      <c r="AZ351" s="1018"/>
      <c r="BA351" s="1018"/>
      <c r="BC351" s="1018"/>
      <c r="BE351" s="1018"/>
      <c r="BF351" s="1018"/>
      <c r="BG351" s="1018"/>
    </row>
    <row r="352" spans="18:59" x14ac:dyDescent="0.3">
      <c r="R352" s="1018"/>
      <c r="S352" s="1018"/>
      <c r="W352" s="1018"/>
      <c r="X352" s="1018"/>
      <c r="AE352" s="1018"/>
      <c r="AF352" s="1018"/>
      <c r="AV352" s="1018"/>
      <c r="AW352" s="1018"/>
      <c r="AX352" s="1018"/>
      <c r="AY352" s="1018"/>
      <c r="AZ352" s="1018"/>
      <c r="BA352" s="1018"/>
      <c r="BC352" s="1018"/>
      <c r="BE352" s="1018"/>
      <c r="BF352" s="1018"/>
      <c r="BG352" s="1018"/>
    </row>
    <row r="353" spans="18:59" x14ac:dyDescent="0.3">
      <c r="R353" s="1018"/>
      <c r="S353" s="1018"/>
      <c r="W353" s="1018"/>
      <c r="X353" s="1018"/>
      <c r="AE353" s="1018"/>
      <c r="AF353" s="1018"/>
      <c r="AV353" s="1018"/>
      <c r="AW353" s="1018"/>
      <c r="AX353" s="1018"/>
      <c r="AY353" s="1018"/>
      <c r="AZ353" s="1018"/>
      <c r="BA353" s="1018"/>
      <c r="BC353" s="1018"/>
      <c r="BE353" s="1018"/>
      <c r="BF353" s="1018"/>
      <c r="BG353" s="1018"/>
    </row>
    <row r="354" spans="18:59" x14ac:dyDescent="0.3">
      <c r="R354" s="1018"/>
      <c r="S354" s="1018"/>
      <c r="W354" s="1018"/>
      <c r="X354" s="1018"/>
      <c r="AE354" s="1018"/>
      <c r="AF354" s="1018"/>
      <c r="AV354" s="1018"/>
      <c r="AW354" s="1018"/>
      <c r="AX354" s="1018"/>
      <c r="AY354" s="1018"/>
      <c r="AZ354" s="1018"/>
      <c r="BA354" s="1018"/>
      <c r="BC354" s="1018"/>
      <c r="BE354" s="1018"/>
      <c r="BF354" s="1018"/>
      <c r="BG354" s="1018"/>
    </row>
    <row r="355" spans="18:59" x14ac:dyDescent="0.3">
      <c r="R355" s="1018"/>
      <c r="S355" s="1018"/>
      <c r="W355" s="1018"/>
      <c r="X355" s="1018"/>
      <c r="AE355" s="1018"/>
      <c r="AF355" s="1018"/>
      <c r="AV355" s="1018"/>
      <c r="AW355" s="1018"/>
      <c r="AX355" s="1018"/>
      <c r="AY355" s="1018"/>
      <c r="AZ355" s="1018"/>
      <c r="BA355" s="1018"/>
      <c r="BC355" s="1018"/>
      <c r="BE355" s="1018"/>
      <c r="BF355" s="1018"/>
      <c r="BG355" s="1018"/>
    </row>
    <row r="356" spans="18:59" x14ac:dyDescent="0.3">
      <c r="R356" s="1018"/>
      <c r="S356" s="1018"/>
      <c r="W356" s="1018"/>
      <c r="X356" s="1018"/>
      <c r="AE356" s="1018"/>
      <c r="AF356" s="1018"/>
      <c r="AV356" s="1018"/>
      <c r="AW356" s="1018"/>
      <c r="AX356" s="1018"/>
      <c r="AY356" s="1018"/>
      <c r="AZ356" s="1018"/>
      <c r="BA356" s="1018"/>
      <c r="BC356" s="1018"/>
      <c r="BE356" s="1018"/>
      <c r="BF356" s="1018"/>
      <c r="BG356" s="1018"/>
    </row>
    <row r="357" spans="18:59" x14ac:dyDescent="0.3">
      <c r="R357" s="1018"/>
      <c r="S357" s="1018"/>
      <c r="W357" s="1018"/>
      <c r="X357" s="1018"/>
      <c r="AE357" s="1018"/>
      <c r="AF357" s="1018"/>
      <c r="AV357" s="1018"/>
      <c r="AW357" s="1018"/>
      <c r="AX357" s="1018"/>
      <c r="AY357" s="1018"/>
      <c r="AZ357" s="1018"/>
      <c r="BA357" s="1018"/>
      <c r="BC357" s="1018"/>
      <c r="BE357" s="1018"/>
      <c r="BF357" s="1018"/>
      <c r="BG357" s="1018"/>
    </row>
    <row r="358" spans="18:59" x14ac:dyDescent="0.3">
      <c r="R358" s="1018"/>
      <c r="S358" s="1018"/>
      <c r="W358" s="1018"/>
      <c r="X358" s="1018"/>
      <c r="AE358" s="1018"/>
      <c r="AF358" s="1018"/>
      <c r="AV358" s="1018"/>
      <c r="AW358" s="1018"/>
      <c r="AX358" s="1018"/>
      <c r="AY358" s="1018"/>
      <c r="AZ358" s="1018"/>
      <c r="BA358" s="1018"/>
      <c r="BC358" s="1018"/>
      <c r="BE358" s="1018"/>
      <c r="BF358" s="1018"/>
      <c r="BG358" s="1018"/>
    </row>
    <row r="359" spans="18:59" x14ac:dyDescent="0.3">
      <c r="R359" s="1018"/>
      <c r="S359" s="1018"/>
      <c r="W359" s="1018"/>
      <c r="X359" s="1018"/>
      <c r="AE359" s="1018"/>
      <c r="AF359" s="1018"/>
      <c r="AV359" s="1018"/>
      <c r="AW359" s="1018"/>
      <c r="AX359" s="1018"/>
      <c r="AY359" s="1018"/>
      <c r="AZ359" s="1018"/>
      <c r="BA359" s="1018"/>
      <c r="BC359" s="1018"/>
      <c r="BE359" s="1018"/>
      <c r="BF359" s="1018"/>
      <c r="BG359" s="1018"/>
    </row>
    <row r="360" spans="18:59" x14ac:dyDescent="0.3">
      <c r="R360" s="1018"/>
      <c r="S360" s="1018"/>
      <c r="W360" s="1018"/>
      <c r="X360" s="1018"/>
      <c r="AE360" s="1018"/>
      <c r="AF360" s="1018"/>
      <c r="AV360" s="1018"/>
      <c r="AW360" s="1018"/>
      <c r="AX360" s="1018"/>
      <c r="AY360" s="1018"/>
      <c r="AZ360" s="1018"/>
      <c r="BA360" s="1018"/>
      <c r="BC360" s="1018"/>
      <c r="BE360" s="1018"/>
      <c r="BF360" s="1018"/>
      <c r="BG360" s="1018"/>
    </row>
    <row r="361" spans="18:59" x14ac:dyDescent="0.3">
      <c r="R361" s="1018"/>
      <c r="S361" s="1018"/>
      <c r="W361" s="1018"/>
      <c r="X361" s="1018"/>
      <c r="AE361" s="1018"/>
      <c r="AF361" s="1018"/>
      <c r="AV361" s="1018"/>
      <c r="AW361" s="1018"/>
      <c r="AX361" s="1018"/>
      <c r="AY361" s="1018"/>
      <c r="AZ361" s="1018"/>
      <c r="BA361" s="1018"/>
      <c r="BC361" s="1018"/>
      <c r="BE361" s="1018"/>
      <c r="BF361" s="1018"/>
      <c r="BG361" s="1018"/>
    </row>
    <row r="362" spans="18:59" x14ac:dyDescent="0.3">
      <c r="R362" s="1018"/>
      <c r="S362" s="1018"/>
      <c r="W362" s="1018"/>
      <c r="X362" s="1018"/>
      <c r="AE362" s="1018"/>
      <c r="AF362" s="1018"/>
      <c r="AV362" s="1018"/>
      <c r="AW362" s="1018"/>
      <c r="AX362" s="1018"/>
      <c r="AY362" s="1018"/>
      <c r="AZ362" s="1018"/>
      <c r="BA362" s="1018"/>
      <c r="BC362" s="1018"/>
      <c r="BE362" s="1018"/>
      <c r="BF362" s="1018"/>
      <c r="BG362" s="1018"/>
    </row>
    <row r="363" spans="18:59" x14ac:dyDescent="0.3">
      <c r="R363" s="1018"/>
      <c r="S363" s="1018"/>
      <c r="W363" s="1018"/>
      <c r="X363" s="1018"/>
      <c r="AE363" s="1018"/>
      <c r="AF363" s="1018"/>
      <c r="AV363" s="1018"/>
      <c r="AW363" s="1018"/>
      <c r="AX363" s="1018"/>
      <c r="AY363" s="1018"/>
      <c r="AZ363" s="1018"/>
      <c r="BA363" s="1018"/>
      <c r="BC363" s="1018"/>
      <c r="BE363" s="1018"/>
      <c r="BF363" s="1018"/>
      <c r="BG363" s="1018"/>
    </row>
    <row r="364" spans="18:59" x14ac:dyDescent="0.3">
      <c r="R364" s="1018"/>
      <c r="S364" s="1018"/>
      <c r="W364" s="1018"/>
      <c r="X364" s="1018"/>
      <c r="AE364" s="1018"/>
      <c r="AF364" s="1018"/>
      <c r="AV364" s="1018"/>
      <c r="AW364" s="1018"/>
      <c r="AX364" s="1018"/>
      <c r="AY364" s="1018"/>
      <c r="AZ364" s="1018"/>
      <c r="BA364" s="1018"/>
      <c r="BC364" s="1018"/>
      <c r="BE364" s="1018"/>
      <c r="BF364" s="1018"/>
      <c r="BG364" s="1018"/>
    </row>
    <row r="365" spans="18:59" x14ac:dyDescent="0.3">
      <c r="R365" s="1018"/>
      <c r="S365" s="1018"/>
      <c r="W365" s="1018"/>
      <c r="X365" s="1018"/>
      <c r="AE365" s="1018"/>
      <c r="AF365" s="1018"/>
      <c r="AV365" s="1018"/>
      <c r="AW365" s="1018"/>
      <c r="AX365" s="1018"/>
      <c r="AY365" s="1018"/>
      <c r="AZ365" s="1018"/>
      <c r="BA365" s="1018"/>
      <c r="BC365" s="1018"/>
      <c r="BE365" s="1018"/>
      <c r="BF365" s="1018"/>
      <c r="BG365" s="1018"/>
    </row>
    <row r="366" spans="18:59" x14ac:dyDescent="0.3">
      <c r="R366" s="1018"/>
      <c r="S366" s="1018"/>
      <c r="W366" s="1018"/>
      <c r="X366" s="1018"/>
      <c r="AE366" s="1018"/>
      <c r="AF366" s="1018"/>
      <c r="AV366" s="1018"/>
      <c r="AW366" s="1018"/>
      <c r="AX366" s="1018"/>
      <c r="AY366" s="1018"/>
      <c r="AZ366" s="1018"/>
      <c r="BA366" s="1018"/>
      <c r="BC366" s="1018"/>
      <c r="BE366" s="1018"/>
      <c r="BF366" s="1018"/>
      <c r="BG366" s="1018"/>
    </row>
    <row r="367" spans="18:59" x14ac:dyDescent="0.3">
      <c r="R367" s="1018"/>
      <c r="S367" s="1018"/>
      <c r="W367" s="1018"/>
      <c r="X367" s="1018"/>
      <c r="AE367" s="1018"/>
      <c r="AF367" s="1018"/>
      <c r="AV367" s="1018"/>
      <c r="AW367" s="1018"/>
      <c r="AX367" s="1018"/>
      <c r="AY367" s="1018"/>
      <c r="AZ367" s="1018"/>
      <c r="BA367" s="1018"/>
      <c r="BC367" s="1018"/>
      <c r="BE367" s="1018"/>
      <c r="BF367" s="1018"/>
      <c r="BG367" s="1018"/>
    </row>
    <row r="368" spans="18:59" x14ac:dyDescent="0.3">
      <c r="R368" s="1018"/>
      <c r="S368" s="1018"/>
      <c r="W368" s="1018"/>
      <c r="X368" s="1018"/>
      <c r="AE368" s="1018"/>
      <c r="AF368" s="1018"/>
      <c r="AV368" s="1018"/>
      <c r="AW368" s="1018"/>
      <c r="AX368" s="1018"/>
      <c r="AY368" s="1018"/>
      <c r="AZ368" s="1018"/>
      <c r="BA368" s="1018"/>
      <c r="BC368" s="1018"/>
      <c r="BE368" s="1018"/>
      <c r="BF368" s="1018"/>
      <c r="BG368" s="1018"/>
    </row>
    <row r="369" spans="18:59" x14ac:dyDescent="0.3">
      <c r="R369" s="1018"/>
      <c r="S369" s="1018"/>
      <c r="W369" s="1018"/>
      <c r="X369" s="1018"/>
      <c r="AE369" s="1018"/>
      <c r="AF369" s="1018"/>
      <c r="AV369" s="1018"/>
      <c r="AW369" s="1018"/>
      <c r="AX369" s="1018"/>
      <c r="AY369" s="1018"/>
      <c r="AZ369" s="1018"/>
      <c r="BA369" s="1018"/>
      <c r="BC369" s="1018"/>
      <c r="BE369" s="1018"/>
      <c r="BF369" s="1018"/>
      <c r="BG369" s="1018"/>
    </row>
    <row r="370" spans="18:59" x14ac:dyDescent="0.3">
      <c r="R370" s="1018"/>
      <c r="S370" s="1018"/>
      <c r="W370" s="1018"/>
      <c r="X370" s="1018"/>
      <c r="AE370" s="1018"/>
      <c r="AF370" s="1018"/>
      <c r="AV370" s="1018"/>
      <c r="AW370" s="1018"/>
      <c r="AX370" s="1018"/>
      <c r="AY370" s="1018"/>
      <c r="AZ370" s="1018"/>
      <c r="BA370" s="1018"/>
      <c r="BC370" s="1018"/>
      <c r="BE370" s="1018"/>
      <c r="BF370" s="1018"/>
      <c r="BG370" s="1018"/>
    </row>
    <row r="371" spans="18:59" x14ac:dyDescent="0.3">
      <c r="R371" s="1018"/>
      <c r="S371" s="1018"/>
      <c r="W371" s="1018"/>
      <c r="X371" s="1018"/>
      <c r="AE371" s="1018"/>
      <c r="AF371" s="1018"/>
      <c r="AV371" s="1018"/>
      <c r="AW371" s="1018"/>
      <c r="AX371" s="1018"/>
      <c r="AY371" s="1018"/>
      <c r="AZ371" s="1018"/>
      <c r="BA371" s="1018"/>
      <c r="BC371" s="1018"/>
      <c r="BE371" s="1018"/>
      <c r="BF371" s="1018"/>
      <c r="BG371" s="1018"/>
    </row>
    <row r="372" spans="18:59" x14ac:dyDescent="0.3">
      <c r="R372" s="1018"/>
      <c r="S372" s="1018"/>
      <c r="W372" s="1018"/>
      <c r="X372" s="1018"/>
      <c r="AE372" s="1018"/>
      <c r="AF372" s="1018"/>
      <c r="AV372" s="1018"/>
      <c r="AW372" s="1018"/>
      <c r="AX372" s="1018"/>
      <c r="AY372" s="1018"/>
      <c r="AZ372" s="1018"/>
      <c r="BA372" s="1018"/>
      <c r="BC372" s="1018"/>
      <c r="BE372" s="1018"/>
      <c r="BF372" s="1018"/>
      <c r="BG372" s="1018"/>
    </row>
    <row r="373" spans="18:59" x14ac:dyDescent="0.3">
      <c r="R373" s="1018"/>
      <c r="S373" s="1018"/>
      <c r="W373" s="1018"/>
      <c r="X373" s="1018"/>
      <c r="AE373" s="1018"/>
      <c r="AF373" s="1018"/>
      <c r="AV373" s="1018"/>
      <c r="AW373" s="1018"/>
      <c r="AX373" s="1018"/>
      <c r="AY373" s="1018"/>
      <c r="AZ373" s="1018"/>
      <c r="BA373" s="1018"/>
      <c r="BC373" s="1018"/>
      <c r="BE373" s="1018"/>
      <c r="BF373" s="1018"/>
      <c r="BG373" s="1018"/>
    </row>
    <row r="374" spans="18:59" x14ac:dyDescent="0.3">
      <c r="R374" s="1018"/>
      <c r="S374" s="1018"/>
      <c r="W374" s="1018"/>
      <c r="X374" s="1018"/>
      <c r="AE374" s="1018"/>
      <c r="AF374" s="1018"/>
      <c r="AV374" s="1018"/>
      <c r="AW374" s="1018"/>
      <c r="AX374" s="1018"/>
      <c r="AY374" s="1018"/>
      <c r="AZ374" s="1018"/>
      <c r="BA374" s="1018"/>
      <c r="BC374" s="1018"/>
      <c r="BE374" s="1018"/>
      <c r="BF374" s="1018"/>
      <c r="BG374" s="1018"/>
    </row>
    <row r="375" spans="18:59" x14ac:dyDescent="0.3">
      <c r="R375" s="1018"/>
      <c r="S375" s="1018"/>
      <c r="W375" s="1018"/>
      <c r="X375" s="1018"/>
      <c r="AE375" s="1018"/>
      <c r="AF375" s="1018"/>
      <c r="AV375" s="1018"/>
      <c r="AW375" s="1018"/>
      <c r="AX375" s="1018"/>
      <c r="AY375" s="1018"/>
      <c r="AZ375" s="1018"/>
      <c r="BA375" s="1018"/>
      <c r="BC375" s="1018"/>
      <c r="BE375" s="1018"/>
      <c r="BF375" s="1018"/>
      <c r="BG375" s="1018"/>
    </row>
    <row r="376" spans="18:59" x14ac:dyDescent="0.3">
      <c r="R376" s="1018"/>
      <c r="S376" s="1018"/>
      <c r="W376" s="1018"/>
      <c r="X376" s="1018"/>
      <c r="AE376" s="1018"/>
      <c r="AF376" s="1018"/>
      <c r="AV376" s="1018"/>
      <c r="AW376" s="1018"/>
      <c r="AX376" s="1018"/>
      <c r="AY376" s="1018"/>
      <c r="AZ376" s="1018"/>
      <c r="BA376" s="1018"/>
      <c r="BC376" s="1018"/>
      <c r="BE376" s="1018"/>
      <c r="BF376" s="1018"/>
      <c r="BG376" s="1018"/>
    </row>
    <row r="377" spans="18:59" x14ac:dyDescent="0.3">
      <c r="R377" s="1018"/>
      <c r="S377" s="1018"/>
      <c r="W377" s="1018"/>
      <c r="X377" s="1018"/>
      <c r="AE377" s="1018"/>
      <c r="AF377" s="1018"/>
      <c r="AV377" s="1018"/>
      <c r="AW377" s="1018"/>
      <c r="AX377" s="1018"/>
      <c r="AY377" s="1018"/>
      <c r="AZ377" s="1018"/>
      <c r="BA377" s="1018"/>
      <c r="BC377" s="1018"/>
      <c r="BE377" s="1018"/>
      <c r="BF377" s="1018"/>
      <c r="BG377" s="1018"/>
    </row>
    <row r="378" spans="18:59" x14ac:dyDescent="0.3">
      <c r="R378" s="1018"/>
      <c r="S378" s="1018"/>
      <c r="W378" s="1018"/>
      <c r="X378" s="1018"/>
      <c r="AE378" s="1018"/>
      <c r="AF378" s="1018"/>
      <c r="AV378" s="1018"/>
      <c r="AW378" s="1018"/>
      <c r="AX378" s="1018"/>
      <c r="AY378" s="1018"/>
      <c r="AZ378" s="1018"/>
      <c r="BA378" s="1018"/>
      <c r="BC378" s="1018"/>
      <c r="BE378" s="1018"/>
      <c r="BF378" s="1018"/>
      <c r="BG378" s="1018"/>
    </row>
    <row r="379" spans="18:59" x14ac:dyDescent="0.3">
      <c r="R379" s="1018"/>
      <c r="S379" s="1018"/>
      <c r="W379" s="1018"/>
      <c r="X379" s="1018"/>
      <c r="AE379" s="1018"/>
      <c r="AF379" s="1018"/>
      <c r="AV379" s="1018"/>
      <c r="AW379" s="1018"/>
      <c r="AX379" s="1018"/>
      <c r="AY379" s="1018"/>
      <c r="AZ379" s="1018"/>
      <c r="BA379" s="1018"/>
      <c r="BC379" s="1018"/>
      <c r="BE379" s="1018"/>
      <c r="BF379" s="1018"/>
      <c r="BG379" s="1018"/>
    </row>
    <row r="380" spans="18:59" x14ac:dyDescent="0.3">
      <c r="R380" s="1018"/>
      <c r="S380" s="1018"/>
      <c r="W380" s="1018"/>
      <c r="X380" s="1018"/>
      <c r="AE380" s="1018"/>
      <c r="AF380" s="1018"/>
      <c r="AV380" s="1018"/>
      <c r="AW380" s="1018"/>
      <c r="AX380" s="1018"/>
      <c r="AY380" s="1018"/>
      <c r="AZ380" s="1018"/>
      <c r="BA380" s="1018"/>
      <c r="BC380" s="1018"/>
      <c r="BE380" s="1018"/>
      <c r="BF380" s="1018"/>
      <c r="BG380" s="1018"/>
    </row>
    <row r="381" spans="18:59" x14ac:dyDescent="0.3">
      <c r="R381" s="1018"/>
      <c r="S381" s="1018"/>
      <c r="W381" s="1018"/>
      <c r="X381" s="1018"/>
      <c r="AE381" s="1018"/>
      <c r="AF381" s="1018"/>
      <c r="AV381" s="1018"/>
      <c r="AW381" s="1018"/>
      <c r="AX381" s="1018"/>
      <c r="AY381" s="1018"/>
      <c r="AZ381" s="1018"/>
      <c r="BA381" s="1018"/>
      <c r="BC381" s="1018"/>
      <c r="BE381" s="1018"/>
      <c r="BF381" s="1018"/>
      <c r="BG381" s="1018"/>
    </row>
    <row r="382" spans="18:59" x14ac:dyDescent="0.3">
      <c r="R382" s="1018"/>
      <c r="S382" s="1018"/>
      <c r="W382" s="1018"/>
      <c r="X382" s="1018"/>
      <c r="AE382" s="1018"/>
      <c r="AF382" s="1018"/>
      <c r="AV382" s="1018"/>
      <c r="AW382" s="1018"/>
      <c r="AX382" s="1018"/>
      <c r="AY382" s="1018"/>
      <c r="AZ382" s="1018"/>
      <c r="BA382" s="1018"/>
      <c r="BC382" s="1018"/>
      <c r="BE382" s="1018"/>
      <c r="BF382" s="1018"/>
      <c r="BG382" s="1018"/>
    </row>
    <row r="383" spans="18:59" x14ac:dyDescent="0.3">
      <c r="R383" s="1018"/>
      <c r="S383" s="1018"/>
      <c r="W383" s="1018"/>
      <c r="X383" s="1018"/>
      <c r="AE383" s="1018"/>
      <c r="AF383" s="1018"/>
      <c r="AV383" s="1018"/>
      <c r="AW383" s="1018"/>
      <c r="AX383" s="1018"/>
      <c r="AY383" s="1018"/>
      <c r="AZ383" s="1018"/>
      <c r="BA383" s="1018"/>
      <c r="BC383" s="1018"/>
      <c r="BE383" s="1018"/>
      <c r="BF383" s="1018"/>
      <c r="BG383" s="1018"/>
    </row>
    <row r="384" spans="18:59" x14ac:dyDescent="0.3">
      <c r="R384" s="1018"/>
      <c r="S384" s="1018"/>
      <c r="W384" s="1018"/>
      <c r="X384" s="1018"/>
      <c r="AE384" s="1018"/>
      <c r="AF384" s="1018"/>
      <c r="AV384" s="1018"/>
      <c r="AW384" s="1018"/>
      <c r="AX384" s="1018"/>
      <c r="AY384" s="1018"/>
      <c r="AZ384" s="1018"/>
      <c r="BA384" s="1018"/>
      <c r="BC384" s="1018"/>
      <c r="BE384" s="1018"/>
      <c r="BF384" s="1018"/>
      <c r="BG384" s="1018"/>
    </row>
    <row r="385" spans="18:59" x14ac:dyDescent="0.3">
      <c r="R385" s="1018"/>
      <c r="S385" s="1018"/>
      <c r="W385" s="1018"/>
      <c r="X385" s="1018"/>
      <c r="AE385" s="1018"/>
      <c r="AF385" s="1018"/>
      <c r="AV385" s="1018"/>
      <c r="AW385" s="1018"/>
      <c r="AX385" s="1018"/>
      <c r="AY385" s="1018"/>
      <c r="AZ385" s="1018"/>
      <c r="BA385" s="1018"/>
      <c r="BC385" s="1018"/>
      <c r="BE385" s="1018"/>
      <c r="BF385" s="1018"/>
      <c r="BG385" s="1018"/>
    </row>
    <row r="386" spans="18:59" x14ac:dyDescent="0.3">
      <c r="R386" s="1018"/>
      <c r="S386" s="1018"/>
      <c r="W386" s="1018"/>
      <c r="X386" s="1018"/>
      <c r="AE386" s="1018"/>
      <c r="AF386" s="1018"/>
      <c r="AV386" s="1018"/>
      <c r="AW386" s="1018"/>
      <c r="AX386" s="1018"/>
      <c r="AY386" s="1018"/>
      <c r="AZ386" s="1018"/>
      <c r="BA386" s="1018"/>
      <c r="BC386" s="1018"/>
      <c r="BE386" s="1018"/>
      <c r="BF386" s="1018"/>
      <c r="BG386" s="1018"/>
    </row>
    <row r="387" spans="18:59" x14ac:dyDescent="0.3">
      <c r="R387" s="1018"/>
      <c r="S387" s="1018"/>
      <c r="W387" s="1018"/>
      <c r="X387" s="1018"/>
      <c r="AE387" s="1018"/>
      <c r="AF387" s="1018"/>
      <c r="AV387" s="1018"/>
      <c r="AW387" s="1018"/>
      <c r="AX387" s="1018"/>
      <c r="AY387" s="1018"/>
      <c r="AZ387" s="1018"/>
      <c r="BA387" s="1018"/>
      <c r="BC387" s="1018"/>
      <c r="BE387" s="1018"/>
      <c r="BF387" s="1018"/>
      <c r="BG387" s="1018"/>
    </row>
    <row r="388" spans="18:59" x14ac:dyDescent="0.3">
      <c r="R388" s="1018"/>
      <c r="S388" s="1018"/>
      <c r="W388" s="1018"/>
      <c r="X388" s="1018"/>
      <c r="AE388" s="1018"/>
      <c r="AF388" s="1018"/>
      <c r="AV388" s="1018"/>
      <c r="AW388" s="1018"/>
      <c r="AX388" s="1018"/>
      <c r="AY388" s="1018"/>
      <c r="AZ388" s="1018"/>
      <c r="BA388" s="1018"/>
      <c r="BC388" s="1018"/>
      <c r="BE388" s="1018"/>
      <c r="BF388" s="1018"/>
      <c r="BG388" s="1018"/>
    </row>
    <row r="389" spans="18:59" x14ac:dyDescent="0.3">
      <c r="R389" s="1018"/>
      <c r="S389" s="1018"/>
      <c r="W389" s="1018"/>
      <c r="X389" s="1018"/>
      <c r="AE389" s="1018"/>
      <c r="AF389" s="1018"/>
      <c r="AV389" s="1018"/>
      <c r="AW389" s="1018"/>
      <c r="AX389" s="1018"/>
      <c r="AY389" s="1018"/>
      <c r="AZ389" s="1018"/>
      <c r="BA389" s="1018"/>
      <c r="BC389" s="1018"/>
      <c r="BE389" s="1018"/>
      <c r="BF389" s="1018"/>
      <c r="BG389" s="1018"/>
    </row>
    <row r="390" spans="18:59" x14ac:dyDescent="0.3">
      <c r="R390" s="1018"/>
      <c r="S390" s="1018"/>
      <c r="W390" s="1018"/>
      <c r="X390" s="1018"/>
      <c r="AE390" s="1018"/>
      <c r="AF390" s="1018"/>
      <c r="AV390" s="1018"/>
      <c r="AW390" s="1018"/>
      <c r="AX390" s="1018"/>
      <c r="AY390" s="1018"/>
      <c r="AZ390" s="1018"/>
      <c r="BA390" s="1018"/>
      <c r="BC390" s="1018"/>
      <c r="BE390" s="1018"/>
      <c r="BF390" s="1018"/>
      <c r="BG390" s="1018"/>
    </row>
    <row r="391" spans="18:59" x14ac:dyDescent="0.3">
      <c r="R391" s="1018"/>
      <c r="S391" s="1018"/>
      <c r="W391" s="1018"/>
      <c r="X391" s="1018"/>
      <c r="AE391" s="1018"/>
      <c r="AF391" s="1018"/>
      <c r="AV391" s="1018"/>
      <c r="AW391" s="1018"/>
      <c r="AX391" s="1018"/>
      <c r="AY391" s="1018"/>
      <c r="AZ391" s="1018"/>
      <c r="BA391" s="1018"/>
      <c r="BC391" s="1018"/>
      <c r="BE391" s="1018"/>
      <c r="BF391" s="1018"/>
      <c r="BG391" s="1018"/>
    </row>
    <row r="392" spans="18:59" x14ac:dyDescent="0.3">
      <c r="R392" s="1018"/>
      <c r="S392" s="1018"/>
      <c r="W392" s="1018"/>
      <c r="X392" s="1018"/>
      <c r="AE392" s="1018"/>
      <c r="AF392" s="1018"/>
      <c r="AV392" s="1018"/>
      <c r="AW392" s="1018"/>
      <c r="AX392" s="1018"/>
      <c r="AY392" s="1018"/>
      <c r="AZ392" s="1018"/>
      <c r="BA392" s="1018"/>
      <c r="BC392" s="1018"/>
      <c r="BE392" s="1018"/>
      <c r="BF392" s="1018"/>
      <c r="BG392" s="1018"/>
    </row>
    <row r="393" spans="18:59" x14ac:dyDescent="0.3">
      <c r="R393" s="1018"/>
      <c r="S393" s="1018"/>
      <c r="W393" s="1018"/>
      <c r="X393" s="1018"/>
      <c r="AE393" s="1018"/>
      <c r="AF393" s="1018"/>
      <c r="AV393" s="1018"/>
      <c r="AW393" s="1018"/>
      <c r="AX393" s="1018"/>
      <c r="AY393" s="1018"/>
      <c r="AZ393" s="1018"/>
      <c r="BA393" s="1018"/>
      <c r="BC393" s="1018"/>
      <c r="BE393" s="1018"/>
      <c r="BF393" s="1018"/>
      <c r="BG393" s="1018"/>
    </row>
    <row r="394" spans="18:59" x14ac:dyDescent="0.3">
      <c r="R394" s="1018"/>
      <c r="S394" s="1018"/>
      <c r="W394" s="1018"/>
      <c r="X394" s="1018"/>
      <c r="AE394" s="1018"/>
      <c r="AF394" s="1018"/>
      <c r="AV394" s="1018"/>
      <c r="AW394" s="1018"/>
      <c r="AX394" s="1018"/>
      <c r="AY394" s="1018"/>
      <c r="AZ394" s="1018"/>
      <c r="BA394" s="1018"/>
      <c r="BC394" s="1018"/>
      <c r="BE394" s="1018"/>
      <c r="BF394" s="1018"/>
      <c r="BG394" s="1018"/>
    </row>
    <row r="395" spans="18:59" x14ac:dyDescent="0.3">
      <c r="R395" s="1018"/>
      <c r="S395" s="1018"/>
      <c r="W395" s="1018"/>
      <c r="X395" s="1018"/>
      <c r="AE395" s="1018"/>
      <c r="AF395" s="1018"/>
      <c r="AV395" s="1018"/>
      <c r="AW395" s="1018"/>
      <c r="AX395" s="1018"/>
      <c r="AY395" s="1018"/>
      <c r="AZ395" s="1018"/>
      <c r="BA395" s="1018"/>
      <c r="BC395" s="1018"/>
      <c r="BE395" s="1018"/>
      <c r="BF395" s="1018"/>
      <c r="BG395" s="1018"/>
    </row>
    <row r="396" spans="18:59" x14ac:dyDescent="0.3">
      <c r="R396" s="1018"/>
      <c r="S396" s="1018"/>
      <c r="W396" s="1018"/>
      <c r="X396" s="1018"/>
      <c r="AE396" s="1018"/>
      <c r="AF396" s="1018"/>
      <c r="AV396" s="1018"/>
      <c r="AW396" s="1018"/>
      <c r="AX396" s="1018"/>
      <c r="AY396" s="1018"/>
      <c r="AZ396" s="1018"/>
      <c r="BA396" s="1018"/>
      <c r="BC396" s="1018"/>
      <c r="BE396" s="1018"/>
      <c r="BF396" s="1018"/>
      <c r="BG396" s="1018"/>
    </row>
    <row r="397" spans="18:59" x14ac:dyDescent="0.3">
      <c r="R397" s="1018"/>
      <c r="S397" s="1018"/>
      <c r="W397" s="1018"/>
      <c r="X397" s="1018"/>
      <c r="AE397" s="1018"/>
      <c r="AF397" s="1018"/>
      <c r="AV397" s="1018"/>
      <c r="AW397" s="1018"/>
      <c r="AX397" s="1018"/>
      <c r="AY397" s="1018"/>
      <c r="AZ397" s="1018"/>
      <c r="BA397" s="1018"/>
      <c r="BC397" s="1018"/>
      <c r="BE397" s="1018"/>
      <c r="BF397" s="1018"/>
      <c r="BG397" s="1018"/>
    </row>
    <row r="398" spans="18:59" x14ac:dyDescent="0.3">
      <c r="R398" s="1018"/>
      <c r="S398" s="1018"/>
      <c r="W398" s="1018"/>
      <c r="X398" s="1018"/>
      <c r="AE398" s="1018"/>
      <c r="AF398" s="1018"/>
      <c r="AV398" s="1018"/>
      <c r="AW398" s="1018"/>
      <c r="AX398" s="1018"/>
      <c r="AY398" s="1018"/>
      <c r="AZ398" s="1018"/>
      <c r="BA398" s="1018"/>
      <c r="BC398" s="1018"/>
      <c r="BE398" s="1018"/>
      <c r="BF398" s="1018"/>
      <c r="BG398" s="1018"/>
    </row>
    <row r="399" spans="18:59" x14ac:dyDescent="0.3">
      <c r="R399" s="1018"/>
      <c r="S399" s="1018"/>
      <c r="W399" s="1018"/>
      <c r="X399" s="1018"/>
      <c r="AE399" s="1018"/>
      <c r="AF399" s="1018"/>
      <c r="AV399" s="1018"/>
      <c r="AW399" s="1018"/>
      <c r="AX399" s="1018"/>
      <c r="AY399" s="1018"/>
      <c r="AZ399" s="1018"/>
      <c r="BA399" s="1018"/>
      <c r="BC399" s="1018"/>
      <c r="BE399" s="1018"/>
      <c r="BF399" s="1018"/>
      <c r="BG399" s="1018"/>
    </row>
    <row r="400" spans="18:59" x14ac:dyDescent="0.3">
      <c r="R400" s="1018"/>
      <c r="S400" s="1018"/>
      <c r="W400" s="1018"/>
      <c r="X400" s="1018"/>
      <c r="AE400" s="1018"/>
      <c r="AF400" s="1018"/>
      <c r="AV400" s="1018"/>
      <c r="AW400" s="1018"/>
      <c r="AX400" s="1018"/>
      <c r="AY400" s="1018"/>
      <c r="AZ400" s="1018"/>
      <c r="BA400" s="1018"/>
      <c r="BC400" s="1018"/>
      <c r="BE400" s="1018"/>
      <c r="BF400" s="1018"/>
      <c r="BG400" s="1018"/>
    </row>
    <row r="401" spans="18:59" x14ac:dyDescent="0.3">
      <c r="R401" s="1018"/>
      <c r="S401" s="1018"/>
      <c r="W401" s="1018"/>
      <c r="X401" s="1018"/>
      <c r="AE401" s="1018"/>
      <c r="AF401" s="1018"/>
      <c r="AV401" s="1018"/>
      <c r="AW401" s="1018"/>
      <c r="AX401" s="1018"/>
      <c r="AY401" s="1018"/>
      <c r="AZ401" s="1018"/>
      <c r="BA401" s="1018"/>
      <c r="BC401" s="1018"/>
      <c r="BE401" s="1018"/>
      <c r="BF401" s="1018"/>
      <c r="BG401" s="1018"/>
    </row>
    <row r="402" spans="18:59" x14ac:dyDescent="0.3">
      <c r="R402" s="1018"/>
      <c r="S402" s="1018"/>
      <c r="W402" s="1018"/>
      <c r="X402" s="1018"/>
      <c r="AE402" s="1018"/>
      <c r="AF402" s="1018"/>
      <c r="AV402" s="1018"/>
      <c r="AW402" s="1018"/>
      <c r="AX402" s="1018"/>
      <c r="AY402" s="1018"/>
      <c r="AZ402" s="1018"/>
      <c r="BA402" s="1018"/>
      <c r="BC402" s="1018"/>
      <c r="BE402" s="1018"/>
      <c r="BF402" s="1018"/>
      <c r="BG402" s="1018"/>
    </row>
    <row r="403" spans="18:59" x14ac:dyDescent="0.3">
      <c r="R403" s="1018"/>
      <c r="S403" s="1018"/>
      <c r="W403" s="1018"/>
      <c r="X403" s="1018"/>
      <c r="AE403" s="1018"/>
      <c r="AF403" s="1018"/>
      <c r="AV403" s="1018"/>
      <c r="AW403" s="1018"/>
      <c r="AX403" s="1018"/>
      <c r="AY403" s="1018"/>
      <c r="AZ403" s="1018"/>
      <c r="BA403" s="1018"/>
      <c r="BC403" s="1018"/>
      <c r="BE403" s="1018"/>
      <c r="BF403" s="1018"/>
      <c r="BG403" s="1018"/>
    </row>
    <row r="404" spans="18:59" x14ac:dyDescent="0.3">
      <c r="R404" s="1018"/>
      <c r="S404" s="1018"/>
      <c r="W404" s="1018"/>
      <c r="X404" s="1018"/>
      <c r="AE404" s="1018"/>
      <c r="AF404" s="1018"/>
      <c r="AV404" s="1018"/>
      <c r="AW404" s="1018"/>
      <c r="AX404" s="1018"/>
      <c r="AY404" s="1018"/>
      <c r="AZ404" s="1018"/>
      <c r="BA404" s="1018"/>
      <c r="BC404" s="1018"/>
      <c r="BE404" s="1018"/>
      <c r="BF404" s="1018"/>
      <c r="BG404" s="1018"/>
    </row>
    <row r="405" spans="18:59" x14ac:dyDescent="0.3">
      <c r="R405" s="1018"/>
      <c r="S405" s="1018"/>
      <c r="W405" s="1018"/>
      <c r="X405" s="1018"/>
      <c r="AE405" s="1018"/>
      <c r="AF405" s="1018"/>
      <c r="AV405" s="1018"/>
      <c r="AW405" s="1018"/>
      <c r="AX405" s="1018"/>
      <c r="AY405" s="1018"/>
      <c r="AZ405" s="1018"/>
      <c r="BA405" s="1018"/>
      <c r="BC405" s="1018"/>
      <c r="BE405" s="1018"/>
      <c r="BF405" s="1018"/>
      <c r="BG405" s="1018"/>
    </row>
    <row r="406" spans="18:59" x14ac:dyDescent="0.3">
      <c r="R406" s="1018"/>
      <c r="S406" s="1018"/>
      <c r="W406" s="1018"/>
      <c r="X406" s="1018"/>
      <c r="AE406" s="1018"/>
      <c r="AF406" s="1018"/>
      <c r="AV406" s="1018"/>
      <c r="AW406" s="1018"/>
      <c r="AX406" s="1018"/>
      <c r="AY406" s="1018"/>
      <c r="AZ406" s="1018"/>
      <c r="BA406" s="1018"/>
      <c r="BC406" s="1018"/>
      <c r="BE406" s="1018"/>
      <c r="BF406" s="1018"/>
      <c r="BG406" s="1018"/>
    </row>
    <row r="407" spans="18:59" x14ac:dyDescent="0.3">
      <c r="R407" s="1018"/>
      <c r="S407" s="1018"/>
      <c r="W407" s="1018"/>
      <c r="X407" s="1018"/>
      <c r="AE407" s="1018"/>
      <c r="AF407" s="1018"/>
      <c r="AV407" s="1018"/>
      <c r="AW407" s="1018"/>
      <c r="AX407" s="1018"/>
      <c r="AY407" s="1018"/>
      <c r="AZ407" s="1018"/>
      <c r="BA407" s="1018"/>
      <c r="BC407" s="1018"/>
      <c r="BE407" s="1018"/>
      <c r="BF407" s="1018"/>
      <c r="BG407" s="1018"/>
    </row>
    <row r="408" spans="18:59" x14ac:dyDescent="0.3">
      <c r="R408" s="1018"/>
      <c r="S408" s="1018"/>
      <c r="W408" s="1018"/>
      <c r="X408" s="1018"/>
      <c r="AE408" s="1018"/>
      <c r="AF408" s="1018"/>
      <c r="AV408" s="1018"/>
      <c r="AW408" s="1018"/>
      <c r="AX408" s="1018"/>
      <c r="AY408" s="1018"/>
      <c r="AZ408" s="1018"/>
      <c r="BA408" s="1018"/>
      <c r="BC408" s="1018"/>
      <c r="BE408" s="1018"/>
      <c r="BF408" s="1018"/>
      <c r="BG408" s="1018"/>
    </row>
    <row r="409" spans="18:59" x14ac:dyDescent="0.3">
      <c r="R409" s="1018"/>
      <c r="S409" s="1018"/>
      <c r="W409" s="1018"/>
      <c r="X409" s="1018"/>
      <c r="AE409" s="1018"/>
      <c r="AF409" s="1018"/>
      <c r="AV409" s="1018"/>
      <c r="AW409" s="1018"/>
      <c r="AX409" s="1018"/>
      <c r="AY409" s="1018"/>
      <c r="AZ409" s="1018"/>
      <c r="BA409" s="1018"/>
      <c r="BC409" s="1018"/>
      <c r="BE409" s="1018"/>
      <c r="BF409" s="1018"/>
      <c r="BG409" s="1018"/>
    </row>
    <row r="410" spans="18:59" x14ac:dyDescent="0.3">
      <c r="R410" s="1018"/>
      <c r="S410" s="1018"/>
      <c r="W410" s="1018"/>
      <c r="X410" s="1018"/>
      <c r="AE410" s="1018"/>
      <c r="AF410" s="1018"/>
      <c r="AV410" s="1018"/>
      <c r="AW410" s="1018"/>
      <c r="AX410" s="1018"/>
      <c r="AY410" s="1018"/>
      <c r="AZ410" s="1018"/>
      <c r="BA410" s="1018"/>
      <c r="BC410" s="1018"/>
      <c r="BE410" s="1018"/>
      <c r="BF410" s="1018"/>
      <c r="BG410" s="1018"/>
    </row>
    <row r="411" spans="18:59" x14ac:dyDescent="0.3">
      <c r="R411" s="1018"/>
      <c r="S411" s="1018"/>
      <c r="W411" s="1018"/>
      <c r="X411" s="1018"/>
      <c r="AE411" s="1018"/>
      <c r="AF411" s="1018"/>
      <c r="AV411" s="1018"/>
      <c r="AW411" s="1018"/>
      <c r="AX411" s="1018"/>
      <c r="AY411" s="1018"/>
      <c r="AZ411" s="1018"/>
      <c r="BA411" s="1018"/>
      <c r="BC411" s="1018"/>
      <c r="BE411" s="1018"/>
      <c r="BF411" s="1018"/>
      <c r="BG411" s="1018"/>
    </row>
    <row r="412" spans="18:59" x14ac:dyDescent="0.3">
      <c r="R412" s="1018"/>
      <c r="S412" s="1018"/>
      <c r="W412" s="1018"/>
      <c r="X412" s="1018"/>
      <c r="AE412" s="1018"/>
      <c r="AF412" s="1018"/>
      <c r="AV412" s="1018"/>
      <c r="AW412" s="1018"/>
      <c r="AX412" s="1018"/>
      <c r="AY412" s="1018"/>
      <c r="AZ412" s="1018"/>
      <c r="BA412" s="1018"/>
      <c r="BC412" s="1018"/>
      <c r="BE412" s="1018"/>
      <c r="BF412" s="1018"/>
      <c r="BG412" s="1018"/>
    </row>
    <row r="413" spans="18:59" x14ac:dyDescent="0.3">
      <c r="R413" s="1018"/>
      <c r="S413" s="1018"/>
      <c r="W413" s="1018"/>
      <c r="X413" s="1018"/>
      <c r="AE413" s="1018"/>
      <c r="AF413" s="1018"/>
      <c r="AV413" s="1018"/>
      <c r="AW413" s="1018"/>
      <c r="AX413" s="1018"/>
      <c r="AY413" s="1018"/>
      <c r="AZ413" s="1018"/>
      <c r="BA413" s="1018"/>
      <c r="BC413" s="1018"/>
      <c r="BE413" s="1018"/>
      <c r="BF413" s="1018"/>
      <c r="BG413" s="1018"/>
    </row>
    <row r="414" spans="18:59" x14ac:dyDescent="0.3">
      <c r="R414" s="1018"/>
      <c r="S414" s="1018"/>
      <c r="W414" s="1018"/>
      <c r="X414" s="1018"/>
      <c r="AE414" s="1018"/>
      <c r="AF414" s="1018"/>
      <c r="AV414" s="1018"/>
      <c r="AW414" s="1018"/>
      <c r="AX414" s="1018"/>
      <c r="AY414" s="1018"/>
      <c r="AZ414" s="1018"/>
      <c r="BA414" s="1018"/>
      <c r="BC414" s="1018"/>
      <c r="BE414" s="1018"/>
      <c r="BF414" s="1018"/>
      <c r="BG414" s="1018"/>
    </row>
    <row r="415" spans="18:59" x14ac:dyDescent="0.3">
      <c r="R415" s="1018"/>
      <c r="S415" s="1018"/>
      <c r="W415" s="1018"/>
      <c r="X415" s="1018"/>
      <c r="AE415" s="1018"/>
      <c r="AF415" s="1018"/>
      <c r="AV415" s="1018"/>
      <c r="AW415" s="1018"/>
      <c r="AX415" s="1018"/>
      <c r="AY415" s="1018"/>
      <c r="AZ415" s="1018"/>
      <c r="BA415" s="1018"/>
      <c r="BC415" s="1018"/>
      <c r="BE415" s="1018"/>
      <c r="BF415" s="1018"/>
      <c r="BG415" s="1018"/>
    </row>
    <row r="416" spans="18:59" x14ac:dyDescent="0.3">
      <c r="R416" s="1018"/>
      <c r="S416" s="1018"/>
      <c r="W416" s="1018"/>
      <c r="X416" s="1018"/>
      <c r="AE416" s="1018"/>
      <c r="AF416" s="1018"/>
      <c r="AV416" s="1018"/>
      <c r="AW416" s="1018"/>
      <c r="AX416" s="1018"/>
      <c r="AY416" s="1018"/>
      <c r="AZ416" s="1018"/>
      <c r="BA416" s="1018"/>
      <c r="BC416" s="1018"/>
      <c r="BE416" s="1018"/>
      <c r="BF416" s="1018"/>
      <c r="BG416" s="1018"/>
    </row>
    <row r="417" spans="18:59" x14ac:dyDescent="0.3">
      <c r="R417" s="1018"/>
      <c r="S417" s="1018"/>
      <c r="W417" s="1018"/>
      <c r="X417" s="1018"/>
      <c r="AE417" s="1018"/>
      <c r="AF417" s="1018"/>
      <c r="AV417" s="1018"/>
      <c r="AW417" s="1018"/>
      <c r="AX417" s="1018"/>
      <c r="AY417" s="1018"/>
      <c r="AZ417" s="1018"/>
      <c r="BA417" s="1018"/>
      <c r="BC417" s="1018"/>
      <c r="BE417" s="1018"/>
      <c r="BF417" s="1018"/>
      <c r="BG417" s="1018"/>
    </row>
    <row r="418" spans="18:59" x14ac:dyDescent="0.3">
      <c r="R418" s="1018"/>
      <c r="S418" s="1018"/>
      <c r="W418" s="1018"/>
      <c r="X418" s="1018"/>
      <c r="AE418" s="1018"/>
      <c r="AF418" s="1018"/>
      <c r="AV418" s="1018"/>
      <c r="AW418" s="1018"/>
      <c r="AX418" s="1018"/>
      <c r="AY418" s="1018"/>
      <c r="AZ418" s="1018"/>
      <c r="BA418" s="1018"/>
      <c r="BC418" s="1018"/>
      <c r="BE418" s="1018"/>
      <c r="BF418" s="1018"/>
      <c r="BG418" s="1018"/>
    </row>
    <row r="419" spans="18:59" x14ac:dyDescent="0.3">
      <c r="R419" s="1018"/>
      <c r="S419" s="1018"/>
      <c r="W419" s="1018"/>
      <c r="X419" s="1018"/>
      <c r="AE419" s="1018"/>
      <c r="AF419" s="1018"/>
      <c r="AV419" s="1018"/>
      <c r="AW419" s="1018"/>
      <c r="AX419" s="1018"/>
      <c r="AY419" s="1018"/>
      <c r="AZ419" s="1018"/>
      <c r="BA419" s="1018"/>
      <c r="BC419" s="1018"/>
      <c r="BE419" s="1018"/>
      <c r="BF419" s="1018"/>
      <c r="BG419" s="1018"/>
    </row>
    <row r="420" spans="18:59" x14ac:dyDescent="0.3">
      <c r="R420" s="1018"/>
      <c r="S420" s="1018"/>
      <c r="W420" s="1018"/>
      <c r="X420" s="1018"/>
      <c r="AE420" s="1018"/>
      <c r="AF420" s="1018"/>
      <c r="AV420" s="1018"/>
      <c r="AW420" s="1018"/>
      <c r="AX420" s="1018"/>
      <c r="AY420" s="1018"/>
      <c r="AZ420" s="1018"/>
      <c r="BA420" s="1018"/>
      <c r="BC420" s="1018"/>
      <c r="BE420" s="1018"/>
      <c r="BF420" s="1018"/>
      <c r="BG420" s="1018"/>
    </row>
    <row r="421" spans="18:59" x14ac:dyDescent="0.3">
      <c r="R421" s="1018"/>
      <c r="S421" s="1018"/>
      <c r="W421" s="1018"/>
      <c r="X421" s="1018"/>
      <c r="AE421" s="1018"/>
      <c r="AF421" s="1018"/>
      <c r="AV421" s="1018"/>
      <c r="AW421" s="1018"/>
      <c r="AX421" s="1018"/>
      <c r="AY421" s="1018"/>
      <c r="AZ421" s="1018"/>
      <c r="BA421" s="1018"/>
      <c r="BC421" s="1018"/>
      <c r="BE421" s="1018"/>
      <c r="BF421" s="1018"/>
      <c r="BG421" s="1018"/>
    </row>
    <row r="422" spans="18:59" x14ac:dyDescent="0.3">
      <c r="R422" s="1018"/>
      <c r="S422" s="1018"/>
      <c r="W422" s="1018"/>
      <c r="X422" s="1018"/>
      <c r="AE422" s="1018"/>
      <c r="AF422" s="1018"/>
      <c r="AV422" s="1018"/>
      <c r="AW422" s="1018"/>
      <c r="AX422" s="1018"/>
      <c r="AY422" s="1018"/>
      <c r="AZ422" s="1018"/>
      <c r="BA422" s="1018"/>
      <c r="BC422" s="1018"/>
      <c r="BE422" s="1018"/>
      <c r="BF422" s="1018"/>
      <c r="BG422" s="1018"/>
    </row>
    <row r="423" spans="18:59" x14ac:dyDescent="0.3">
      <c r="R423" s="1018"/>
      <c r="S423" s="1018"/>
      <c r="W423" s="1018"/>
      <c r="X423" s="1018"/>
      <c r="AE423" s="1018"/>
      <c r="AF423" s="1018"/>
      <c r="AV423" s="1018"/>
      <c r="AW423" s="1018"/>
      <c r="AX423" s="1018"/>
      <c r="AY423" s="1018"/>
      <c r="AZ423" s="1018"/>
      <c r="BA423" s="1018"/>
      <c r="BC423" s="1018"/>
      <c r="BE423" s="1018"/>
      <c r="BF423" s="1018"/>
      <c r="BG423" s="1018"/>
    </row>
    <row r="424" spans="18:59" x14ac:dyDescent="0.3">
      <c r="R424" s="1018"/>
      <c r="S424" s="1018"/>
      <c r="W424" s="1018"/>
      <c r="X424" s="1018"/>
      <c r="AE424" s="1018"/>
      <c r="AF424" s="1018"/>
      <c r="AV424" s="1018"/>
      <c r="AW424" s="1018"/>
      <c r="AX424" s="1018"/>
      <c r="AY424" s="1018"/>
      <c r="AZ424" s="1018"/>
      <c r="BA424" s="1018"/>
      <c r="BC424" s="1018"/>
      <c r="BE424" s="1018"/>
      <c r="BF424" s="1018"/>
      <c r="BG424" s="1018"/>
    </row>
    <row r="425" spans="18:59" x14ac:dyDescent="0.3">
      <c r="R425" s="1018"/>
      <c r="S425" s="1018"/>
      <c r="W425" s="1018"/>
      <c r="X425" s="1018"/>
      <c r="AE425" s="1018"/>
      <c r="AF425" s="1018"/>
      <c r="AV425" s="1018"/>
      <c r="AW425" s="1018"/>
      <c r="AX425" s="1018"/>
      <c r="AY425" s="1018"/>
      <c r="AZ425" s="1018"/>
      <c r="BA425" s="1018"/>
      <c r="BC425" s="1018"/>
      <c r="BE425" s="1018"/>
      <c r="BF425" s="1018"/>
      <c r="BG425" s="1018"/>
    </row>
    <row r="426" spans="18:59" x14ac:dyDescent="0.3">
      <c r="R426" s="1018"/>
      <c r="S426" s="1018"/>
      <c r="W426" s="1018"/>
      <c r="X426" s="1018"/>
      <c r="AE426" s="1018"/>
      <c r="AF426" s="1018"/>
      <c r="AV426" s="1018"/>
      <c r="AW426" s="1018"/>
      <c r="AX426" s="1018"/>
      <c r="AY426" s="1018"/>
      <c r="AZ426" s="1018"/>
      <c r="BA426" s="1018"/>
      <c r="BC426" s="1018"/>
      <c r="BE426" s="1018"/>
      <c r="BF426" s="1018"/>
      <c r="BG426" s="1018"/>
    </row>
    <row r="427" spans="18:59" x14ac:dyDescent="0.3">
      <c r="R427" s="1018"/>
      <c r="S427" s="1018"/>
      <c r="W427" s="1018"/>
      <c r="X427" s="1018"/>
      <c r="AE427" s="1018"/>
      <c r="AF427" s="1018"/>
      <c r="AV427" s="1018"/>
      <c r="AW427" s="1018"/>
      <c r="AX427" s="1018"/>
      <c r="AY427" s="1018"/>
      <c r="AZ427" s="1018"/>
      <c r="BA427" s="1018"/>
      <c r="BC427" s="1018"/>
      <c r="BE427" s="1018"/>
      <c r="BF427" s="1018"/>
      <c r="BG427" s="1018"/>
    </row>
    <row r="428" spans="18:59" x14ac:dyDescent="0.3">
      <c r="R428" s="1018"/>
      <c r="S428" s="1018"/>
      <c r="W428" s="1018"/>
      <c r="X428" s="1018"/>
      <c r="AE428" s="1018"/>
      <c r="AF428" s="1018"/>
      <c r="AV428" s="1018"/>
      <c r="AW428" s="1018"/>
      <c r="AX428" s="1018"/>
      <c r="AY428" s="1018"/>
      <c r="AZ428" s="1018"/>
      <c r="BA428" s="1018"/>
      <c r="BC428" s="1018"/>
      <c r="BE428" s="1018"/>
      <c r="BF428" s="1018"/>
      <c r="BG428" s="1018"/>
    </row>
    <row r="429" spans="18:59" x14ac:dyDescent="0.3">
      <c r="R429" s="1018"/>
      <c r="S429" s="1018"/>
      <c r="W429" s="1018"/>
      <c r="X429" s="1018"/>
      <c r="AE429" s="1018"/>
      <c r="AF429" s="1018"/>
      <c r="AV429" s="1018"/>
      <c r="AW429" s="1018"/>
      <c r="AX429" s="1018"/>
      <c r="AY429" s="1018"/>
      <c r="AZ429" s="1018"/>
      <c r="BA429" s="1018"/>
      <c r="BC429" s="1018"/>
      <c r="BE429" s="1018"/>
      <c r="BF429" s="1018"/>
      <c r="BG429" s="1018"/>
    </row>
    <row r="430" spans="18:59" x14ac:dyDescent="0.3">
      <c r="R430" s="1018"/>
      <c r="S430" s="1018"/>
      <c r="W430" s="1018"/>
      <c r="X430" s="1018"/>
      <c r="AE430" s="1018"/>
      <c r="AF430" s="1018"/>
      <c r="AV430" s="1018"/>
      <c r="AW430" s="1018"/>
      <c r="AX430" s="1018"/>
      <c r="AY430" s="1018"/>
      <c r="AZ430" s="1018"/>
      <c r="BA430" s="1018"/>
      <c r="BC430" s="1018"/>
      <c r="BE430" s="1018"/>
      <c r="BF430" s="1018"/>
      <c r="BG430" s="1018"/>
    </row>
    <row r="431" spans="18:59" x14ac:dyDescent="0.3">
      <c r="R431" s="1018"/>
      <c r="S431" s="1018"/>
      <c r="W431" s="1018"/>
      <c r="X431" s="1018"/>
      <c r="AE431" s="1018"/>
      <c r="AF431" s="1018"/>
      <c r="AV431" s="1018"/>
      <c r="AW431" s="1018"/>
      <c r="AX431" s="1018"/>
      <c r="AY431" s="1018"/>
      <c r="AZ431" s="1018"/>
      <c r="BA431" s="1018"/>
      <c r="BC431" s="1018"/>
      <c r="BE431" s="1018"/>
      <c r="BF431" s="1018"/>
      <c r="BG431" s="1018"/>
    </row>
    <row r="432" spans="18:59" x14ac:dyDescent="0.3">
      <c r="R432" s="1018"/>
      <c r="S432" s="1018"/>
      <c r="W432" s="1018"/>
      <c r="X432" s="1018"/>
      <c r="AE432" s="1018"/>
      <c r="AF432" s="1018"/>
      <c r="AV432" s="1018"/>
      <c r="AW432" s="1018"/>
      <c r="AX432" s="1018"/>
      <c r="AY432" s="1018"/>
      <c r="AZ432" s="1018"/>
      <c r="BA432" s="1018"/>
      <c r="BC432" s="1018"/>
      <c r="BE432" s="1018"/>
      <c r="BF432" s="1018"/>
      <c r="BG432" s="1018"/>
    </row>
    <row r="433" spans="18:59" x14ac:dyDescent="0.3">
      <c r="R433" s="1018"/>
      <c r="S433" s="1018"/>
      <c r="W433" s="1018"/>
      <c r="X433" s="1018"/>
      <c r="AE433" s="1018"/>
      <c r="AF433" s="1018"/>
      <c r="AV433" s="1018"/>
      <c r="AW433" s="1018"/>
      <c r="AX433" s="1018"/>
      <c r="AY433" s="1018"/>
      <c r="AZ433" s="1018"/>
      <c r="BA433" s="1018"/>
      <c r="BC433" s="1018"/>
      <c r="BE433" s="1018"/>
      <c r="BF433" s="1018"/>
      <c r="BG433" s="1018"/>
    </row>
    <row r="434" spans="18:59" x14ac:dyDescent="0.3">
      <c r="R434" s="1018"/>
      <c r="S434" s="1018"/>
      <c r="W434" s="1018"/>
      <c r="X434" s="1018"/>
      <c r="AE434" s="1018"/>
      <c r="AF434" s="1018"/>
      <c r="AV434" s="1018"/>
      <c r="AW434" s="1018"/>
      <c r="AX434" s="1018"/>
      <c r="AY434" s="1018"/>
      <c r="AZ434" s="1018"/>
      <c r="BA434" s="1018"/>
      <c r="BC434" s="1018"/>
      <c r="BE434" s="1018"/>
      <c r="BF434" s="1018"/>
      <c r="BG434" s="1018"/>
    </row>
    <row r="435" spans="18:59" x14ac:dyDescent="0.3">
      <c r="R435" s="1018"/>
      <c r="S435" s="1018"/>
      <c r="W435" s="1018"/>
      <c r="X435" s="1018"/>
      <c r="AE435" s="1018"/>
      <c r="AF435" s="1018"/>
      <c r="AV435" s="1018"/>
      <c r="AW435" s="1018"/>
      <c r="AX435" s="1018"/>
      <c r="AY435" s="1018"/>
      <c r="AZ435" s="1018"/>
      <c r="BA435" s="1018"/>
      <c r="BC435" s="1018"/>
      <c r="BE435" s="1018"/>
      <c r="BF435" s="1018"/>
      <c r="BG435" s="1018"/>
    </row>
    <row r="436" spans="18:59" x14ac:dyDescent="0.3">
      <c r="R436" s="1018"/>
      <c r="S436" s="1018"/>
      <c r="W436" s="1018"/>
      <c r="X436" s="1018"/>
      <c r="AE436" s="1018"/>
      <c r="AF436" s="1018"/>
      <c r="AV436" s="1018"/>
      <c r="AW436" s="1018"/>
      <c r="AX436" s="1018"/>
      <c r="AY436" s="1018"/>
      <c r="AZ436" s="1018"/>
      <c r="BA436" s="1018"/>
      <c r="BC436" s="1018"/>
      <c r="BE436" s="1018"/>
      <c r="BF436" s="1018"/>
      <c r="BG436" s="1018"/>
    </row>
    <row r="437" spans="18:59" x14ac:dyDescent="0.3">
      <c r="R437" s="1018"/>
      <c r="S437" s="1018"/>
      <c r="W437" s="1018"/>
      <c r="X437" s="1018"/>
      <c r="AE437" s="1018"/>
      <c r="AF437" s="1018"/>
      <c r="AV437" s="1018"/>
      <c r="AW437" s="1018"/>
      <c r="AX437" s="1018"/>
      <c r="AY437" s="1018"/>
      <c r="AZ437" s="1018"/>
      <c r="BA437" s="1018"/>
      <c r="BC437" s="1018"/>
      <c r="BE437" s="1018"/>
      <c r="BF437" s="1018"/>
      <c r="BG437" s="1018"/>
    </row>
    <row r="438" spans="18:59" x14ac:dyDescent="0.3">
      <c r="R438" s="1018"/>
      <c r="S438" s="1018"/>
      <c r="W438" s="1018"/>
      <c r="X438" s="1018"/>
      <c r="AE438" s="1018"/>
      <c r="AF438" s="1018"/>
      <c r="AV438" s="1018"/>
      <c r="AW438" s="1018"/>
      <c r="AX438" s="1018"/>
      <c r="AY438" s="1018"/>
      <c r="AZ438" s="1018"/>
      <c r="BA438" s="1018"/>
      <c r="BC438" s="1018"/>
      <c r="BE438" s="1018"/>
      <c r="BF438" s="1018"/>
      <c r="BG438" s="1018"/>
    </row>
    <row r="439" spans="18:59" x14ac:dyDescent="0.3">
      <c r="R439" s="1018"/>
      <c r="S439" s="1018"/>
      <c r="W439" s="1018"/>
      <c r="X439" s="1018"/>
      <c r="AE439" s="1018"/>
      <c r="AF439" s="1018"/>
      <c r="AV439" s="1018"/>
      <c r="AW439" s="1018"/>
      <c r="AX439" s="1018"/>
      <c r="AY439" s="1018"/>
      <c r="AZ439" s="1018"/>
      <c r="BA439" s="1018"/>
      <c r="BC439" s="1018"/>
      <c r="BE439" s="1018"/>
      <c r="BF439" s="1018"/>
      <c r="BG439" s="1018"/>
    </row>
    <row r="440" spans="18:59" x14ac:dyDescent="0.3">
      <c r="R440" s="1018"/>
      <c r="S440" s="1018"/>
      <c r="W440" s="1018"/>
      <c r="X440" s="1018"/>
      <c r="AE440" s="1018"/>
      <c r="AF440" s="1018"/>
      <c r="AV440" s="1018"/>
      <c r="AW440" s="1018"/>
      <c r="AX440" s="1018"/>
      <c r="AY440" s="1018"/>
      <c r="AZ440" s="1018"/>
      <c r="BA440" s="1018"/>
      <c r="BC440" s="1018"/>
      <c r="BE440" s="1018"/>
      <c r="BF440" s="1018"/>
      <c r="BG440" s="1018"/>
    </row>
    <row r="441" spans="18:59" x14ac:dyDescent="0.3">
      <c r="R441" s="1018"/>
      <c r="S441" s="1018"/>
      <c r="W441" s="1018"/>
      <c r="X441" s="1018"/>
      <c r="AE441" s="1018"/>
      <c r="AF441" s="1018"/>
      <c r="AV441" s="1018"/>
      <c r="AW441" s="1018"/>
      <c r="AX441" s="1018"/>
      <c r="AY441" s="1018"/>
      <c r="AZ441" s="1018"/>
      <c r="BA441" s="1018"/>
      <c r="BC441" s="1018"/>
      <c r="BE441" s="1018"/>
      <c r="BF441" s="1018"/>
      <c r="BG441" s="1018"/>
    </row>
    <row r="442" spans="18:59" x14ac:dyDescent="0.3">
      <c r="R442" s="1018"/>
      <c r="S442" s="1018"/>
      <c r="W442" s="1018"/>
      <c r="X442" s="1018"/>
      <c r="AE442" s="1018"/>
      <c r="AF442" s="1018"/>
      <c r="AV442" s="1018"/>
      <c r="AW442" s="1018"/>
      <c r="AX442" s="1018"/>
      <c r="AY442" s="1018"/>
      <c r="AZ442" s="1018"/>
      <c r="BA442" s="1018"/>
      <c r="BC442" s="1018"/>
      <c r="BE442" s="1018"/>
      <c r="BF442" s="1018"/>
      <c r="BG442" s="1018"/>
    </row>
    <row r="443" spans="18:59" x14ac:dyDescent="0.3">
      <c r="R443" s="1018"/>
      <c r="S443" s="1018"/>
      <c r="W443" s="1018"/>
      <c r="X443" s="1018"/>
      <c r="AE443" s="1018"/>
      <c r="AF443" s="1018"/>
      <c r="AV443" s="1018"/>
      <c r="AW443" s="1018"/>
      <c r="AX443" s="1018"/>
      <c r="AY443" s="1018"/>
      <c r="AZ443" s="1018"/>
      <c r="BA443" s="1018"/>
      <c r="BC443" s="1018"/>
      <c r="BE443" s="1018"/>
      <c r="BF443" s="1018"/>
      <c r="BG443" s="1018"/>
    </row>
    <row r="444" spans="18:59" x14ac:dyDescent="0.3">
      <c r="R444" s="1018"/>
      <c r="S444" s="1018"/>
      <c r="W444" s="1018"/>
      <c r="X444" s="1018"/>
      <c r="AE444" s="1018"/>
      <c r="AF444" s="1018"/>
      <c r="AV444" s="1018"/>
      <c r="AW444" s="1018"/>
      <c r="AX444" s="1018"/>
      <c r="AY444" s="1018"/>
      <c r="AZ444" s="1018"/>
      <c r="BA444" s="1018"/>
      <c r="BC444" s="1018"/>
      <c r="BE444" s="1018"/>
      <c r="BF444" s="1018"/>
      <c r="BG444" s="1018"/>
    </row>
    <row r="445" spans="18:59" x14ac:dyDescent="0.3">
      <c r="R445" s="1018"/>
      <c r="S445" s="1018"/>
      <c r="W445" s="1018"/>
      <c r="X445" s="1018"/>
      <c r="AE445" s="1018"/>
      <c r="AF445" s="1018"/>
      <c r="AV445" s="1018"/>
      <c r="AW445" s="1018"/>
      <c r="AX445" s="1018"/>
      <c r="AY445" s="1018"/>
      <c r="AZ445" s="1018"/>
      <c r="BA445" s="1018"/>
      <c r="BC445" s="1018"/>
      <c r="BE445" s="1018"/>
      <c r="BF445" s="1018"/>
      <c r="BG445" s="1018"/>
    </row>
    <row r="446" spans="18:59" x14ac:dyDescent="0.3">
      <c r="R446" s="1018"/>
      <c r="S446" s="1018"/>
      <c r="W446" s="1018"/>
      <c r="X446" s="1018"/>
      <c r="AE446" s="1018"/>
      <c r="AF446" s="1018"/>
      <c r="AV446" s="1018"/>
      <c r="AW446" s="1018"/>
      <c r="AX446" s="1018"/>
      <c r="AY446" s="1018"/>
      <c r="AZ446" s="1018"/>
      <c r="BA446" s="1018"/>
      <c r="BC446" s="1018"/>
      <c r="BE446" s="1018"/>
      <c r="BF446" s="1018"/>
      <c r="BG446" s="1018"/>
    </row>
    <row r="447" spans="18:59" x14ac:dyDescent="0.3">
      <c r="R447" s="1018"/>
      <c r="S447" s="1018"/>
      <c r="W447" s="1018"/>
      <c r="X447" s="1018"/>
      <c r="AE447" s="1018"/>
      <c r="AF447" s="1018"/>
      <c r="AV447" s="1018"/>
      <c r="AW447" s="1018"/>
      <c r="AX447" s="1018"/>
      <c r="AY447" s="1018"/>
      <c r="AZ447" s="1018"/>
      <c r="BA447" s="1018"/>
      <c r="BC447" s="1018"/>
      <c r="BE447" s="1018"/>
      <c r="BF447" s="1018"/>
      <c r="BG447" s="1018"/>
    </row>
    <row r="448" spans="18:59" x14ac:dyDescent="0.3">
      <c r="R448" s="1018"/>
      <c r="S448" s="1018"/>
      <c r="W448" s="1018"/>
      <c r="X448" s="1018"/>
      <c r="AE448" s="1018"/>
      <c r="AF448" s="1018"/>
      <c r="AV448" s="1018"/>
      <c r="AW448" s="1018"/>
      <c r="AX448" s="1018"/>
      <c r="AY448" s="1018"/>
      <c r="AZ448" s="1018"/>
      <c r="BA448" s="1018"/>
      <c r="BC448" s="1018"/>
      <c r="BE448" s="1018"/>
      <c r="BF448" s="1018"/>
      <c r="BG448" s="1018"/>
    </row>
    <row r="449" spans="18:59" x14ac:dyDescent="0.3">
      <c r="R449" s="1018"/>
      <c r="S449" s="1018"/>
      <c r="W449" s="1018"/>
      <c r="X449" s="1018"/>
      <c r="AE449" s="1018"/>
      <c r="AF449" s="1018"/>
      <c r="AV449" s="1018"/>
      <c r="AW449" s="1018"/>
      <c r="AX449" s="1018"/>
      <c r="AY449" s="1018"/>
      <c r="AZ449" s="1018"/>
      <c r="BA449" s="1018"/>
      <c r="BC449" s="1018"/>
      <c r="BE449" s="1018"/>
      <c r="BF449" s="1018"/>
      <c r="BG449" s="1018"/>
    </row>
    <row r="450" spans="18:59" x14ac:dyDescent="0.3">
      <c r="R450" s="1018"/>
      <c r="S450" s="1018"/>
      <c r="W450" s="1018"/>
      <c r="X450" s="1018"/>
      <c r="AE450" s="1018"/>
      <c r="AF450" s="1018"/>
      <c r="AV450" s="1018"/>
      <c r="AW450" s="1018"/>
      <c r="AX450" s="1018"/>
      <c r="AY450" s="1018"/>
      <c r="AZ450" s="1018"/>
      <c r="BA450" s="1018"/>
      <c r="BC450" s="1018"/>
      <c r="BE450" s="1018"/>
      <c r="BF450" s="1018"/>
      <c r="BG450" s="1018"/>
    </row>
    <row r="451" spans="18:59" x14ac:dyDescent="0.3">
      <c r="R451" s="1018"/>
      <c r="S451" s="1018"/>
      <c r="W451" s="1018"/>
      <c r="X451" s="1018"/>
      <c r="AE451" s="1018"/>
      <c r="AF451" s="1018"/>
      <c r="AV451" s="1018"/>
      <c r="AW451" s="1018"/>
      <c r="AX451" s="1018"/>
      <c r="AY451" s="1018"/>
      <c r="AZ451" s="1018"/>
      <c r="BA451" s="1018"/>
      <c r="BC451" s="1018"/>
      <c r="BE451" s="1018"/>
      <c r="BF451" s="1018"/>
      <c r="BG451" s="1018"/>
    </row>
    <row r="452" spans="18:59" x14ac:dyDescent="0.3">
      <c r="R452" s="1018"/>
      <c r="S452" s="1018"/>
      <c r="W452" s="1018"/>
      <c r="X452" s="1018"/>
      <c r="AE452" s="1018"/>
      <c r="AF452" s="1018"/>
      <c r="AV452" s="1018"/>
      <c r="AW452" s="1018"/>
      <c r="AX452" s="1018"/>
      <c r="AY452" s="1018"/>
      <c r="AZ452" s="1018"/>
      <c r="BA452" s="1018"/>
      <c r="BC452" s="1018"/>
      <c r="BE452" s="1018"/>
      <c r="BF452" s="1018"/>
      <c r="BG452" s="1018"/>
    </row>
    <row r="453" spans="18:59" x14ac:dyDescent="0.3">
      <c r="R453" s="1018"/>
      <c r="S453" s="1018"/>
      <c r="W453" s="1018"/>
      <c r="X453" s="1018"/>
      <c r="AE453" s="1018"/>
      <c r="AF453" s="1018"/>
      <c r="AV453" s="1018"/>
      <c r="AW453" s="1018"/>
      <c r="AX453" s="1018"/>
      <c r="AY453" s="1018"/>
      <c r="AZ453" s="1018"/>
      <c r="BA453" s="1018"/>
      <c r="BC453" s="1018"/>
      <c r="BE453" s="1018"/>
      <c r="BF453" s="1018"/>
      <c r="BG453" s="1018"/>
    </row>
    <row r="454" spans="18:59" x14ac:dyDescent="0.3">
      <c r="R454" s="1018"/>
      <c r="S454" s="1018"/>
      <c r="W454" s="1018"/>
      <c r="X454" s="1018"/>
      <c r="AE454" s="1018"/>
      <c r="AF454" s="1018"/>
      <c r="AV454" s="1018"/>
      <c r="AW454" s="1018"/>
      <c r="AX454" s="1018"/>
      <c r="AY454" s="1018"/>
      <c r="AZ454" s="1018"/>
      <c r="BA454" s="1018"/>
      <c r="BC454" s="1018"/>
      <c r="BE454" s="1018"/>
      <c r="BF454" s="1018"/>
      <c r="BG454" s="1018"/>
    </row>
    <row r="455" spans="18:59" x14ac:dyDescent="0.3">
      <c r="R455" s="1018"/>
      <c r="S455" s="1018"/>
      <c r="W455" s="1018"/>
      <c r="X455" s="1018"/>
      <c r="AE455" s="1018"/>
      <c r="AF455" s="1018"/>
      <c r="AV455" s="1018"/>
      <c r="AW455" s="1018"/>
      <c r="AX455" s="1018"/>
      <c r="AY455" s="1018"/>
      <c r="AZ455" s="1018"/>
      <c r="BA455" s="1018"/>
      <c r="BC455" s="1018"/>
      <c r="BE455" s="1018"/>
      <c r="BF455" s="1018"/>
      <c r="BG455" s="1018"/>
    </row>
    <row r="456" spans="18:59" x14ac:dyDescent="0.3">
      <c r="R456" s="1018"/>
      <c r="S456" s="1018"/>
      <c r="W456" s="1018"/>
      <c r="X456" s="1018"/>
      <c r="AE456" s="1018"/>
      <c r="AF456" s="1018"/>
      <c r="AV456" s="1018"/>
      <c r="AW456" s="1018"/>
      <c r="AX456" s="1018"/>
      <c r="AY456" s="1018"/>
      <c r="AZ456" s="1018"/>
      <c r="BA456" s="1018"/>
      <c r="BC456" s="1018"/>
      <c r="BE456" s="1018"/>
      <c r="BF456" s="1018"/>
      <c r="BG456" s="1018"/>
    </row>
    <row r="457" spans="18:59" x14ac:dyDescent="0.3">
      <c r="R457" s="1018"/>
      <c r="S457" s="1018"/>
      <c r="W457" s="1018"/>
      <c r="X457" s="1018"/>
      <c r="AE457" s="1018"/>
      <c r="AF457" s="1018"/>
      <c r="AV457" s="1018"/>
      <c r="AW457" s="1018"/>
      <c r="AX457" s="1018"/>
      <c r="AY457" s="1018"/>
      <c r="AZ457" s="1018"/>
      <c r="BA457" s="1018"/>
      <c r="BC457" s="1018"/>
      <c r="BE457" s="1018"/>
      <c r="BF457" s="1018"/>
      <c r="BG457" s="1018"/>
    </row>
    <row r="458" spans="18:59" x14ac:dyDescent="0.3">
      <c r="R458" s="1018"/>
      <c r="S458" s="1018"/>
      <c r="W458" s="1018"/>
      <c r="X458" s="1018"/>
      <c r="AE458" s="1018"/>
      <c r="AF458" s="1018"/>
      <c r="AV458" s="1018"/>
      <c r="AW458" s="1018"/>
      <c r="AX458" s="1018"/>
      <c r="AY458" s="1018"/>
      <c r="AZ458" s="1018"/>
      <c r="BA458" s="1018"/>
      <c r="BC458" s="1018"/>
      <c r="BE458" s="1018"/>
      <c r="BF458" s="1018"/>
      <c r="BG458" s="1018"/>
    </row>
    <row r="459" spans="18:59" x14ac:dyDescent="0.3">
      <c r="R459" s="1018"/>
      <c r="S459" s="1018"/>
      <c r="W459" s="1018"/>
      <c r="X459" s="1018"/>
      <c r="AE459" s="1018"/>
      <c r="AF459" s="1018"/>
      <c r="AV459" s="1018"/>
      <c r="AW459" s="1018"/>
      <c r="AX459" s="1018"/>
      <c r="AY459" s="1018"/>
      <c r="AZ459" s="1018"/>
      <c r="BA459" s="1018"/>
      <c r="BC459" s="1018"/>
      <c r="BE459" s="1018"/>
      <c r="BF459" s="1018"/>
      <c r="BG459" s="1018"/>
    </row>
    <row r="460" spans="18:59" x14ac:dyDescent="0.3">
      <c r="R460" s="1018"/>
      <c r="S460" s="1018"/>
      <c r="W460" s="1018"/>
      <c r="X460" s="1018"/>
      <c r="AE460" s="1018"/>
      <c r="AF460" s="1018"/>
      <c r="AV460" s="1018"/>
      <c r="AW460" s="1018"/>
      <c r="AX460" s="1018"/>
      <c r="AY460" s="1018"/>
      <c r="AZ460" s="1018"/>
      <c r="BA460" s="1018"/>
      <c r="BC460" s="1018"/>
      <c r="BE460" s="1018"/>
      <c r="BF460" s="1018"/>
      <c r="BG460" s="1018"/>
    </row>
    <row r="461" spans="18:59" x14ac:dyDescent="0.3">
      <c r="R461" s="1018"/>
      <c r="S461" s="1018"/>
      <c r="W461" s="1018"/>
      <c r="X461" s="1018"/>
      <c r="AE461" s="1018"/>
      <c r="AF461" s="1018"/>
      <c r="AV461" s="1018"/>
      <c r="AW461" s="1018"/>
      <c r="AX461" s="1018"/>
      <c r="AY461" s="1018"/>
      <c r="AZ461" s="1018"/>
      <c r="BA461" s="1018"/>
      <c r="BC461" s="1018"/>
      <c r="BE461" s="1018"/>
      <c r="BF461" s="1018"/>
      <c r="BG461" s="1018"/>
    </row>
    <row r="462" spans="18:59" x14ac:dyDescent="0.3">
      <c r="R462" s="1018"/>
      <c r="S462" s="1018"/>
      <c r="W462" s="1018"/>
      <c r="X462" s="1018"/>
      <c r="AE462" s="1018"/>
      <c r="AF462" s="1018"/>
      <c r="AV462" s="1018"/>
      <c r="AW462" s="1018"/>
      <c r="AX462" s="1018"/>
      <c r="AY462" s="1018"/>
      <c r="AZ462" s="1018"/>
      <c r="BA462" s="1018"/>
      <c r="BC462" s="1018"/>
      <c r="BE462" s="1018"/>
      <c r="BF462" s="1018"/>
      <c r="BG462" s="1018"/>
    </row>
    <row r="463" spans="18:59" x14ac:dyDescent="0.3">
      <c r="R463" s="1018"/>
      <c r="S463" s="1018"/>
      <c r="W463" s="1018"/>
      <c r="X463" s="1018"/>
      <c r="AE463" s="1018"/>
      <c r="AF463" s="1018"/>
      <c r="AV463" s="1018"/>
      <c r="AW463" s="1018"/>
      <c r="AX463" s="1018"/>
      <c r="AY463" s="1018"/>
      <c r="AZ463" s="1018"/>
      <c r="BA463" s="1018"/>
      <c r="BC463" s="1018"/>
      <c r="BE463" s="1018"/>
      <c r="BF463" s="1018"/>
      <c r="BG463" s="1018"/>
    </row>
    <row r="464" spans="18:59" x14ac:dyDescent="0.3">
      <c r="R464" s="1018"/>
      <c r="S464" s="1018"/>
      <c r="W464" s="1018"/>
      <c r="X464" s="1018"/>
      <c r="AE464" s="1018"/>
      <c r="AF464" s="1018"/>
      <c r="AV464" s="1018"/>
      <c r="AW464" s="1018"/>
      <c r="AX464" s="1018"/>
      <c r="AY464" s="1018"/>
      <c r="AZ464" s="1018"/>
      <c r="BA464" s="1018"/>
      <c r="BC464" s="1018"/>
      <c r="BE464" s="1018"/>
      <c r="BF464" s="1018"/>
      <c r="BG464" s="1018"/>
    </row>
    <row r="465" spans="18:59" x14ac:dyDescent="0.3">
      <c r="R465" s="1018"/>
      <c r="S465" s="1018"/>
      <c r="W465" s="1018"/>
      <c r="X465" s="1018"/>
      <c r="AE465" s="1018"/>
      <c r="AF465" s="1018"/>
      <c r="AV465" s="1018"/>
      <c r="AW465" s="1018"/>
      <c r="AX465" s="1018"/>
      <c r="AY465" s="1018"/>
      <c r="AZ465" s="1018"/>
      <c r="BA465" s="1018"/>
      <c r="BC465" s="1018"/>
      <c r="BE465" s="1018"/>
      <c r="BF465" s="1018"/>
      <c r="BG465" s="1018"/>
    </row>
    <row r="466" spans="18:59" x14ac:dyDescent="0.3">
      <c r="R466" s="1018"/>
      <c r="S466" s="1018"/>
      <c r="W466" s="1018"/>
      <c r="X466" s="1018"/>
      <c r="AE466" s="1018"/>
      <c r="AF466" s="1018"/>
      <c r="AV466" s="1018"/>
      <c r="AW466" s="1018"/>
      <c r="AX466" s="1018"/>
      <c r="AY466" s="1018"/>
      <c r="AZ466" s="1018"/>
      <c r="BA466" s="1018"/>
      <c r="BC466" s="1018"/>
      <c r="BE466" s="1018"/>
      <c r="BF466" s="1018"/>
      <c r="BG466" s="1018"/>
    </row>
    <row r="467" spans="18:59" x14ac:dyDescent="0.3">
      <c r="R467" s="1018"/>
      <c r="S467" s="1018"/>
      <c r="W467" s="1018"/>
      <c r="X467" s="1018"/>
      <c r="AE467" s="1018"/>
      <c r="AF467" s="1018"/>
      <c r="AV467" s="1018"/>
      <c r="AW467" s="1018"/>
      <c r="AX467" s="1018"/>
      <c r="AY467" s="1018"/>
      <c r="AZ467" s="1018"/>
      <c r="BA467" s="1018"/>
      <c r="BC467" s="1018"/>
      <c r="BE467" s="1018"/>
      <c r="BF467" s="1018"/>
      <c r="BG467" s="1018"/>
    </row>
    <row r="468" spans="18:59" x14ac:dyDescent="0.3">
      <c r="R468" s="1018"/>
      <c r="S468" s="1018"/>
      <c r="W468" s="1018"/>
      <c r="X468" s="1018"/>
      <c r="AE468" s="1018"/>
      <c r="AF468" s="1018"/>
      <c r="AV468" s="1018"/>
      <c r="AW468" s="1018"/>
      <c r="AX468" s="1018"/>
      <c r="AY468" s="1018"/>
      <c r="AZ468" s="1018"/>
      <c r="BA468" s="1018"/>
      <c r="BC468" s="1018"/>
      <c r="BE468" s="1018"/>
      <c r="BF468" s="1018"/>
      <c r="BG468" s="1018"/>
    </row>
    <row r="469" spans="18:59" x14ac:dyDescent="0.3">
      <c r="R469" s="1018"/>
      <c r="S469" s="1018"/>
      <c r="W469" s="1018"/>
      <c r="X469" s="1018"/>
      <c r="AE469" s="1018"/>
      <c r="AF469" s="1018"/>
      <c r="AV469" s="1018"/>
      <c r="AW469" s="1018"/>
      <c r="AX469" s="1018"/>
      <c r="AY469" s="1018"/>
      <c r="AZ469" s="1018"/>
      <c r="BA469" s="1018"/>
      <c r="BC469" s="1018"/>
      <c r="BE469" s="1018"/>
      <c r="BF469" s="1018"/>
      <c r="BG469" s="1018"/>
    </row>
    <row r="470" spans="18:59" x14ac:dyDescent="0.3">
      <c r="R470" s="1018"/>
      <c r="S470" s="1018"/>
      <c r="W470" s="1018"/>
      <c r="X470" s="1018"/>
      <c r="AE470" s="1018"/>
      <c r="AF470" s="1018"/>
      <c r="AV470" s="1018"/>
      <c r="AW470" s="1018"/>
      <c r="AX470" s="1018"/>
      <c r="AY470" s="1018"/>
      <c r="AZ470" s="1018"/>
      <c r="BA470" s="1018"/>
      <c r="BC470" s="1018"/>
      <c r="BE470" s="1018"/>
      <c r="BF470" s="1018"/>
      <c r="BG470" s="1018"/>
    </row>
    <row r="471" spans="18:59" x14ac:dyDescent="0.3">
      <c r="R471" s="1018"/>
      <c r="S471" s="1018"/>
      <c r="W471" s="1018"/>
      <c r="X471" s="1018"/>
      <c r="AE471" s="1018"/>
      <c r="AF471" s="1018"/>
      <c r="AV471" s="1018"/>
      <c r="AW471" s="1018"/>
      <c r="AX471" s="1018"/>
      <c r="AY471" s="1018"/>
      <c r="AZ471" s="1018"/>
      <c r="BA471" s="1018"/>
      <c r="BC471" s="1018"/>
      <c r="BE471" s="1018"/>
      <c r="BF471" s="1018"/>
      <c r="BG471" s="1018"/>
    </row>
    <row r="472" spans="18:59" x14ac:dyDescent="0.3">
      <c r="R472" s="1018"/>
      <c r="S472" s="1018"/>
      <c r="W472" s="1018"/>
      <c r="X472" s="1018"/>
      <c r="AE472" s="1018"/>
      <c r="AF472" s="1018"/>
      <c r="AV472" s="1018"/>
      <c r="AW472" s="1018"/>
      <c r="AX472" s="1018"/>
      <c r="AY472" s="1018"/>
      <c r="AZ472" s="1018"/>
      <c r="BA472" s="1018"/>
      <c r="BC472" s="1018"/>
      <c r="BE472" s="1018"/>
      <c r="BF472" s="1018"/>
      <c r="BG472" s="1018"/>
    </row>
    <row r="473" spans="18:59" x14ac:dyDescent="0.3">
      <c r="R473" s="1018"/>
      <c r="S473" s="1018"/>
      <c r="W473" s="1018"/>
      <c r="X473" s="1018"/>
      <c r="AE473" s="1018"/>
      <c r="AF473" s="1018"/>
      <c r="AV473" s="1018"/>
      <c r="AW473" s="1018"/>
      <c r="AX473" s="1018"/>
      <c r="AY473" s="1018"/>
      <c r="AZ473" s="1018"/>
      <c r="BA473" s="1018"/>
      <c r="BC473" s="1018"/>
      <c r="BE473" s="1018"/>
      <c r="BF473" s="1018"/>
      <c r="BG473" s="1018"/>
    </row>
    <row r="474" spans="18:59" x14ac:dyDescent="0.3">
      <c r="R474" s="1018"/>
      <c r="S474" s="1018"/>
      <c r="W474" s="1018"/>
      <c r="X474" s="1018"/>
      <c r="AE474" s="1018"/>
      <c r="AF474" s="1018"/>
      <c r="AV474" s="1018"/>
      <c r="AW474" s="1018"/>
      <c r="AX474" s="1018"/>
      <c r="AY474" s="1018"/>
      <c r="AZ474" s="1018"/>
      <c r="BA474" s="1018"/>
      <c r="BC474" s="1018"/>
      <c r="BE474" s="1018"/>
      <c r="BF474" s="1018"/>
      <c r="BG474" s="1018"/>
    </row>
    <row r="475" spans="18:59" x14ac:dyDescent="0.3">
      <c r="R475" s="1018"/>
      <c r="S475" s="1018"/>
      <c r="W475" s="1018"/>
      <c r="X475" s="1018"/>
      <c r="AE475" s="1018"/>
      <c r="AF475" s="1018"/>
      <c r="AV475" s="1018"/>
      <c r="AW475" s="1018"/>
      <c r="AX475" s="1018"/>
      <c r="AY475" s="1018"/>
      <c r="AZ475" s="1018"/>
      <c r="BA475" s="1018"/>
      <c r="BC475" s="1018"/>
      <c r="BE475" s="1018"/>
      <c r="BF475" s="1018"/>
      <c r="BG475" s="1018"/>
    </row>
    <row r="476" spans="18:59" x14ac:dyDescent="0.3">
      <c r="R476" s="1018"/>
      <c r="S476" s="1018"/>
      <c r="W476" s="1018"/>
      <c r="X476" s="1018"/>
      <c r="AE476" s="1018"/>
      <c r="AF476" s="1018"/>
      <c r="AV476" s="1018"/>
      <c r="AW476" s="1018"/>
      <c r="AX476" s="1018"/>
      <c r="AY476" s="1018"/>
      <c r="AZ476" s="1018"/>
      <c r="BA476" s="1018"/>
      <c r="BC476" s="1018"/>
      <c r="BE476" s="1018"/>
      <c r="BF476" s="1018"/>
      <c r="BG476" s="1018"/>
    </row>
    <row r="477" spans="18:59" x14ac:dyDescent="0.3">
      <c r="R477" s="1018"/>
      <c r="S477" s="1018"/>
      <c r="W477" s="1018"/>
      <c r="X477" s="1018"/>
      <c r="AE477" s="1018"/>
      <c r="AF477" s="1018"/>
      <c r="AV477" s="1018"/>
      <c r="AW477" s="1018"/>
      <c r="AX477" s="1018"/>
      <c r="AY477" s="1018"/>
      <c r="AZ477" s="1018"/>
      <c r="BA477" s="1018"/>
      <c r="BC477" s="1018"/>
      <c r="BE477" s="1018"/>
      <c r="BF477" s="1018"/>
      <c r="BG477" s="1018"/>
    </row>
    <row r="478" spans="18:59" x14ac:dyDescent="0.3">
      <c r="R478" s="1018"/>
      <c r="S478" s="1018"/>
      <c r="W478" s="1018"/>
      <c r="X478" s="1018"/>
      <c r="AE478" s="1018"/>
      <c r="AF478" s="1018"/>
      <c r="AV478" s="1018"/>
      <c r="AW478" s="1018"/>
      <c r="AX478" s="1018"/>
      <c r="AY478" s="1018"/>
      <c r="AZ478" s="1018"/>
      <c r="BA478" s="1018"/>
      <c r="BC478" s="1018"/>
      <c r="BE478" s="1018"/>
      <c r="BF478" s="1018"/>
      <c r="BG478" s="1018"/>
    </row>
    <row r="479" spans="18:59" x14ac:dyDescent="0.3">
      <c r="R479" s="1018"/>
      <c r="S479" s="1018"/>
      <c r="W479" s="1018"/>
      <c r="X479" s="1018"/>
      <c r="AE479" s="1018"/>
      <c r="AF479" s="1018"/>
      <c r="AV479" s="1018"/>
      <c r="AW479" s="1018"/>
      <c r="AX479" s="1018"/>
      <c r="AY479" s="1018"/>
      <c r="AZ479" s="1018"/>
      <c r="BA479" s="1018"/>
      <c r="BC479" s="1018"/>
      <c r="BE479" s="1018"/>
      <c r="BF479" s="1018"/>
      <c r="BG479" s="1018"/>
    </row>
    <row r="480" spans="18:59" x14ac:dyDescent="0.3">
      <c r="R480" s="1018"/>
      <c r="S480" s="1018"/>
      <c r="W480" s="1018"/>
      <c r="X480" s="1018"/>
      <c r="AE480" s="1018"/>
      <c r="AF480" s="1018"/>
      <c r="AV480" s="1018"/>
      <c r="AW480" s="1018"/>
      <c r="AX480" s="1018"/>
      <c r="AY480" s="1018"/>
      <c r="AZ480" s="1018"/>
      <c r="BA480" s="1018"/>
      <c r="BC480" s="1018"/>
      <c r="BE480" s="1018"/>
      <c r="BF480" s="1018"/>
      <c r="BG480" s="1018"/>
    </row>
    <row r="481" spans="18:59" x14ac:dyDescent="0.3">
      <c r="R481" s="1018"/>
      <c r="S481" s="1018"/>
      <c r="W481" s="1018"/>
      <c r="X481" s="1018"/>
      <c r="AE481" s="1018"/>
      <c r="AF481" s="1018"/>
      <c r="AV481" s="1018"/>
      <c r="AW481" s="1018"/>
      <c r="AX481" s="1018"/>
      <c r="AY481" s="1018"/>
      <c r="AZ481" s="1018"/>
      <c r="BA481" s="1018"/>
      <c r="BC481" s="1018"/>
      <c r="BE481" s="1018"/>
      <c r="BF481" s="1018"/>
      <c r="BG481" s="1018"/>
    </row>
    <row r="482" spans="18:59" x14ac:dyDescent="0.3">
      <c r="R482" s="1018"/>
      <c r="S482" s="1018"/>
      <c r="W482" s="1018"/>
      <c r="X482" s="1018"/>
      <c r="AE482" s="1018"/>
      <c r="AF482" s="1018"/>
      <c r="AV482" s="1018"/>
      <c r="AW482" s="1018"/>
      <c r="AX482" s="1018"/>
      <c r="AY482" s="1018"/>
      <c r="AZ482" s="1018"/>
      <c r="BA482" s="1018"/>
      <c r="BC482" s="1018"/>
      <c r="BE482" s="1018"/>
      <c r="BF482" s="1018"/>
      <c r="BG482" s="1018"/>
    </row>
    <row r="483" spans="18:59" x14ac:dyDescent="0.3">
      <c r="R483" s="1018"/>
      <c r="S483" s="1018"/>
      <c r="W483" s="1018"/>
      <c r="X483" s="1018"/>
      <c r="AE483" s="1018"/>
      <c r="AF483" s="1018"/>
      <c r="AV483" s="1018"/>
      <c r="AW483" s="1018"/>
      <c r="AX483" s="1018"/>
      <c r="AY483" s="1018"/>
      <c r="AZ483" s="1018"/>
      <c r="BA483" s="1018"/>
      <c r="BC483" s="1018"/>
      <c r="BE483" s="1018"/>
      <c r="BF483" s="1018"/>
      <c r="BG483" s="1018"/>
    </row>
    <row r="484" spans="18:59" x14ac:dyDescent="0.3">
      <c r="R484" s="1018"/>
      <c r="S484" s="1018"/>
      <c r="W484" s="1018"/>
      <c r="X484" s="1018"/>
      <c r="AE484" s="1018"/>
      <c r="AF484" s="1018"/>
      <c r="AV484" s="1018"/>
      <c r="AW484" s="1018"/>
      <c r="AX484" s="1018"/>
      <c r="AY484" s="1018"/>
      <c r="AZ484" s="1018"/>
      <c r="BA484" s="1018"/>
      <c r="BC484" s="1018"/>
      <c r="BE484" s="1018"/>
      <c r="BF484" s="1018"/>
      <c r="BG484" s="1018"/>
    </row>
    <row r="485" spans="18:59" x14ac:dyDescent="0.3">
      <c r="R485" s="1018"/>
      <c r="S485" s="1018"/>
      <c r="W485" s="1018"/>
      <c r="X485" s="1018"/>
      <c r="AE485" s="1018"/>
      <c r="AF485" s="1018"/>
      <c r="AV485" s="1018"/>
      <c r="AW485" s="1018"/>
      <c r="AX485" s="1018"/>
      <c r="AY485" s="1018"/>
      <c r="AZ485" s="1018"/>
      <c r="BA485" s="1018"/>
      <c r="BC485" s="1018"/>
      <c r="BE485" s="1018"/>
      <c r="BF485" s="1018"/>
      <c r="BG485" s="1018"/>
    </row>
    <row r="486" spans="18:59" x14ac:dyDescent="0.3">
      <c r="R486" s="1018"/>
      <c r="S486" s="1018"/>
      <c r="W486" s="1018"/>
      <c r="X486" s="1018"/>
      <c r="AE486" s="1018"/>
      <c r="AF486" s="1018"/>
      <c r="AV486" s="1018"/>
      <c r="AW486" s="1018"/>
      <c r="AX486" s="1018"/>
      <c r="AY486" s="1018"/>
      <c r="AZ486" s="1018"/>
      <c r="BA486" s="1018"/>
      <c r="BC486" s="1018"/>
      <c r="BE486" s="1018"/>
      <c r="BF486" s="1018"/>
      <c r="BG486" s="1018"/>
    </row>
    <row r="487" spans="18:59" x14ac:dyDescent="0.3">
      <c r="R487" s="1018"/>
      <c r="S487" s="1018"/>
      <c r="W487" s="1018"/>
      <c r="X487" s="1018"/>
      <c r="AE487" s="1018"/>
      <c r="AF487" s="1018"/>
      <c r="AV487" s="1018"/>
      <c r="AW487" s="1018"/>
      <c r="AX487" s="1018"/>
      <c r="AY487" s="1018"/>
      <c r="AZ487" s="1018"/>
      <c r="BA487" s="1018"/>
      <c r="BC487" s="1018"/>
      <c r="BE487" s="1018"/>
      <c r="BF487" s="1018"/>
      <c r="BG487" s="1018"/>
    </row>
    <row r="488" spans="18:59" x14ac:dyDescent="0.3">
      <c r="R488" s="1018"/>
      <c r="S488" s="1018"/>
      <c r="W488" s="1018"/>
      <c r="X488" s="1018"/>
      <c r="AE488" s="1018"/>
      <c r="AF488" s="1018"/>
      <c r="AV488" s="1018"/>
      <c r="AW488" s="1018"/>
      <c r="AX488" s="1018"/>
      <c r="AY488" s="1018"/>
      <c r="AZ488" s="1018"/>
      <c r="BA488" s="1018"/>
      <c r="BC488" s="1018"/>
      <c r="BE488" s="1018"/>
      <c r="BF488" s="1018"/>
      <c r="BG488" s="1018"/>
    </row>
    <row r="489" spans="18:59" x14ac:dyDescent="0.3">
      <c r="R489" s="1018"/>
      <c r="S489" s="1018"/>
      <c r="W489" s="1018"/>
      <c r="X489" s="1018"/>
      <c r="AE489" s="1018"/>
      <c r="AF489" s="1018"/>
      <c r="AV489" s="1018"/>
      <c r="AW489" s="1018"/>
      <c r="AX489" s="1018"/>
      <c r="AY489" s="1018"/>
      <c r="AZ489" s="1018"/>
      <c r="BA489" s="1018"/>
      <c r="BC489" s="1018"/>
      <c r="BE489" s="1018"/>
      <c r="BF489" s="1018"/>
      <c r="BG489" s="1018"/>
    </row>
    <row r="490" spans="18:59" x14ac:dyDescent="0.3">
      <c r="R490" s="1018"/>
      <c r="S490" s="1018"/>
      <c r="W490" s="1018"/>
      <c r="X490" s="1018"/>
      <c r="AE490" s="1018"/>
      <c r="AF490" s="1018"/>
      <c r="AV490" s="1018"/>
      <c r="AW490" s="1018"/>
      <c r="AX490" s="1018"/>
      <c r="AY490" s="1018"/>
      <c r="AZ490" s="1018"/>
      <c r="BA490" s="1018"/>
      <c r="BC490" s="1018"/>
      <c r="BE490" s="1018"/>
      <c r="BF490" s="1018"/>
      <c r="BG490" s="1018"/>
    </row>
    <row r="491" spans="18:59" x14ac:dyDescent="0.3">
      <c r="R491" s="1018"/>
      <c r="S491" s="1018"/>
      <c r="W491" s="1018"/>
      <c r="X491" s="1018"/>
      <c r="AE491" s="1018"/>
      <c r="AF491" s="1018"/>
      <c r="AV491" s="1018"/>
      <c r="AW491" s="1018"/>
      <c r="AX491" s="1018"/>
      <c r="AY491" s="1018"/>
      <c r="AZ491" s="1018"/>
      <c r="BA491" s="1018"/>
      <c r="BC491" s="1018"/>
      <c r="BE491" s="1018"/>
      <c r="BF491" s="1018"/>
      <c r="BG491" s="1018"/>
    </row>
    <row r="492" spans="18:59" x14ac:dyDescent="0.3">
      <c r="R492" s="1018"/>
      <c r="S492" s="1018"/>
      <c r="W492" s="1018"/>
      <c r="X492" s="1018"/>
      <c r="AE492" s="1018"/>
      <c r="AF492" s="1018"/>
      <c r="AV492" s="1018"/>
      <c r="AW492" s="1018"/>
      <c r="AX492" s="1018"/>
      <c r="AY492" s="1018"/>
      <c r="AZ492" s="1018"/>
      <c r="BA492" s="1018"/>
      <c r="BC492" s="1018"/>
      <c r="BE492" s="1018"/>
      <c r="BF492" s="1018"/>
      <c r="BG492" s="1018"/>
    </row>
    <row r="493" spans="18:59" x14ac:dyDescent="0.3">
      <c r="R493" s="1018"/>
      <c r="S493" s="1018"/>
      <c r="W493" s="1018"/>
      <c r="X493" s="1018"/>
      <c r="AE493" s="1018"/>
      <c r="AF493" s="1018"/>
      <c r="AV493" s="1018"/>
      <c r="AW493" s="1018"/>
      <c r="AX493" s="1018"/>
      <c r="AY493" s="1018"/>
      <c r="AZ493" s="1018"/>
      <c r="BA493" s="1018"/>
      <c r="BC493" s="1018"/>
      <c r="BE493" s="1018"/>
      <c r="BF493" s="1018"/>
      <c r="BG493" s="1018"/>
    </row>
    <row r="494" spans="18:59" x14ac:dyDescent="0.3">
      <c r="R494" s="1018"/>
      <c r="S494" s="1018"/>
      <c r="W494" s="1018"/>
      <c r="X494" s="1018"/>
      <c r="AE494" s="1018"/>
      <c r="AF494" s="1018"/>
      <c r="AV494" s="1018"/>
      <c r="AW494" s="1018"/>
      <c r="AX494" s="1018"/>
      <c r="AY494" s="1018"/>
      <c r="AZ494" s="1018"/>
      <c r="BA494" s="1018"/>
      <c r="BC494" s="1018"/>
      <c r="BE494" s="1018"/>
      <c r="BF494" s="1018"/>
      <c r="BG494" s="1018"/>
    </row>
    <row r="495" spans="18:59" x14ac:dyDescent="0.3">
      <c r="R495" s="1018"/>
      <c r="S495" s="1018"/>
      <c r="W495" s="1018"/>
      <c r="X495" s="1018"/>
      <c r="AE495" s="1018"/>
      <c r="AF495" s="1018"/>
      <c r="AV495" s="1018"/>
      <c r="AW495" s="1018"/>
      <c r="AX495" s="1018"/>
      <c r="AY495" s="1018"/>
      <c r="AZ495" s="1018"/>
      <c r="BA495" s="1018"/>
      <c r="BC495" s="1018"/>
      <c r="BE495" s="1018"/>
      <c r="BF495" s="1018"/>
      <c r="BG495" s="1018"/>
    </row>
    <row r="496" spans="18:59" x14ac:dyDescent="0.3">
      <c r="R496" s="1018"/>
      <c r="S496" s="1018"/>
      <c r="W496" s="1018"/>
      <c r="X496" s="1018"/>
      <c r="AE496" s="1018"/>
      <c r="AF496" s="1018"/>
      <c r="AV496" s="1018"/>
      <c r="AW496" s="1018"/>
      <c r="AX496" s="1018"/>
      <c r="AY496" s="1018"/>
      <c r="AZ496" s="1018"/>
      <c r="BA496" s="1018"/>
      <c r="BC496" s="1018"/>
      <c r="BE496" s="1018"/>
      <c r="BF496" s="1018"/>
      <c r="BG496" s="1018"/>
    </row>
    <row r="497" spans="18:59" x14ac:dyDescent="0.3">
      <c r="R497" s="1018"/>
      <c r="S497" s="1018"/>
      <c r="W497" s="1018"/>
      <c r="X497" s="1018"/>
      <c r="AE497" s="1018"/>
      <c r="AF497" s="1018"/>
      <c r="AV497" s="1018"/>
      <c r="AW497" s="1018"/>
      <c r="AX497" s="1018"/>
      <c r="AY497" s="1018"/>
      <c r="AZ497" s="1018"/>
      <c r="BA497" s="1018"/>
      <c r="BC497" s="1018"/>
      <c r="BE497" s="1018"/>
      <c r="BF497" s="1018"/>
      <c r="BG497" s="1018"/>
    </row>
    <row r="498" spans="18:59" x14ac:dyDescent="0.3">
      <c r="R498" s="1018"/>
      <c r="S498" s="1018"/>
      <c r="W498" s="1018"/>
      <c r="X498" s="1018"/>
      <c r="AE498" s="1018"/>
      <c r="AF498" s="1018"/>
      <c r="AV498" s="1018"/>
      <c r="AW498" s="1018"/>
      <c r="AX498" s="1018"/>
      <c r="AY498" s="1018"/>
      <c r="AZ498" s="1018"/>
      <c r="BA498" s="1018"/>
      <c r="BC498" s="1018"/>
      <c r="BE498" s="1018"/>
      <c r="BF498" s="1018"/>
      <c r="BG498" s="1018"/>
    </row>
    <row r="499" spans="18:59" x14ac:dyDescent="0.3">
      <c r="R499" s="1018"/>
      <c r="S499" s="1018"/>
      <c r="W499" s="1018"/>
      <c r="X499" s="1018"/>
      <c r="AE499" s="1018"/>
      <c r="AF499" s="1018"/>
      <c r="AV499" s="1018"/>
      <c r="AW499" s="1018"/>
      <c r="AX499" s="1018"/>
      <c r="AY499" s="1018"/>
      <c r="AZ499" s="1018"/>
      <c r="BA499" s="1018"/>
      <c r="BC499" s="1018"/>
      <c r="BE499" s="1018"/>
      <c r="BF499" s="1018"/>
      <c r="BG499" s="1018"/>
    </row>
    <row r="500" spans="18:59" x14ac:dyDescent="0.3">
      <c r="R500" s="1018"/>
      <c r="S500" s="1018"/>
      <c r="W500" s="1018"/>
      <c r="X500" s="1018"/>
      <c r="AE500" s="1018"/>
      <c r="AF500" s="1018"/>
      <c r="AV500" s="1018"/>
      <c r="AW500" s="1018"/>
      <c r="AX500" s="1018"/>
      <c r="AY500" s="1018"/>
      <c r="AZ500" s="1018"/>
      <c r="BA500" s="1018"/>
      <c r="BC500" s="1018"/>
      <c r="BE500" s="1018"/>
      <c r="BF500" s="1018"/>
      <c r="BG500" s="1018"/>
    </row>
    <row r="501" spans="18:59" x14ac:dyDescent="0.3">
      <c r="R501" s="1018"/>
      <c r="S501" s="1018"/>
      <c r="W501" s="1018"/>
      <c r="X501" s="1018"/>
      <c r="AE501" s="1018"/>
      <c r="AF501" s="1018"/>
      <c r="AV501" s="1018"/>
      <c r="AW501" s="1018"/>
      <c r="AX501" s="1018"/>
      <c r="AY501" s="1018"/>
      <c r="AZ501" s="1018"/>
      <c r="BA501" s="1018"/>
      <c r="BC501" s="1018"/>
      <c r="BE501" s="1018"/>
      <c r="BF501" s="1018"/>
      <c r="BG501" s="1018"/>
    </row>
    <row r="502" spans="18:59" x14ac:dyDescent="0.3">
      <c r="R502" s="1018"/>
      <c r="S502" s="1018"/>
      <c r="W502" s="1018"/>
      <c r="X502" s="1018"/>
      <c r="AE502" s="1018"/>
      <c r="AF502" s="1018"/>
      <c r="AV502" s="1018"/>
      <c r="AW502" s="1018"/>
      <c r="AX502" s="1018"/>
      <c r="AY502" s="1018"/>
      <c r="AZ502" s="1018"/>
      <c r="BA502" s="1018"/>
      <c r="BC502" s="1018"/>
      <c r="BE502" s="1018"/>
      <c r="BF502" s="1018"/>
      <c r="BG502" s="101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19"/>
  <sheetViews>
    <sheetView zoomScale="94" workbookViewId="0">
      <selection activeCell="D8" sqref="D8"/>
    </sheetView>
  </sheetViews>
  <sheetFormatPr defaultColWidth="11.5546875" defaultRowHeight="14.4" x14ac:dyDescent="0.3"/>
  <cols>
    <col min="1" max="1" width="23.21875" customWidth="1"/>
  </cols>
  <sheetData>
    <row r="1" spans="1:22" x14ac:dyDescent="0.3">
      <c r="A1" s="1043" t="s">
        <v>793</v>
      </c>
      <c r="B1" s="1043"/>
      <c r="C1" s="1043"/>
      <c r="D1" s="1043"/>
    </row>
    <row r="2" spans="1:22" x14ac:dyDescent="0.3">
      <c r="A2" t="s">
        <v>794</v>
      </c>
      <c r="B2" s="130">
        <v>2021</v>
      </c>
      <c r="C2" s="130">
        <v>2021</v>
      </c>
      <c r="D2" s="130">
        <v>2021</v>
      </c>
      <c r="E2" s="130">
        <v>2022</v>
      </c>
      <c r="F2" s="130">
        <v>2022</v>
      </c>
      <c r="G2" s="130">
        <v>2022</v>
      </c>
      <c r="H2" s="130">
        <v>2022</v>
      </c>
      <c r="I2" s="130">
        <v>2023</v>
      </c>
      <c r="J2" s="130">
        <v>2023</v>
      </c>
      <c r="K2" s="130">
        <v>2023</v>
      </c>
      <c r="L2" s="130">
        <v>2023</v>
      </c>
      <c r="M2" s="130">
        <v>2024</v>
      </c>
      <c r="N2" s="130">
        <v>2024</v>
      </c>
      <c r="O2" s="130">
        <v>2024</v>
      </c>
      <c r="P2" s="130">
        <v>2024</v>
      </c>
      <c r="Q2" s="130">
        <v>2025</v>
      </c>
      <c r="R2" s="130">
        <v>2025</v>
      </c>
      <c r="S2" s="130">
        <v>2025</v>
      </c>
      <c r="T2" s="130">
        <v>2025</v>
      </c>
      <c r="U2" s="130">
        <v>2026</v>
      </c>
    </row>
    <row r="3" spans="1:22" x14ac:dyDescent="0.3">
      <c r="A3" s="995" t="s">
        <v>795</v>
      </c>
      <c r="B3" s="1041" t="s">
        <v>796</v>
      </c>
      <c r="C3" s="1041" t="s">
        <v>797</v>
      </c>
      <c r="D3" s="1041" t="s">
        <v>798</v>
      </c>
      <c r="E3" s="1041" t="s">
        <v>799</v>
      </c>
      <c r="F3" s="1041" t="s">
        <v>800</v>
      </c>
      <c r="G3" s="1041" t="s">
        <v>801</v>
      </c>
      <c r="H3" s="1041" t="s">
        <v>802</v>
      </c>
      <c r="I3" s="1041" t="s">
        <v>803</v>
      </c>
      <c r="J3" s="1041" t="s">
        <v>804</v>
      </c>
      <c r="K3" s="1041" t="s">
        <v>805</v>
      </c>
      <c r="L3" s="1041" t="s">
        <v>806</v>
      </c>
      <c r="M3" s="1041" t="s">
        <v>807</v>
      </c>
      <c r="N3" s="1041" t="s">
        <v>808</v>
      </c>
      <c r="O3" s="1041" t="s">
        <v>809</v>
      </c>
      <c r="P3" s="1041" t="s">
        <v>810</v>
      </c>
      <c r="Q3" s="1041" t="s">
        <v>811</v>
      </c>
      <c r="R3" s="1041" t="s">
        <v>812</v>
      </c>
      <c r="S3" s="1041" t="s">
        <v>813</v>
      </c>
      <c r="T3" s="1041" t="s">
        <v>814</v>
      </c>
      <c r="U3" s="1041" t="s">
        <v>815</v>
      </c>
    </row>
    <row r="4" spans="1:22" x14ac:dyDescent="0.3">
      <c r="A4" s="995" t="s">
        <v>816</v>
      </c>
      <c r="B4" s="1041"/>
      <c r="C4" s="1041"/>
      <c r="D4" s="1041">
        <v>0</v>
      </c>
      <c r="E4" s="1041">
        <v>0</v>
      </c>
      <c r="F4" s="1041">
        <v>0.5</v>
      </c>
      <c r="G4" s="1041">
        <v>0.5</v>
      </c>
      <c r="H4" s="1041">
        <v>0</v>
      </c>
      <c r="I4" s="1041">
        <v>0</v>
      </c>
      <c r="J4" s="1041">
        <v>0</v>
      </c>
      <c r="K4" s="1041">
        <v>0</v>
      </c>
      <c r="L4" s="1041">
        <v>0</v>
      </c>
      <c r="M4" s="1041">
        <v>0</v>
      </c>
      <c r="N4" s="1041">
        <v>0</v>
      </c>
      <c r="O4" s="1041">
        <v>0</v>
      </c>
      <c r="P4" s="1041">
        <v>0</v>
      </c>
      <c r="Q4" s="1041">
        <v>0</v>
      </c>
      <c r="R4" s="1041">
        <v>0</v>
      </c>
      <c r="S4" s="1041">
        <v>0</v>
      </c>
      <c r="T4" s="1041">
        <v>0</v>
      </c>
      <c r="U4" s="1041">
        <v>0</v>
      </c>
    </row>
    <row r="5" spans="1:22" x14ac:dyDescent="0.3">
      <c r="A5" s="995" t="s">
        <v>817</v>
      </c>
      <c r="B5" s="1041">
        <v>0.04</v>
      </c>
      <c r="C5" s="1041">
        <v>0.48</v>
      </c>
      <c r="D5" s="1041">
        <v>0.48</v>
      </c>
      <c r="E5" s="1041">
        <v>0</v>
      </c>
      <c r="F5" s="1041">
        <v>0</v>
      </c>
      <c r="G5" s="1041">
        <v>0</v>
      </c>
      <c r="H5" s="1041">
        <v>0</v>
      </c>
      <c r="I5" s="1041">
        <v>0</v>
      </c>
      <c r="J5" s="1041">
        <v>0</v>
      </c>
      <c r="K5" s="1041">
        <v>0</v>
      </c>
      <c r="L5" s="1041">
        <v>0</v>
      </c>
      <c r="M5" s="1041">
        <v>0</v>
      </c>
      <c r="N5" s="1041">
        <v>0</v>
      </c>
      <c r="O5" s="1041">
        <v>0</v>
      </c>
      <c r="P5" s="1041">
        <v>0</v>
      </c>
      <c r="Q5" s="1041">
        <v>0</v>
      </c>
      <c r="R5" s="1041">
        <v>0</v>
      </c>
      <c r="S5" s="1041">
        <v>0</v>
      </c>
      <c r="T5" s="1041">
        <v>0</v>
      </c>
      <c r="U5" s="1041">
        <v>0</v>
      </c>
    </row>
    <row r="6" spans="1:22" x14ac:dyDescent="0.3">
      <c r="A6" s="995" t="s">
        <v>818</v>
      </c>
      <c r="B6" s="1041">
        <f>B8</f>
        <v>0</v>
      </c>
      <c r="C6" s="1041">
        <f>C8</f>
        <v>0.43</v>
      </c>
      <c r="D6" s="1041">
        <f t="shared" ref="D6:U6" si="0">D8</f>
        <v>0.56999999999999995</v>
      </c>
      <c r="E6" s="1041">
        <f t="shared" si="0"/>
        <v>0.25</v>
      </c>
      <c r="F6" s="1041">
        <f t="shared" si="0"/>
        <v>0.25</v>
      </c>
      <c r="G6" s="1041">
        <f t="shared" si="0"/>
        <v>0.25</v>
      </c>
      <c r="H6" s="1041">
        <f t="shared" si="0"/>
        <v>0.25</v>
      </c>
      <c r="I6" s="1041">
        <f t="shared" si="0"/>
        <v>0.25</v>
      </c>
      <c r="J6" s="1041">
        <f t="shared" si="0"/>
        <v>0.25</v>
      </c>
      <c r="K6" s="1041">
        <f t="shared" si="0"/>
        <v>0.25</v>
      </c>
      <c r="L6" s="1041">
        <f t="shared" si="0"/>
        <v>0.25</v>
      </c>
      <c r="M6" s="1041">
        <f t="shared" si="0"/>
        <v>0.25</v>
      </c>
      <c r="N6" s="1041">
        <f t="shared" si="0"/>
        <v>0.25</v>
      </c>
      <c r="O6" s="1041">
        <f t="shared" si="0"/>
        <v>0.25</v>
      </c>
      <c r="P6" s="1041">
        <f t="shared" si="0"/>
        <v>0.25</v>
      </c>
      <c r="Q6" s="1041">
        <f t="shared" si="0"/>
        <v>0.25</v>
      </c>
      <c r="R6" s="1041">
        <f t="shared" si="0"/>
        <v>0.25</v>
      </c>
      <c r="S6" s="1041">
        <f t="shared" si="0"/>
        <v>0.25</v>
      </c>
      <c r="T6" s="1041">
        <f t="shared" si="0"/>
        <v>0.25</v>
      </c>
      <c r="U6" s="1041">
        <f t="shared" si="0"/>
        <v>0.25</v>
      </c>
    </row>
    <row r="7" spans="1:22" x14ac:dyDescent="0.3">
      <c r="A7" s="995" t="s">
        <v>819</v>
      </c>
      <c r="B7" s="1041">
        <v>0</v>
      </c>
      <c r="C7" s="1041">
        <v>0</v>
      </c>
      <c r="D7" s="1041">
        <v>1</v>
      </c>
      <c r="E7" s="1041">
        <v>0.25</v>
      </c>
      <c r="F7" s="1041">
        <v>0.25</v>
      </c>
      <c r="G7" s="1041">
        <v>0.25</v>
      </c>
      <c r="H7" s="1041">
        <v>0.25</v>
      </c>
      <c r="I7" s="1041">
        <v>0.25</v>
      </c>
      <c r="J7" s="1041">
        <v>0.25</v>
      </c>
      <c r="K7" s="1041">
        <v>0.25</v>
      </c>
      <c r="L7" s="1041">
        <v>0.25</v>
      </c>
      <c r="M7" s="1041">
        <v>0.25</v>
      </c>
      <c r="N7" s="1041">
        <v>0.25</v>
      </c>
      <c r="O7" s="1041">
        <v>0.25</v>
      </c>
      <c r="P7" s="1041">
        <v>0.25</v>
      </c>
      <c r="Q7" s="1041">
        <v>0.25</v>
      </c>
      <c r="R7" s="1041">
        <v>0.25</v>
      </c>
      <c r="S7" s="1041">
        <v>0.25</v>
      </c>
      <c r="T7" s="1041">
        <v>0.25</v>
      </c>
      <c r="U7" s="1041">
        <v>0.25</v>
      </c>
    </row>
    <row r="8" spans="1:22" x14ac:dyDescent="0.3">
      <c r="A8" s="995" t="s">
        <v>820</v>
      </c>
      <c r="B8" s="1041">
        <v>0</v>
      </c>
      <c r="C8" s="1041">
        <v>0.43</v>
      </c>
      <c r="D8" s="1041">
        <v>0.56999999999999995</v>
      </c>
      <c r="E8" s="1041">
        <v>0.25</v>
      </c>
      <c r="F8" s="1041">
        <v>0.25</v>
      </c>
      <c r="G8" s="1041">
        <v>0.25</v>
      </c>
      <c r="H8" s="1041">
        <v>0.25</v>
      </c>
      <c r="I8" s="1041">
        <v>0.25</v>
      </c>
      <c r="J8" s="1041">
        <v>0.25</v>
      </c>
      <c r="K8" s="1041">
        <v>0.25</v>
      </c>
      <c r="L8" s="1041">
        <v>0.25</v>
      </c>
      <c r="M8" s="1041">
        <v>0.25</v>
      </c>
      <c r="N8" s="1041">
        <v>0.25</v>
      </c>
      <c r="O8" s="1041">
        <v>0.25</v>
      </c>
      <c r="P8" s="1041">
        <v>0.25</v>
      </c>
      <c r="Q8" s="1041">
        <v>0.25</v>
      </c>
      <c r="R8" s="1041">
        <v>0.25</v>
      </c>
      <c r="S8" s="1041">
        <v>0.25</v>
      </c>
      <c r="T8" s="1041">
        <v>0.25</v>
      </c>
      <c r="U8" s="1041">
        <v>0.25</v>
      </c>
    </row>
    <row r="9" spans="1:22" ht="27" customHeight="1" x14ac:dyDescent="0.3">
      <c r="A9" s="995" t="s">
        <v>821</v>
      </c>
      <c r="B9" s="1041">
        <v>0</v>
      </c>
      <c r="C9" s="1041">
        <f>0.18</f>
        <v>0.18</v>
      </c>
      <c r="D9" s="1041">
        <f>1-C9</f>
        <v>0.82000000000000006</v>
      </c>
      <c r="E9" s="1041">
        <v>0.25</v>
      </c>
      <c r="F9" s="1041">
        <v>0.25</v>
      </c>
      <c r="G9" s="1041">
        <v>0.25</v>
      </c>
      <c r="H9" s="1041">
        <v>0.25</v>
      </c>
      <c r="I9" s="1041">
        <v>0.25</v>
      </c>
      <c r="J9" s="1041">
        <v>0.25</v>
      </c>
      <c r="K9" s="1041">
        <v>0.25</v>
      </c>
      <c r="L9" s="1041">
        <v>0.25</v>
      </c>
      <c r="M9" s="1041">
        <v>0.25</v>
      </c>
      <c r="N9" s="1041">
        <v>0.25</v>
      </c>
      <c r="O9" s="1041">
        <v>0.25</v>
      </c>
      <c r="P9" s="1041">
        <v>0.25</v>
      </c>
      <c r="Q9" s="1041">
        <v>0.25</v>
      </c>
      <c r="R9" s="1041">
        <v>0.25</v>
      </c>
      <c r="S9" s="1041">
        <v>0.25</v>
      </c>
      <c r="T9" s="1041">
        <v>0.25</v>
      </c>
      <c r="U9" s="1041">
        <v>0.25</v>
      </c>
    </row>
    <row r="10" spans="1:22" x14ac:dyDescent="0.3">
      <c r="A10" s="995" t="s">
        <v>822</v>
      </c>
      <c r="B10" s="1041">
        <v>0</v>
      </c>
      <c r="C10" s="1041">
        <v>0.5</v>
      </c>
      <c r="D10" s="1041">
        <v>0.5</v>
      </c>
      <c r="E10" s="1041">
        <v>0.25</v>
      </c>
      <c r="F10" s="1041">
        <v>0.25</v>
      </c>
      <c r="G10" s="1041">
        <v>0.25</v>
      </c>
      <c r="H10" s="1041">
        <v>0.25</v>
      </c>
      <c r="I10" s="1041">
        <v>0.25</v>
      </c>
      <c r="J10" s="1041">
        <v>0.25</v>
      </c>
      <c r="K10" s="1041">
        <v>0.25</v>
      </c>
      <c r="L10" s="1041">
        <v>0.25</v>
      </c>
      <c r="M10" s="1041">
        <v>0.25</v>
      </c>
      <c r="N10" s="1041">
        <v>0.25</v>
      </c>
      <c r="O10" s="1041">
        <v>0.25</v>
      </c>
      <c r="P10" s="1041">
        <v>0.25</v>
      </c>
      <c r="Q10" s="1041">
        <v>0.25</v>
      </c>
      <c r="R10" s="1041">
        <v>0.25</v>
      </c>
      <c r="S10" s="1041">
        <v>0.25</v>
      </c>
      <c r="T10" s="1041">
        <v>0.25</v>
      </c>
      <c r="U10" s="1041">
        <v>0.25</v>
      </c>
    </row>
    <row r="11" spans="1:22" x14ac:dyDescent="0.3">
      <c r="A11" s="995" t="s">
        <v>823</v>
      </c>
      <c r="B11" s="1041">
        <v>0</v>
      </c>
      <c r="C11" s="1041">
        <v>0.5</v>
      </c>
      <c r="D11" s="1041">
        <v>0.5</v>
      </c>
      <c r="E11" s="1041">
        <v>0.25</v>
      </c>
      <c r="F11" s="1041">
        <v>0.25</v>
      </c>
      <c r="G11" s="1041">
        <v>0.25</v>
      </c>
      <c r="H11" s="1041">
        <v>0.25</v>
      </c>
      <c r="I11" s="1041">
        <v>0.25</v>
      </c>
      <c r="J11" s="1041">
        <v>0.25</v>
      </c>
      <c r="K11" s="1041">
        <v>0.25</v>
      </c>
      <c r="L11" s="1041">
        <v>0.25</v>
      </c>
      <c r="M11" s="1041">
        <v>0.25</v>
      </c>
      <c r="N11" s="1041">
        <v>0.25</v>
      </c>
      <c r="O11" s="1041">
        <v>0.25</v>
      </c>
      <c r="P11" s="1041">
        <v>0.25</v>
      </c>
      <c r="Q11" s="1041">
        <v>0.25</v>
      </c>
      <c r="R11" s="1041">
        <v>0.25</v>
      </c>
      <c r="S11" s="1041">
        <v>0.25</v>
      </c>
      <c r="T11" s="1041">
        <v>0.25</v>
      </c>
      <c r="U11" s="1041">
        <v>0.25</v>
      </c>
    </row>
    <row r="12" spans="1:22" ht="14.25" customHeight="1" x14ac:dyDescent="0.3">
      <c r="A12" s="995" t="s">
        <v>824</v>
      </c>
      <c r="B12" s="1041">
        <v>1</v>
      </c>
      <c r="C12" s="1041"/>
      <c r="D12" s="1041"/>
      <c r="E12" s="1041"/>
      <c r="F12" s="1041"/>
      <c r="G12" s="1041"/>
      <c r="H12" s="1041"/>
      <c r="I12" s="1041"/>
      <c r="J12" s="1041"/>
      <c r="K12" s="1041"/>
      <c r="L12" s="1041"/>
      <c r="M12" s="1041"/>
      <c r="N12" s="1041"/>
      <c r="O12" s="1041"/>
      <c r="P12" s="1041"/>
      <c r="Q12" s="1041"/>
      <c r="R12" s="1041"/>
      <c r="S12" s="1041"/>
      <c r="T12" s="1041"/>
      <c r="U12" s="1041"/>
    </row>
    <row r="13" spans="1:22" x14ac:dyDescent="0.3">
      <c r="A13" s="995" t="s">
        <v>825</v>
      </c>
      <c r="B13" s="1041">
        <v>0</v>
      </c>
      <c r="C13" s="1041">
        <v>0.4</v>
      </c>
      <c r="D13" s="1041">
        <v>0.6</v>
      </c>
      <c r="E13" s="1041">
        <v>0.4</v>
      </c>
      <c r="F13" s="1041">
        <v>0.3</v>
      </c>
      <c r="G13" s="1041">
        <v>0.2</v>
      </c>
      <c r="H13" s="1041">
        <v>0.1</v>
      </c>
      <c r="I13" s="1041">
        <v>0.25</v>
      </c>
      <c r="J13" s="1041">
        <v>0.25</v>
      </c>
      <c r="K13" s="1041">
        <v>0.25</v>
      </c>
      <c r="L13" s="1041">
        <v>0.25</v>
      </c>
      <c r="M13" s="1041">
        <v>0.25</v>
      </c>
      <c r="N13" s="1041">
        <v>0.25</v>
      </c>
      <c r="O13" s="1041">
        <v>0.25</v>
      </c>
      <c r="P13" s="1041">
        <v>0.25</v>
      </c>
      <c r="Q13" s="1041">
        <v>0.25</v>
      </c>
      <c r="R13" s="1041">
        <v>0.25</v>
      </c>
      <c r="S13" s="1041">
        <v>0.25</v>
      </c>
      <c r="T13" s="1041">
        <v>0.25</v>
      </c>
      <c r="U13" s="1041">
        <v>0.25</v>
      </c>
    </row>
    <row r="14" spans="1:22" x14ac:dyDescent="0.3">
      <c r="A14" s="995"/>
      <c r="B14" s="1041"/>
      <c r="C14" s="1041"/>
      <c r="D14" s="1041"/>
      <c r="E14" s="1041"/>
      <c r="F14" s="1041"/>
      <c r="G14" s="1041"/>
      <c r="H14" s="1041"/>
      <c r="I14" s="1041"/>
      <c r="J14" s="1041"/>
      <c r="K14" s="1041"/>
      <c r="L14" s="1041"/>
      <c r="M14" s="1041"/>
      <c r="N14" s="1041"/>
      <c r="O14" s="1041"/>
      <c r="P14" s="1041"/>
      <c r="Q14" s="1041"/>
      <c r="R14" s="1041"/>
      <c r="S14" s="1041"/>
      <c r="T14" s="1041"/>
      <c r="U14" s="1041"/>
    </row>
    <row r="15" spans="1:22" ht="27" customHeight="1" x14ac:dyDescent="0.3">
      <c r="A15" s="1042" t="s">
        <v>826</v>
      </c>
      <c r="B15" s="1041">
        <v>1</v>
      </c>
      <c r="C15" s="1041">
        <v>2</v>
      </c>
      <c r="D15" s="1041">
        <v>3</v>
      </c>
      <c r="E15" s="1041">
        <v>4</v>
      </c>
      <c r="F15" s="1041">
        <v>5</v>
      </c>
      <c r="G15" s="1041">
        <v>6</v>
      </c>
      <c r="H15" s="1041">
        <v>7</v>
      </c>
      <c r="I15" s="1041">
        <v>8</v>
      </c>
      <c r="J15" s="1041">
        <v>9</v>
      </c>
      <c r="K15" s="1041">
        <v>10</v>
      </c>
      <c r="L15" s="1041">
        <v>11</v>
      </c>
      <c r="M15" s="1041">
        <v>12</v>
      </c>
      <c r="N15" s="1041">
        <v>13</v>
      </c>
      <c r="O15" s="1041">
        <v>14</v>
      </c>
      <c r="P15" s="1041">
        <v>15</v>
      </c>
      <c r="Q15" s="1041">
        <v>16</v>
      </c>
      <c r="R15" s="1041">
        <v>17</v>
      </c>
      <c r="S15" s="1041">
        <v>18</v>
      </c>
      <c r="T15" s="1041">
        <v>19</v>
      </c>
      <c r="U15" s="1041">
        <v>20</v>
      </c>
    </row>
    <row r="16" spans="1:22" x14ac:dyDescent="0.3">
      <c r="A16" s="995" t="s">
        <v>827</v>
      </c>
      <c r="B16" s="1041">
        <v>7.0000000000000007E-2</v>
      </c>
      <c r="C16" s="1041">
        <v>7.0000000000000007E-2</v>
      </c>
      <c r="D16" s="1041">
        <v>4.9000000000000002E-2</v>
      </c>
      <c r="E16" s="1041">
        <v>4.9000000000000002E-2</v>
      </c>
      <c r="F16" s="1041">
        <v>4.9000000000000002E-2</v>
      </c>
      <c r="G16" s="1041">
        <v>4.9000000000000002E-2</v>
      </c>
      <c r="H16" s="1041">
        <v>4.9000000000000002E-2</v>
      </c>
      <c r="I16" s="1041">
        <v>4.9000000000000002E-2</v>
      </c>
      <c r="J16" s="1041">
        <v>4.9000000000000002E-2</v>
      </c>
      <c r="K16" s="1041">
        <v>4.9000000000000002E-2</v>
      </c>
      <c r="L16" s="1041">
        <v>4.9000000000000002E-2</v>
      </c>
      <c r="M16" s="1041">
        <v>4.9000000000000002E-2</v>
      </c>
      <c r="N16" s="1041">
        <f t="shared" ref="N16:T16" si="1">0.0475</f>
        <v>4.7500000000000001E-2</v>
      </c>
      <c r="O16" s="1041">
        <f t="shared" si="1"/>
        <v>4.7500000000000001E-2</v>
      </c>
      <c r="P16" s="1041">
        <f t="shared" si="1"/>
        <v>4.7500000000000001E-2</v>
      </c>
      <c r="Q16" s="1041">
        <f t="shared" si="1"/>
        <v>4.7500000000000001E-2</v>
      </c>
      <c r="R16" s="1041">
        <f t="shared" si="1"/>
        <v>4.7500000000000001E-2</v>
      </c>
      <c r="S16" s="1041">
        <f t="shared" si="1"/>
        <v>4.7500000000000001E-2</v>
      </c>
      <c r="T16" s="1041">
        <f t="shared" si="1"/>
        <v>4.7500000000000001E-2</v>
      </c>
      <c r="U16" s="1041">
        <f>0.0375</f>
        <v>3.7499999999999999E-2</v>
      </c>
      <c r="V16" s="1041">
        <f>SUM(B16:U16)</f>
        <v>0.99999999999999989</v>
      </c>
    </row>
    <row r="17" spans="1:23" ht="27" customHeight="1" x14ac:dyDescent="0.3">
      <c r="A17" s="995"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41">
        <f>SUM(B17:U17)</f>
        <v>0.94000000000000006</v>
      </c>
      <c r="W17" t="s">
        <v>829</v>
      </c>
    </row>
    <row r="19" spans="1:23" x14ac:dyDescent="0.3">
      <c r="B19" s="1040" t="e">
        <f>'Federal and State Purchases'!#REF!</f>
        <v>#REF!</v>
      </c>
      <c r="C19" s="1040" t="e">
        <f>'Federal and State Purchases'!#REF!</f>
        <v>#REF!</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99"/>
  <sheetViews>
    <sheetView zoomScale="98" zoomScaleNormal="80" workbookViewId="0">
      <selection activeCell="J6" sqref="J6"/>
    </sheetView>
  </sheetViews>
  <sheetFormatPr defaultColWidth="11.5546875" defaultRowHeight="14.4" x14ac:dyDescent="0.3"/>
  <cols>
    <col min="1" max="1" width="15.44140625" customWidth="1"/>
    <col min="2" max="2" width="32.44140625" customWidth="1"/>
  </cols>
  <sheetData>
    <row r="1" spans="1:23" x14ac:dyDescent="0.3">
      <c r="A1" s="1030" t="s">
        <v>830</v>
      </c>
      <c r="B1" s="1030" t="s">
        <v>740</v>
      </c>
      <c r="C1" s="1044">
        <v>2021</v>
      </c>
      <c r="D1" s="1044">
        <f>C1</f>
        <v>2021</v>
      </c>
      <c r="E1" s="1044">
        <f>D1</f>
        <v>2021</v>
      </c>
      <c r="F1" s="1044">
        <v>2022</v>
      </c>
      <c r="G1" s="1044">
        <v>2022</v>
      </c>
      <c r="H1" s="1044">
        <v>2022</v>
      </c>
      <c r="I1" s="1044">
        <v>2022</v>
      </c>
      <c r="J1" s="1044">
        <v>2023</v>
      </c>
      <c r="K1" s="1044">
        <v>2023</v>
      </c>
      <c r="L1" s="1044">
        <v>2023</v>
      </c>
      <c r="M1" s="1044">
        <v>2023</v>
      </c>
      <c r="N1" s="1044">
        <v>2024</v>
      </c>
      <c r="O1" s="1044">
        <v>2024</v>
      </c>
      <c r="P1" s="1044">
        <v>2024</v>
      </c>
      <c r="Q1" s="1044">
        <v>2024</v>
      </c>
      <c r="R1" s="1044">
        <v>2025</v>
      </c>
      <c r="S1" s="1044">
        <v>2025</v>
      </c>
      <c r="T1" s="1044">
        <v>2025</v>
      </c>
      <c r="U1" s="1044">
        <v>2025</v>
      </c>
      <c r="V1" s="1044">
        <v>2026</v>
      </c>
    </row>
    <row r="2" spans="1:23" x14ac:dyDescent="0.3">
      <c r="B2" s="1030" t="s">
        <v>831</v>
      </c>
      <c r="C2" s="130" t="s">
        <v>295</v>
      </c>
      <c r="D2" s="130" t="s">
        <v>296</v>
      </c>
      <c r="E2" s="130" t="s">
        <v>180</v>
      </c>
      <c r="F2" s="130" t="s">
        <v>181</v>
      </c>
      <c r="G2" s="130" t="s">
        <v>182</v>
      </c>
      <c r="H2" s="130" t="s">
        <v>183</v>
      </c>
      <c r="I2" s="130" t="s">
        <v>184</v>
      </c>
      <c r="J2" s="130" t="s">
        <v>185</v>
      </c>
      <c r="K2" s="130" t="s">
        <v>186</v>
      </c>
      <c r="L2" s="130" t="s">
        <v>187</v>
      </c>
      <c r="M2" s="130" t="s">
        <v>188</v>
      </c>
      <c r="N2" s="130" t="s">
        <v>189</v>
      </c>
      <c r="O2" s="130" t="s">
        <v>190</v>
      </c>
      <c r="P2" s="130" t="s">
        <v>191</v>
      </c>
      <c r="Q2" s="130" t="s">
        <v>175</v>
      </c>
      <c r="R2" s="130" t="s">
        <v>176</v>
      </c>
      <c r="S2" s="130" t="s">
        <v>177</v>
      </c>
      <c r="T2" s="130" t="s">
        <v>832</v>
      </c>
      <c r="U2" s="130" t="s">
        <v>833</v>
      </c>
      <c r="V2" s="130" t="s">
        <v>834</v>
      </c>
    </row>
    <row r="3" spans="1:23" x14ac:dyDescent="0.3">
      <c r="A3" s="1030">
        <v>3</v>
      </c>
      <c r="B3" s="1030" t="s">
        <v>595</v>
      </c>
      <c r="C3" s="1045">
        <f>4*'ARP Timing'!B6*VLOOKUP(C$1,'ARP Score'!$A$5:$M14,$A3)</f>
        <v>0</v>
      </c>
      <c r="D3" s="1045">
        <f>4*'ARP Timing'!C6*VLOOKUP(D$1,'ARP Score'!$A$5:$M14,$A3)</f>
        <v>336.60399999999998</v>
      </c>
      <c r="E3" s="1045">
        <f>4*'ARP Timing'!D6*VLOOKUP(E$1,'ARP Score'!$A$5:$M14,$A3)</f>
        <v>446.19599999999991</v>
      </c>
      <c r="F3" s="1045">
        <f>4*'ARP Timing'!E6*VLOOKUP(F$1,'ARP Score'!$A$5:$M14,$A3)</f>
        <v>10.1</v>
      </c>
      <c r="G3" s="1045">
        <f>4*'ARP Timing'!F6*VLOOKUP(G$1,'ARP Score'!$A$5:$M14,$A3)</f>
        <v>10.1</v>
      </c>
      <c r="H3" s="1045">
        <f>4*'ARP Timing'!G6*VLOOKUP(H$1,'ARP Score'!$A$5:$M14,$A3)</f>
        <v>10.1</v>
      </c>
      <c r="I3" s="1045">
        <f>4*'ARP Timing'!H6*VLOOKUP(I$1,'ARP Score'!$A$5:$M14,$A3)</f>
        <v>10.1</v>
      </c>
      <c r="J3" s="1045">
        <f>4*'ARP Timing'!I6*VLOOKUP(J$1,'ARP Score'!$A$5:$M14,$A3)</f>
        <v>0</v>
      </c>
      <c r="K3" s="1045">
        <f>4*'ARP Timing'!J6*VLOOKUP(K$1,'ARP Score'!$A$5:$M14,$A3)</f>
        <v>0</v>
      </c>
      <c r="L3" s="1045">
        <f>4*'ARP Timing'!K6*VLOOKUP(L$1,'ARP Score'!$A$5:$M14,$A3)</f>
        <v>0</v>
      </c>
      <c r="M3" s="1045">
        <f>4*'ARP Timing'!L6*VLOOKUP(M$1,'ARP Score'!$A$5:$M14,$A3)</f>
        <v>0</v>
      </c>
      <c r="N3" s="1045">
        <f>4*'ARP Timing'!M6*VLOOKUP(N$1,'ARP Score'!$A$5:$M14,$A3)</f>
        <v>0</v>
      </c>
      <c r="O3" s="1045">
        <f>4*'ARP Timing'!N6*VLOOKUP(O$1,'ARP Score'!$A$5:$M14,$A3)</f>
        <v>0</v>
      </c>
      <c r="P3" s="1045">
        <f>4*'ARP Timing'!O6*VLOOKUP(P$1,'ARP Score'!$A$5:$M14,$A3)</f>
        <v>0</v>
      </c>
      <c r="Q3" s="1045">
        <f>4*'ARP Timing'!P6*VLOOKUP(Q$1,'ARP Score'!$A$5:$M14,$A3)</f>
        <v>0</v>
      </c>
      <c r="R3" s="1045">
        <f>4*'ARP Timing'!Q6*VLOOKUP(R$1,'ARP Score'!$A$5:$M14,$A3)</f>
        <v>0</v>
      </c>
      <c r="S3" s="1045">
        <f>4*'ARP Timing'!R6*VLOOKUP(S$1,'ARP Score'!$A$5:$M14,$A3)</f>
        <v>0</v>
      </c>
      <c r="T3" s="1045">
        <f>4*'ARP Timing'!S6*VLOOKUP(T$1,'ARP Score'!$A$5:$M14,$A3)</f>
        <v>0</v>
      </c>
      <c r="U3" s="1045">
        <f>4*'ARP Timing'!T6*VLOOKUP(U$1,'ARP Score'!$A$5:$M14,$A3)</f>
        <v>0</v>
      </c>
      <c r="V3" s="1045">
        <f>4*'ARP Timing'!U6*VLOOKUP(V$1,'ARP Score'!$A$5:$M14,$A3)</f>
        <v>0</v>
      </c>
      <c r="W3" s="1045">
        <f>SUM(C3:U3)/4</f>
        <v>205.8</v>
      </c>
    </row>
    <row r="4" spans="1:23" x14ac:dyDescent="0.3">
      <c r="A4" s="1030">
        <v>5</v>
      </c>
      <c r="B4" s="34" t="s">
        <v>742</v>
      </c>
      <c r="C4" s="1045">
        <f>4*'ARP Timing'!B7*VLOOKUP(C$1,'ARP Score'!$A$5:$M15,$A4)</f>
        <v>0</v>
      </c>
      <c r="D4" s="1045">
        <f>4*'ARP Timing'!C7*VLOOKUP(D$1,'ARP Score'!$A$5:$M15,$A4)</f>
        <v>0</v>
      </c>
      <c r="E4" s="1045">
        <f>4*'ARP Timing'!D7*VLOOKUP(E$1,'ARP Score'!$A$5:$M15,$A4)</f>
        <v>3.1040000000000418</v>
      </c>
      <c r="F4" s="1045">
        <f>4*'ARP Timing'!E7*VLOOKUP(F$1,'ARP Score'!$A$5:$M15,$A4)</f>
        <v>19.719000000000005</v>
      </c>
      <c r="G4" s="1045">
        <f>4*'ARP Timing'!F7*VLOOKUP(G$1,'ARP Score'!$A$5:$M15,$A4)</f>
        <v>19.719000000000005</v>
      </c>
      <c r="H4" s="1045">
        <f>4*'ARP Timing'!G7*VLOOKUP(H$1,'ARP Score'!$A$5:$M15,$A4)</f>
        <v>19.719000000000005</v>
      </c>
      <c r="I4" s="1045">
        <f>4*'ARP Timing'!H7*VLOOKUP(I$1,'ARP Score'!$A$5:$M15,$A4)</f>
        <v>19.719000000000005</v>
      </c>
      <c r="J4" s="1045">
        <f>4*'ARP Timing'!I7*VLOOKUP(J$1,'ARP Score'!$A$5:$M15,$A4)</f>
        <v>1.4159999999999999</v>
      </c>
      <c r="K4" s="1045">
        <f>4*'ARP Timing'!J7*VLOOKUP(K$1,'ARP Score'!$A$5:$M15,$A4)</f>
        <v>1.4159999999999999</v>
      </c>
      <c r="L4" s="1045">
        <f>4*'ARP Timing'!K7*VLOOKUP(L$1,'ARP Score'!$A$5:$M15,$A4)</f>
        <v>1.4159999999999999</v>
      </c>
      <c r="M4" s="1045">
        <f>4*'ARP Timing'!L7*VLOOKUP(M$1,'ARP Score'!$A$5:$M15,$A4)</f>
        <v>1.4159999999999999</v>
      </c>
      <c r="N4" s="1045">
        <f>4*'ARP Timing'!M7*VLOOKUP(N$1,'ARP Score'!$A$5:$M15,$A4)</f>
        <v>1.4790000000000001</v>
      </c>
      <c r="O4" s="1045">
        <f>4*'ARP Timing'!N7*VLOOKUP(O$1,'ARP Score'!$A$5:$M15,$A4)</f>
        <v>1.4790000000000001</v>
      </c>
      <c r="P4" s="1045">
        <f>4*'ARP Timing'!O7*VLOOKUP(P$1,'ARP Score'!$A$5:$M15,$A4)</f>
        <v>1.4790000000000001</v>
      </c>
      <c r="Q4" s="1045">
        <f>4*'ARP Timing'!P7*VLOOKUP(Q$1,'ARP Score'!$A$5:$M15,$A4)</f>
        <v>1.4790000000000001</v>
      </c>
      <c r="R4" s="1045">
        <f>4*'ARP Timing'!Q7*VLOOKUP(R$1,'ARP Score'!$A$5:$M15,$A4)</f>
        <v>1.63</v>
      </c>
      <c r="S4" s="1045">
        <f>4*'ARP Timing'!R7*VLOOKUP(S$1,'ARP Score'!$A$5:$M15,$A4)</f>
        <v>1.63</v>
      </c>
      <c r="T4" s="1045">
        <f>4*'ARP Timing'!S7*VLOOKUP(T$1,'ARP Score'!$A$5:$M15,$A4)</f>
        <v>1.63</v>
      </c>
      <c r="U4" s="1045">
        <f>4*'ARP Timing'!T7*VLOOKUP(U$1,'ARP Score'!$A$5:$M15,$A4)</f>
        <v>1.63</v>
      </c>
      <c r="V4" s="1045">
        <f>4*'ARP Timing'!U7*VLOOKUP(V$1,'ARP Score'!$A$5:$M15,$A4)</f>
        <v>1.671</v>
      </c>
      <c r="W4" s="1045">
        <f>SUM(C4:U4)/4</f>
        <v>25.020000000000007</v>
      </c>
    </row>
    <row r="5" spans="1:23" x14ac:dyDescent="0.3">
      <c r="A5" s="1030">
        <v>6</v>
      </c>
      <c r="B5" s="34" t="s">
        <v>743</v>
      </c>
      <c r="C5" s="1045">
        <f>4*'ARP Timing'!B8*VLOOKUP(C$1,'ARP Score'!$A$5:$M16,$A5)</f>
        <v>0</v>
      </c>
      <c r="D5" s="1045">
        <f>4*'ARP Timing'!C8*VLOOKUP(D$1,'ARP Score'!$A$5:$M16,$A5)</f>
        <v>33.921840000000024</v>
      </c>
      <c r="E5" s="1045">
        <f>4*'ARP Timing'!D8*VLOOKUP(E$1,'ARP Score'!$A$5:$M16,$A5)</f>
        <v>44.966160000000031</v>
      </c>
      <c r="F5" s="1045">
        <f>4*'ARP Timing'!E8*VLOOKUP(F$1,'ARP Score'!$A$5:$M16,$A5)</f>
        <v>52.756999999999998</v>
      </c>
      <c r="G5" s="1045">
        <f>4*'ARP Timing'!F8*VLOOKUP(G$1,'ARP Score'!$A$5:$M16,$A5)</f>
        <v>52.756999999999998</v>
      </c>
      <c r="H5" s="1045">
        <f>4*'ARP Timing'!G8*VLOOKUP(H$1,'ARP Score'!$A$5:$M16,$A5)</f>
        <v>52.756999999999998</v>
      </c>
      <c r="I5" s="1045">
        <f>4*'ARP Timing'!H8*VLOOKUP(I$1,'ARP Score'!$A$5:$M16,$A5)</f>
        <v>52.756999999999998</v>
      </c>
      <c r="J5" s="1045">
        <f>4*'ARP Timing'!I8*VLOOKUP(J$1,'ARP Score'!$A$5:$M16,$A5)</f>
        <v>12</v>
      </c>
      <c r="K5" s="1045">
        <f>4*'ARP Timing'!J8*VLOOKUP(K$1,'ARP Score'!$A$5:$M16,$A5)</f>
        <v>12</v>
      </c>
      <c r="L5" s="1045">
        <f>4*'ARP Timing'!K8*VLOOKUP(L$1,'ARP Score'!$A$5:$M16,$A5)</f>
        <v>12</v>
      </c>
      <c r="M5" s="1045">
        <f>4*'ARP Timing'!L8*VLOOKUP(M$1,'ARP Score'!$A$5:$M16,$A5)</f>
        <v>12</v>
      </c>
      <c r="N5" s="1045">
        <f>4*'ARP Timing'!M8*VLOOKUP(N$1,'ARP Score'!$A$5:$M16,$A5)</f>
        <v>4.2219999999999995</v>
      </c>
      <c r="O5" s="1045">
        <f>4*'ARP Timing'!N8*VLOOKUP(O$1,'ARP Score'!$A$5:$M16,$A5)</f>
        <v>4.2219999999999995</v>
      </c>
      <c r="P5" s="1045">
        <f>4*'ARP Timing'!O8*VLOOKUP(P$1,'ARP Score'!$A$5:$M16,$A5)</f>
        <v>4.2219999999999995</v>
      </c>
      <c r="Q5" s="1045">
        <f>4*'ARP Timing'!P8*VLOOKUP(Q$1,'ARP Score'!$A$5:$M16,$A5)</f>
        <v>4.2219999999999995</v>
      </c>
      <c r="R5" s="1045">
        <f>4*'ARP Timing'!Q8*VLOOKUP(R$1,'ARP Score'!$A$5:$M16,$A5)</f>
        <v>2.3719999999999999</v>
      </c>
      <c r="S5" s="1045">
        <f>4*'ARP Timing'!R8*VLOOKUP(S$1,'ARP Score'!$A$5:$M16,$A5)</f>
        <v>2.3719999999999999</v>
      </c>
      <c r="T5" s="1045">
        <f>4*'ARP Timing'!S8*VLOOKUP(T$1,'ARP Score'!$A$5:$M16,$A5)</f>
        <v>2.3719999999999999</v>
      </c>
      <c r="U5" s="1045">
        <f>4*'ARP Timing'!T8*VLOOKUP(U$1,'ARP Score'!$A$5:$M16,$A5)</f>
        <v>2.3719999999999999</v>
      </c>
      <c r="V5" s="1045">
        <f>4*'ARP Timing'!U8*VLOOKUP(V$1,'ARP Score'!$A$5:$M16,$A5)</f>
        <v>0.49</v>
      </c>
      <c r="W5" s="1045">
        <f t="shared" ref="W5:W15" si="0">SUM(C5:U5)/4</f>
        <v>91.073000000000008</v>
      </c>
    </row>
    <row r="6" spans="1:23" x14ac:dyDescent="0.3">
      <c r="A6" s="1030">
        <v>7</v>
      </c>
      <c r="B6" s="34" t="s">
        <v>835</v>
      </c>
      <c r="C6" s="1045">
        <f>4*'ARP Timing'!B9*VLOOKUP(C$1,'ARP Score'!$A$5:$M17,$A6)</f>
        <v>0</v>
      </c>
      <c r="D6" s="1045">
        <f>4*'ARP Timing'!C9*VLOOKUP(D$1,'ARP Score'!$A$5:$M17,$A6)</f>
        <v>58.782959999999989</v>
      </c>
      <c r="E6" s="1045">
        <f>4*'ARP Timing'!D9*VLOOKUP(E$1,'ARP Score'!$A$5:$M17,$A6)</f>
        <v>267.78904</v>
      </c>
      <c r="F6" s="1045">
        <f>4*'ARP Timing'!E9*VLOOKUP(F$1,'ARP Score'!$A$5:$M17,$A6)</f>
        <v>110.24799999999999</v>
      </c>
      <c r="G6" s="1045">
        <f>4*'ARP Timing'!F9*VLOOKUP(G$1,'ARP Score'!$A$5:$M17,$A6)</f>
        <v>110.24799999999999</v>
      </c>
      <c r="H6" s="1045">
        <f>4*'ARP Timing'!G9*VLOOKUP(H$1,'ARP Score'!$A$5:$M17,$A6)</f>
        <v>110.24799999999999</v>
      </c>
      <c r="I6" s="1045">
        <f>4*'ARP Timing'!H9*VLOOKUP(I$1,'ARP Score'!$A$5:$M17,$A6)</f>
        <v>110.24799999999999</v>
      </c>
      <c r="J6" s="1045">
        <f>4*'ARP Timing'!I9*VLOOKUP(J$1,'ARP Score'!$A$5:$M17,$A6)</f>
        <v>12.726000000000001</v>
      </c>
      <c r="K6" s="1045">
        <f>4*'ARP Timing'!J9*VLOOKUP(K$1,'ARP Score'!$A$5:$M17,$A6)</f>
        <v>12.726000000000001</v>
      </c>
      <c r="L6" s="1045">
        <f>4*'ARP Timing'!K9*VLOOKUP(L$1,'ARP Score'!$A$5:$M17,$A6)</f>
        <v>12.726000000000001</v>
      </c>
      <c r="M6" s="1045">
        <f>4*'ARP Timing'!L9*VLOOKUP(M$1,'ARP Score'!$A$5:$M17,$A6)</f>
        <v>12.726000000000001</v>
      </c>
      <c r="N6" s="1045">
        <f>4*'ARP Timing'!M9*VLOOKUP(N$1,'ARP Score'!$A$5:$M17,$A6)</f>
        <v>1.365</v>
      </c>
      <c r="O6" s="1045">
        <f>4*'ARP Timing'!N9*VLOOKUP(O$1,'ARP Score'!$A$5:$M17,$A6)</f>
        <v>1.365</v>
      </c>
      <c r="P6" s="1045">
        <f>4*'ARP Timing'!O9*VLOOKUP(P$1,'ARP Score'!$A$5:$M17,$A6)</f>
        <v>1.365</v>
      </c>
      <c r="Q6" s="1045">
        <f>4*'ARP Timing'!P9*VLOOKUP(Q$1,'ARP Score'!$A$5:$M17,$A6)</f>
        <v>1.365</v>
      </c>
      <c r="R6" s="1045">
        <f>4*'ARP Timing'!Q9*VLOOKUP(R$1,'ARP Score'!$A$5:$M17,$A6)</f>
        <v>-0.90100000000000025</v>
      </c>
      <c r="S6" s="1045">
        <f>4*'ARP Timing'!R9*VLOOKUP(S$1,'ARP Score'!$A$5:$M17,$A6)</f>
        <v>-0.90100000000000025</v>
      </c>
      <c r="T6" s="1045">
        <f>4*'ARP Timing'!S9*VLOOKUP(T$1,'ARP Score'!$A$5:$M17,$A6)</f>
        <v>-0.90100000000000025</v>
      </c>
      <c r="U6" s="1045">
        <f>4*'ARP Timing'!T9*VLOOKUP(U$1,'ARP Score'!$A$5:$M17,$A6)</f>
        <v>-0.90100000000000025</v>
      </c>
      <c r="V6" s="1045">
        <f>4*'ARP Timing'!U9*VLOOKUP(V$1,'ARP Score'!$A$5:$M17,$A6)</f>
        <v>-2.1500000000000004</v>
      </c>
      <c r="W6" s="1045">
        <f t="shared" si="0"/>
        <v>205.08100000000007</v>
      </c>
    </row>
    <row r="7" spans="1:23" x14ac:dyDescent="0.3">
      <c r="A7" s="1030">
        <v>8</v>
      </c>
      <c r="B7" s="34" t="s">
        <v>131</v>
      </c>
      <c r="C7" s="1045">
        <f>4*'ARP Timing'!B10*VLOOKUP(C$1,'ARP Score'!$A$5:$M18,$A7)</f>
        <v>0</v>
      </c>
      <c r="D7" s="1045">
        <f>4*'ARP Timing'!C10*VLOOKUP(D$1,'ARP Score'!$A$5:$M18,$A7)</f>
        <v>15.596</v>
      </c>
      <c r="E7" s="1045">
        <f>4*'ARP Timing'!D10*VLOOKUP(E$1,'ARP Score'!$A$5:$M18,$A7)</f>
        <v>15.596</v>
      </c>
      <c r="F7" s="1045">
        <f>4*'ARP Timing'!E10*VLOOKUP(F$1,'ARP Score'!$A$5:$M18,$A7)</f>
        <v>7.9489999999999998</v>
      </c>
      <c r="G7" s="1045">
        <f>4*'ARP Timing'!F10*VLOOKUP(G$1,'ARP Score'!$A$5:$M18,$A7)</f>
        <v>7.9489999999999998</v>
      </c>
      <c r="H7" s="1045">
        <f>4*'ARP Timing'!G10*VLOOKUP(H$1,'ARP Score'!$A$5:$M18,$A7)</f>
        <v>7.9489999999999998</v>
      </c>
      <c r="I7" s="1045">
        <f>4*'ARP Timing'!H10*VLOOKUP(I$1,'ARP Score'!$A$5:$M18,$A7)</f>
        <v>7.9489999999999998</v>
      </c>
      <c r="J7" s="1045">
        <f>4*'ARP Timing'!I10*VLOOKUP(J$1,'ARP Score'!$A$5:$M18,$A7)</f>
        <v>4.7519999999999998</v>
      </c>
      <c r="K7" s="1045">
        <f>4*'ARP Timing'!J10*VLOOKUP(K$1,'ARP Score'!$A$5:$M18,$A7)</f>
        <v>4.7519999999999998</v>
      </c>
      <c r="L7" s="1045">
        <f>4*'ARP Timing'!K10*VLOOKUP(L$1,'ARP Score'!$A$5:$M18,$A7)</f>
        <v>4.7519999999999998</v>
      </c>
      <c r="M7" s="1045">
        <f>4*'ARP Timing'!L10*VLOOKUP(M$1,'ARP Score'!$A$5:$M18,$A7)</f>
        <v>4.7519999999999998</v>
      </c>
      <c r="N7" s="1045">
        <f>4*'ARP Timing'!M10*VLOOKUP(N$1,'ARP Score'!$A$5:$M18,$A7)</f>
        <v>4.637999999999999</v>
      </c>
      <c r="O7" s="1045">
        <f>4*'ARP Timing'!N10*VLOOKUP(O$1,'ARP Score'!$A$5:$M18,$A7)</f>
        <v>4.637999999999999</v>
      </c>
      <c r="P7" s="1045">
        <f>4*'ARP Timing'!O10*VLOOKUP(P$1,'ARP Score'!$A$5:$M18,$A7)</f>
        <v>4.637999999999999</v>
      </c>
      <c r="Q7" s="1045">
        <f>4*'ARP Timing'!P10*VLOOKUP(Q$1,'ARP Score'!$A$5:$M18,$A7)</f>
        <v>4.637999999999999</v>
      </c>
      <c r="R7" s="1045">
        <f>4*'ARP Timing'!Q10*VLOOKUP(R$1,'ARP Score'!$A$5:$M18,$A7)</f>
        <v>1.8800000000000001</v>
      </c>
      <c r="S7" s="1045">
        <f>4*'ARP Timing'!R10*VLOOKUP(S$1,'ARP Score'!$A$5:$M18,$A7)</f>
        <v>1.8800000000000001</v>
      </c>
      <c r="T7" s="1045">
        <f>4*'ARP Timing'!S10*VLOOKUP(T$1,'ARP Score'!$A$5:$M18,$A7)</f>
        <v>1.8800000000000001</v>
      </c>
      <c r="U7" s="1045">
        <f>4*'ARP Timing'!T10*VLOOKUP(U$1,'ARP Score'!$A$5:$M18,$A7)</f>
        <v>1.8800000000000001</v>
      </c>
      <c r="V7" s="1045">
        <f>4*'ARP Timing'!U10*VLOOKUP(V$1,'ARP Score'!$A$5:$M18,$A7)</f>
        <v>1.446</v>
      </c>
      <c r="W7" s="1045">
        <f t="shared" si="0"/>
        <v>27.016999999999996</v>
      </c>
    </row>
    <row r="8" spans="1:23" x14ac:dyDescent="0.3">
      <c r="A8" s="1030">
        <v>9</v>
      </c>
      <c r="B8" s="1047" t="s">
        <v>396</v>
      </c>
      <c r="C8" s="1045">
        <f>4*'ARP Timing'!B$11*VLOOKUP(C$1,'ARP Score'!$A$5:$M19,$A8)</f>
        <v>0</v>
      </c>
      <c r="D8" s="1045">
        <f>0.6*SUM('ARP Score'!B5:B7)*4</f>
        <v>989.16719999999987</v>
      </c>
      <c r="E8" s="1044">
        <v>0</v>
      </c>
      <c r="F8" s="1045">
        <v>0</v>
      </c>
      <c r="G8" s="1045">
        <v>0</v>
      </c>
      <c r="H8" s="1045">
        <f>D8*0.4/0.6</f>
        <v>659.44479999999999</v>
      </c>
      <c r="I8" s="1045">
        <v>0</v>
      </c>
      <c r="J8" s="1030">
        <v>0</v>
      </c>
      <c r="K8" s="1045">
        <v>0</v>
      </c>
      <c r="L8" s="1045">
        <v>0</v>
      </c>
      <c r="M8" s="1045">
        <v>0</v>
      </c>
      <c r="N8" s="1045">
        <v>0</v>
      </c>
      <c r="O8" s="1045">
        <v>0</v>
      </c>
      <c r="P8" s="1045">
        <v>0</v>
      </c>
      <c r="Q8" s="1045">
        <v>0</v>
      </c>
      <c r="R8" s="1045">
        <v>0</v>
      </c>
      <c r="S8" s="1045">
        <v>0</v>
      </c>
      <c r="T8" s="1045">
        <v>0</v>
      </c>
      <c r="U8" s="1045">
        <v>0</v>
      </c>
      <c r="V8" s="1045">
        <v>0</v>
      </c>
      <c r="W8" s="1045">
        <f t="shared" si="0"/>
        <v>412.15299999999996</v>
      </c>
    </row>
    <row r="9" spans="1:23" x14ac:dyDescent="0.3">
      <c r="A9" s="1030">
        <v>10</v>
      </c>
      <c r="B9" s="1047" t="s">
        <v>150</v>
      </c>
      <c r="C9" s="1045">
        <f>4*'ARP Timing'!B$11*VLOOKUP(C$1,'ARP Score'!$A$5:$M20,$A9)</f>
        <v>0</v>
      </c>
      <c r="D9" s="1045">
        <f>4*'ARP Timing'!C$11*VLOOKUP(D$1,'ARP Score'!$A$5:$M20,$A9)</f>
        <v>24.693999999999999</v>
      </c>
      <c r="E9" s="1045">
        <f>4*'ARP Timing'!D$11*VLOOKUP(E$1,'ARP Score'!$A$5:$M20,$A9)</f>
        <v>24.693999999999999</v>
      </c>
      <c r="F9" s="1045">
        <f>4*'ARP Timing'!E$11*VLOOKUP(F$1,'ARP Score'!$A$5:$M20,$A9)</f>
        <v>46.79</v>
      </c>
      <c r="G9" s="1045">
        <f>4*'ARP Timing'!F$11*VLOOKUP(G$1,'ARP Score'!$A$5:$M20,$A9)</f>
        <v>46.79</v>
      </c>
      <c r="H9" s="1045">
        <f>4*'ARP Timing'!G$11*VLOOKUP(H$1,'ARP Score'!$A$5:$M20,$A9)</f>
        <v>46.79</v>
      </c>
      <c r="I9" s="1045">
        <f>4*'ARP Timing'!H$11*VLOOKUP(I$1,'ARP Score'!$A$5:$M20,$A9)</f>
        <v>46.79</v>
      </c>
      <c r="J9" s="1045">
        <f>4*'ARP Timing'!I$11*VLOOKUP(J$1,'ARP Score'!$A$5:$M20,$A9)</f>
        <v>38.595999999999997</v>
      </c>
      <c r="K9" s="1045">
        <f>4*'ARP Timing'!J$11*VLOOKUP(K$1,'ARP Score'!$A$5:$M20,$A9)</f>
        <v>38.595999999999997</v>
      </c>
      <c r="L9" s="1045">
        <f>4*'ARP Timing'!K$11*VLOOKUP(L$1,'ARP Score'!$A$5:$M20,$A9)</f>
        <v>38.595999999999997</v>
      </c>
      <c r="M9" s="1045">
        <f>4*'ARP Timing'!L$11*VLOOKUP(M$1,'ARP Score'!$A$5:$M20,$A9)</f>
        <v>38.595999999999997</v>
      </c>
      <c r="N9" s="1045">
        <f>4*'ARP Timing'!M$11*VLOOKUP(N$1,'ARP Score'!$A$5:$M20,$A9)</f>
        <v>31.911000000000001</v>
      </c>
      <c r="O9" s="1045">
        <f>4*'ARP Timing'!N$11*VLOOKUP(O$1,'ARP Score'!$A$5:$M20,$A9)</f>
        <v>31.911000000000001</v>
      </c>
      <c r="P9" s="1045">
        <f>4*'ARP Timing'!O$11*VLOOKUP(P$1,'ARP Score'!$A$5:$M20,$A9)</f>
        <v>31.911000000000001</v>
      </c>
      <c r="Q9" s="1045">
        <f>4*'ARP Timing'!P$11*VLOOKUP(Q$1,'ARP Score'!$A$5:$M20,$A9)</f>
        <v>31.911000000000001</v>
      </c>
      <c r="R9" s="1045">
        <f>4*'ARP Timing'!Q$11*VLOOKUP(R$1,'ARP Score'!$A$5:$M20,$A9)</f>
        <v>23.099</v>
      </c>
      <c r="S9" s="1045">
        <f>4*'ARP Timing'!R$11*VLOOKUP(S$1,'ARP Score'!$A$5:$M20,$A9)</f>
        <v>23.099</v>
      </c>
      <c r="T9" s="1045">
        <f>4*'ARP Timing'!S$11*VLOOKUP(T$1,'ARP Score'!$A$5:$M20,$A9)</f>
        <v>23.099</v>
      </c>
      <c r="U9" s="1045">
        <f>4*'ARP Timing'!T$11*VLOOKUP(U$1,'ARP Score'!$A$5:$M20,$A9)</f>
        <v>23.099</v>
      </c>
      <c r="V9" s="1045">
        <f>4*'ARP Timing'!U$11*VLOOKUP(V$1,'ARP Score'!$A$5:$M20,$A9)</f>
        <v>10.766999999999999</v>
      </c>
      <c r="W9" s="1045">
        <f t="shared" si="0"/>
        <v>152.74300000000005</v>
      </c>
    </row>
    <row r="10" spans="1:23" x14ac:dyDescent="0.3">
      <c r="A10" s="1051">
        <v>11</v>
      </c>
      <c r="B10" s="1047" t="s">
        <v>412</v>
      </c>
      <c r="C10" s="1045">
        <f>4*'ARP Timing'!B$11*VLOOKUP(C$1,'ARP Score'!$A$5:$M22,$A10)</f>
        <v>0</v>
      </c>
      <c r="D10" s="1045">
        <f>4*'ARP Timing'!C$11*VLOOKUP(D$1,'ARP Score'!$A$5:$M22,$A10)</f>
        <v>59.256</v>
      </c>
      <c r="E10" s="1045">
        <f>4*'ARP Timing'!D$11*VLOOKUP(E$1,'ARP Score'!$A$5:$M22,$A10)</f>
        <v>59.256</v>
      </c>
      <c r="F10" s="1045">
        <f>4*'ARP Timing'!E$11*VLOOKUP(F$1,'ARP Score'!$A$5:$M22,$A10)</f>
        <v>35.671000000000006</v>
      </c>
      <c r="G10" s="1045">
        <f>4*'ARP Timing'!F$11*VLOOKUP(G$1,'ARP Score'!$A$5:$M22,$A10)</f>
        <v>35.671000000000006</v>
      </c>
      <c r="H10" s="1045">
        <f>4*'ARP Timing'!G$11*VLOOKUP(H$1,'ARP Score'!$A$5:$M22,$A10)</f>
        <v>35.671000000000006</v>
      </c>
      <c r="I10" s="1045">
        <f>4*'ARP Timing'!H$11*VLOOKUP(I$1,'ARP Score'!$A$5:$M22,$A10)</f>
        <v>35.671000000000006</v>
      </c>
      <c r="J10" s="1045">
        <f>4*'ARP Timing'!I$11*VLOOKUP(J$1,'ARP Score'!$A$5:$M22,$A10)</f>
        <v>24.216000000000001</v>
      </c>
      <c r="K10" s="1045">
        <f>4*'ARP Timing'!J$11*VLOOKUP(K$1,'ARP Score'!$A$5:$M22,$A10)</f>
        <v>24.216000000000001</v>
      </c>
      <c r="L10" s="1045">
        <f>4*'ARP Timing'!K$11*VLOOKUP(L$1,'ARP Score'!$A$5:$M22,$A10)</f>
        <v>24.216000000000001</v>
      </c>
      <c r="M10" s="1045">
        <f>4*'ARP Timing'!L$11*VLOOKUP(M$1,'ARP Score'!$A$5:$M22,$A10)</f>
        <v>24.216000000000001</v>
      </c>
      <c r="N10" s="1045">
        <f>4*'ARP Timing'!M$11*VLOOKUP(N$1,'ARP Score'!$A$5:$M22,$A10)</f>
        <v>9.6430000000000007</v>
      </c>
      <c r="O10" s="1045">
        <f>4*'ARP Timing'!N$11*VLOOKUP(O$1,'ARP Score'!$A$5:$M22,$A10)</f>
        <v>9.6430000000000007</v>
      </c>
      <c r="P10" s="1045">
        <f>4*'ARP Timing'!O$11*VLOOKUP(P$1,'ARP Score'!$A$5:$M22,$A10)</f>
        <v>9.6430000000000007</v>
      </c>
      <c r="Q10" s="1045">
        <f>4*'ARP Timing'!P$11*VLOOKUP(Q$1,'ARP Score'!$A$5:$M22,$A10)</f>
        <v>9.6430000000000007</v>
      </c>
      <c r="R10" s="1045">
        <f>4*'ARP Timing'!Q$11*VLOOKUP(R$1,'ARP Score'!$A$5:$M22,$A10)</f>
        <v>4.5789999999999997</v>
      </c>
      <c r="S10" s="1045">
        <f>4*'ARP Timing'!R$11*VLOOKUP(S$1,'ARP Score'!$A$5:$M22,$A10)</f>
        <v>4.5789999999999997</v>
      </c>
      <c r="T10" s="1045">
        <f>4*'ARP Timing'!S$11*VLOOKUP(T$1,'ARP Score'!$A$5:$M22,$A10)</f>
        <v>4.5789999999999997</v>
      </c>
      <c r="U10" s="1045">
        <f>4*'ARP Timing'!T$11*VLOOKUP(U$1,'ARP Score'!$A$5:$M22,$A10)</f>
        <v>4.5789999999999997</v>
      </c>
      <c r="V10" s="1045">
        <f>4*'ARP Timing'!U$11*VLOOKUP(V$1,'ARP Score'!$A$5:$M22,$A10)</f>
        <v>2.9130000000000003</v>
      </c>
      <c r="W10" s="1045">
        <f t="shared" si="0"/>
        <v>103.73700000000002</v>
      </c>
    </row>
    <row r="11" spans="1:23" x14ac:dyDescent="0.3">
      <c r="A11" s="1030">
        <v>12</v>
      </c>
      <c r="B11" s="14" t="s">
        <v>159</v>
      </c>
      <c r="C11" s="1045">
        <f>4*'ARP Timing'!B12*VLOOKUP(C$1,'ARP Score'!$A$5:$M20,$A11)</f>
        <v>103</v>
      </c>
      <c r="D11" s="1045">
        <f>4*'ARP Timing'!C12*VLOOKUP(D$1,'ARP Score'!$A$5:$M20,$A11)</f>
        <v>0</v>
      </c>
      <c r="E11" s="1045">
        <f>4*'ARP Timing'!D12*VLOOKUP(E$1,'ARP Score'!$A$5:$M20,$A11)</f>
        <v>0</v>
      </c>
      <c r="F11" s="1045">
        <f>4*'ARP Timing'!E12*VLOOKUP(F$1,'ARP Score'!$A$5:$M20,$A11)</f>
        <v>0</v>
      </c>
      <c r="G11" s="1045">
        <f>4*'ARP Timing'!F12*VLOOKUP(G$1,'ARP Score'!$A$5:$M20,$A11)</f>
        <v>0</v>
      </c>
      <c r="H11" s="1045">
        <f>4*'ARP Timing'!G12*VLOOKUP(H$1,'ARP Score'!$A$5:$M20,$A11)</f>
        <v>0</v>
      </c>
      <c r="I11" s="1045">
        <f>4*'ARP Timing'!H12*VLOOKUP(I$1,'ARP Score'!$A$5:$M20,$A11)</f>
        <v>0</v>
      </c>
      <c r="J11" s="1045">
        <f>4*'ARP Timing'!I12*VLOOKUP(J$1,'ARP Score'!$A$5:$M20,$A11)</f>
        <v>0</v>
      </c>
      <c r="K11" s="1045">
        <f>4*'ARP Timing'!J12*VLOOKUP(K$1,'ARP Score'!$A$5:$M20,$A11)</f>
        <v>0</v>
      </c>
      <c r="L11" s="1045">
        <f>4*'ARP Timing'!K12*VLOOKUP(L$1,'ARP Score'!$A$5:$M20,$A11)</f>
        <v>0</v>
      </c>
      <c r="M11" s="1045">
        <f>4*'ARP Timing'!L12*VLOOKUP(M$1,'ARP Score'!$A$5:$M20,$A11)</f>
        <v>0</v>
      </c>
      <c r="N11" s="1045">
        <f>4*'ARP Timing'!M12*VLOOKUP(N$1,'ARP Score'!$A$5:$M20,$A11)</f>
        <v>0</v>
      </c>
      <c r="O11" s="1045">
        <f>4*'ARP Timing'!N12*VLOOKUP(O$1,'ARP Score'!$A$5:$M20,$A11)</f>
        <v>0</v>
      </c>
      <c r="P11" s="1045">
        <f>4*'ARP Timing'!O12*VLOOKUP(P$1,'ARP Score'!$A$5:$M20,$A11)</f>
        <v>0</v>
      </c>
      <c r="Q11" s="1045">
        <f>4*'ARP Timing'!P12*VLOOKUP(Q$1,'ARP Score'!$A$5:$M20,$A11)</f>
        <v>0</v>
      </c>
      <c r="R11" s="1045">
        <f>4*'ARP Timing'!Q12*VLOOKUP(R$1,'ARP Score'!$A$5:$M20,$A11)</f>
        <v>0</v>
      </c>
      <c r="S11" s="1045">
        <f>4*'ARP Timing'!R12*VLOOKUP(S$1,'ARP Score'!$A$5:$M20,$A11)</f>
        <v>0</v>
      </c>
      <c r="T11" s="1045">
        <f>4*'ARP Timing'!S12*VLOOKUP(T$1,'ARP Score'!$A$5:$M20,$A11)</f>
        <v>0</v>
      </c>
      <c r="U11" s="1045">
        <f>4*'ARP Timing'!T12*VLOOKUP(U$1,'ARP Score'!$A$5:$M20,$A11)</f>
        <v>0</v>
      </c>
      <c r="V11" s="1045">
        <f>4*'ARP Timing'!U12*VLOOKUP(V$1,'ARP Score'!$A$5:$M20,$A11)</f>
        <v>0</v>
      </c>
      <c r="W11" s="1045">
        <f t="shared" si="0"/>
        <v>25.75</v>
      </c>
    </row>
    <row r="12" spans="1:23" x14ac:dyDescent="0.3">
      <c r="A12" s="1030">
        <v>13</v>
      </c>
      <c r="B12" s="34" t="s">
        <v>109</v>
      </c>
      <c r="C12" s="1045">
        <f>4*'ARP Timing'!B13*VLOOKUP(C$1,'ARP Score'!$A$5:$M21,$A12)</f>
        <v>0</v>
      </c>
      <c r="D12" s="1045">
        <f>4*'ARP Timing'!C13*VLOOKUP(D$1,'ARP Score'!$A$5:$M21,$A12)</f>
        <v>51.102400000000003</v>
      </c>
      <c r="E12" s="1045">
        <f>4*'ARP Timing'!D13*VLOOKUP(E$1,'ARP Score'!$A$5:$M21,$A12)</f>
        <v>76.653599999999997</v>
      </c>
      <c r="F12" s="1045">
        <f>4*'ARP Timing'!E13*VLOOKUP(F$1,'ARP Score'!$A$5:$M21,$A12)</f>
        <v>90.260800000000003</v>
      </c>
      <c r="G12" s="1045">
        <f>4*'ARP Timing'!F13*VLOOKUP(G$1,'ARP Score'!$A$5:$M21,$A12)</f>
        <v>67.695599999999999</v>
      </c>
      <c r="H12" s="1045">
        <f>4*'ARP Timing'!G13*VLOOKUP(H$1,'ARP Score'!$A$5:$M21,$A12)</f>
        <v>45.130400000000002</v>
      </c>
      <c r="I12" s="1045">
        <f>4*'ARP Timing'!H13*VLOOKUP(I$1,'ARP Score'!$A$5:$M21,$A12)</f>
        <v>22.565200000000001</v>
      </c>
      <c r="J12" s="1045">
        <f>4*'ARP Timing'!I13*VLOOKUP(J$1,'ARP Score'!$A$5:$M21,$A12)</f>
        <v>15.652999999999999</v>
      </c>
      <c r="K12" s="1045">
        <f>4*'ARP Timing'!J13*VLOOKUP(K$1,'ARP Score'!$A$5:$M21,$A12)</f>
        <v>15.652999999999999</v>
      </c>
      <c r="L12" s="1045">
        <f>4*'ARP Timing'!K13*VLOOKUP(L$1,'ARP Score'!$A$5:$M21,$A12)</f>
        <v>15.652999999999999</v>
      </c>
      <c r="M12" s="1045">
        <f>4*'ARP Timing'!L13*VLOOKUP(M$1,'ARP Score'!$A$5:$M21,$A12)</f>
        <v>15.652999999999999</v>
      </c>
      <c r="N12" s="1045">
        <f>4*'ARP Timing'!M13*VLOOKUP(N$1,'ARP Score'!$A$5:$M21,$A12)</f>
        <v>3.9320000000000004</v>
      </c>
      <c r="O12" s="1045">
        <f>4*'ARP Timing'!N13*VLOOKUP(O$1,'ARP Score'!$A$5:$M21,$A12)</f>
        <v>3.9320000000000004</v>
      </c>
      <c r="P12" s="1045">
        <f>4*'ARP Timing'!O13*VLOOKUP(P$1,'ARP Score'!$A$5:$M21,$A12)</f>
        <v>3.9320000000000004</v>
      </c>
      <c r="Q12" s="1045">
        <f>4*'ARP Timing'!P13*VLOOKUP(Q$1,'ARP Score'!$A$5:$M21,$A12)</f>
        <v>3.9320000000000004</v>
      </c>
      <c r="R12" s="1045">
        <f>4*'ARP Timing'!Q13*VLOOKUP(R$1,'ARP Score'!$A$5:$M21,$A12)</f>
        <v>-0.74299999999999988</v>
      </c>
      <c r="S12" s="1045">
        <f>4*'ARP Timing'!R13*VLOOKUP(S$1,'ARP Score'!$A$5:$M21,$A12)</f>
        <v>-0.74299999999999988</v>
      </c>
      <c r="T12" s="1045">
        <f>4*'ARP Timing'!S13*VLOOKUP(T$1,'ARP Score'!$A$5:$M21,$A12)</f>
        <v>-0.74299999999999988</v>
      </c>
      <c r="U12" s="1045">
        <f>4*'ARP Timing'!T13*VLOOKUP(U$1,'ARP Score'!$A$5:$M21,$A12)</f>
        <v>-0.74299999999999988</v>
      </c>
      <c r="V12" s="1045">
        <f>4*'ARP Timing'!U13*VLOOKUP(V$1,'ARP Score'!$A$5:$M21,$A12)</f>
        <v>-21.606000000000002</v>
      </c>
      <c r="W12" s="1045">
        <f t="shared" si="0"/>
        <v>107.19400000000005</v>
      </c>
    </row>
    <row r="13" spans="1:23" x14ac:dyDescent="0.3">
      <c r="A13" s="1030">
        <v>15</v>
      </c>
      <c r="B13" s="1030" t="s">
        <v>836</v>
      </c>
      <c r="C13" s="1045">
        <f>0.3*'ARP Score'!$N5*4*'ARP Timing'!B6</f>
        <v>0</v>
      </c>
      <c r="D13" s="1045">
        <f>0.3*'ARP Score'!$N5*4*'ARP Timing'!C6</f>
        <v>1.7544</v>
      </c>
      <c r="E13" s="1045">
        <f>0.3*'ARP Score'!$N5*4*'ARP Timing'!D6</f>
        <v>2.3255999999999997</v>
      </c>
      <c r="F13" s="1045">
        <f>0.3*'ARP Score'!$N6*4*'ARP Timing'!E6</f>
        <v>1.5299999999999998</v>
      </c>
      <c r="G13" s="1045">
        <f>0.3*'ARP Score'!$N6*4*'ARP Timing'!F6</f>
        <v>1.5299999999999998</v>
      </c>
      <c r="H13" s="1045">
        <f>0.3*'ARP Score'!$N6*4*'ARP Timing'!G6</f>
        <v>1.5299999999999998</v>
      </c>
      <c r="I13" s="1045">
        <f>0.3*'ARP Score'!$N6*4*'ARP Timing'!H6</f>
        <v>1.5299999999999998</v>
      </c>
      <c r="J13" s="1045">
        <f>0.3*'ARP Score'!$N7*4*'ARP Timing'!I6</f>
        <v>0</v>
      </c>
      <c r="K13" s="1045">
        <f>0.3*'ARP Score'!$N7*4*'ARP Timing'!J6</f>
        <v>0</v>
      </c>
      <c r="L13" s="1045">
        <f>0.3*'ARP Score'!$N7*4*'ARP Timing'!K6</f>
        <v>0</v>
      </c>
      <c r="M13" s="1045">
        <f>0.3*'ARP Score'!$N7*4*'ARP Timing'!L6</f>
        <v>0</v>
      </c>
      <c r="N13" s="1045">
        <f>0.3*'ARP Score'!$N7*4*'ARP Timing'!M6</f>
        <v>0</v>
      </c>
      <c r="O13" s="1045">
        <f>0.3*'ARP Score'!$N7*4*'ARP Timing'!N6</f>
        <v>0</v>
      </c>
      <c r="P13" s="1045">
        <f>0.3*'ARP Score'!$N7*4*'ARP Timing'!O6</f>
        <v>0</v>
      </c>
      <c r="Q13" s="1045">
        <f>0.3*'ARP Score'!$N7*4*'ARP Timing'!P6</f>
        <v>0</v>
      </c>
      <c r="R13" s="1045">
        <f>0.3*'ARP Score'!$N7*4*'ARP Timing'!Q6</f>
        <v>0</v>
      </c>
      <c r="S13" s="1045">
        <f>0.3*'ARP Score'!$N7*4*'ARP Timing'!R6</f>
        <v>0</v>
      </c>
      <c r="T13" s="1045">
        <f>0.3*'ARP Score'!$N7*4*'ARP Timing'!S6</f>
        <v>0</v>
      </c>
      <c r="U13" s="1045">
        <f>0.3*'ARP Score'!$N7*4*'ARP Timing'!T6</f>
        <v>0</v>
      </c>
      <c r="V13" s="1045">
        <f>0.3*'ARP Score'!$N7*4*'ARP Timing'!U6</f>
        <v>0</v>
      </c>
      <c r="W13" s="1045">
        <f t="shared" si="0"/>
        <v>2.5499999999999994</v>
      </c>
    </row>
    <row r="14" spans="1:23" x14ac:dyDescent="0.3">
      <c r="A14" s="1030">
        <v>14</v>
      </c>
      <c r="B14" s="1030" t="s">
        <v>837</v>
      </c>
      <c r="C14" s="1045">
        <f>C13/0.3*0.2</f>
        <v>0</v>
      </c>
      <c r="D14" s="1045">
        <f t="shared" ref="D14:F14" si="1">D13/0.3*0.2</f>
        <v>1.1696</v>
      </c>
      <c r="E14" s="1045">
        <f t="shared" si="1"/>
        <v>1.5503999999999998</v>
      </c>
      <c r="F14" s="1045">
        <f t="shared" si="1"/>
        <v>1.02</v>
      </c>
      <c r="G14" s="1045">
        <f t="shared" ref="G14" si="2">G13/0.3*0.2</f>
        <v>1.02</v>
      </c>
      <c r="H14" s="1045">
        <f t="shared" ref="H14" si="3">H13/0.3*0.2</f>
        <v>1.02</v>
      </c>
      <c r="I14" s="1045">
        <f t="shared" ref="I14" si="4">I13/0.3*0.2</f>
        <v>1.02</v>
      </c>
      <c r="J14" s="1045">
        <f t="shared" ref="J14" si="5">J13/0.3*0.2</f>
        <v>0</v>
      </c>
      <c r="K14" s="1045">
        <f t="shared" ref="K14" si="6">K13/0.3*0.2</f>
        <v>0</v>
      </c>
      <c r="L14" s="1045">
        <f t="shared" ref="L14" si="7">L13/0.3*0.2</f>
        <v>0</v>
      </c>
      <c r="M14" s="1045">
        <f t="shared" ref="M14" si="8">M13/0.3*0.2</f>
        <v>0</v>
      </c>
      <c r="N14" s="1045">
        <f t="shared" ref="N14" si="9">N13/0.3*0.2</f>
        <v>0</v>
      </c>
      <c r="O14" s="1045">
        <f t="shared" ref="O14" si="10">O13/0.3*0.2</f>
        <v>0</v>
      </c>
      <c r="P14" s="1045">
        <f t="shared" ref="P14" si="11">P13/0.3*0.2</f>
        <v>0</v>
      </c>
      <c r="Q14" s="1045">
        <f t="shared" ref="Q14" si="12">Q13/0.3*0.2</f>
        <v>0</v>
      </c>
      <c r="R14" s="1045">
        <f t="shared" ref="R14" si="13">R13/0.3*0.2</f>
        <v>0</v>
      </c>
      <c r="S14" s="1045">
        <f t="shared" ref="S14" si="14">S13/0.3*0.2</f>
        <v>0</v>
      </c>
      <c r="T14" s="1045">
        <f t="shared" ref="T14" si="15">T13/0.3*0.2</f>
        <v>0</v>
      </c>
      <c r="U14" s="1045">
        <f t="shared" ref="U14" si="16">U13/0.3*0.2</f>
        <v>0</v>
      </c>
      <c r="V14" s="1045">
        <f t="shared" ref="V14" si="17">V13/0.3*0.2</f>
        <v>0</v>
      </c>
      <c r="W14" s="1045">
        <f t="shared" si="0"/>
        <v>1.6999999999999997</v>
      </c>
    </row>
    <row r="15" spans="1:23" x14ac:dyDescent="0.3">
      <c r="A15" s="1030">
        <v>14</v>
      </c>
      <c r="B15" s="1030" t="s">
        <v>533</v>
      </c>
      <c r="C15" s="1045">
        <f>C14/0.2*0.5</f>
        <v>0</v>
      </c>
      <c r="D15" s="1045">
        <f t="shared" ref="D15:F15" si="18">D14/0.2*0.5</f>
        <v>2.9239999999999999</v>
      </c>
      <c r="E15" s="1045">
        <f t="shared" si="18"/>
        <v>3.8759999999999994</v>
      </c>
      <c r="F15" s="1045">
        <f t="shared" si="18"/>
        <v>2.5499999999999998</v>
      </c>
      <c r="G15" s="1045">
        <f t="shared" ref="G15" si="19">G14/0.2*0.5</f>
        <v>2.5499999999999998</v>
      </c>
      <c r="H15" s="1045">
        <f t="shared" ref="H15" si="20">H14/0.2*0.5</f>
        <v>2.5499999999999998</v>
      </c>
      <c r="I15" s="1045">
        <f t="shared" ref="I15" si="21">I14/0.2*0.5</f>
        <v>2.5499999999999998</v>
      </c>
      <c r="J15" s="1045">
        <f t="shared" ref="J15" si="22">J14/0.2*0.5</f>
        <v>0</v>
      </c>
      <c r="K15" s="1045">
        <f t="shared" ref="K15" si="23">K14/0.2*0.5</f>
        <v>0</v>
      </c>
      <c r="L15" s="1045">
        <f t="shared" ref="L15" si="24">L14/0.2*0.5</f>
        <v>0</v>
      </c>
      <c r="M15" s="1045">
        <f t="shared" ref="M15" si="25">M14/0.2*0.5</f>
        <v>0</v>
      </c>
      <c r="N15" s="1045">
        <f t="shared" ref="N15" si="26">N14/0.2*0.5</f>
        <v>0</v>
      </c>
      <c r="O15" s="1045">
        <f t="shared" ref="O15" si="27">O14/0.2*0.5</f>
        <v>0</v>
      </c>
      <c r="P15" s="1045">
        <f t="shared" ref="P15" si="28">P14/0.2*0.5</f>
        <v>0</v>
      </c>
      <c r="Q15" s="1045">
        <f t="shared" ref="Q15" si="29">Q14/0.2*0.5</f>
        <v>0</v>
      </c>
      <c r="R15" s="1045">
        <f t="shared" ref="R15" si="30">R14/0.2*0.5</f>
        <v>0</v>
      </c>
      <c r="S15" s="1045">
        <f t="shared" ref="S15" si="31">S14/0.2*0.5</f>
        <v>0</v>
      </c>
      <c r="T15" s="1045">
        <f t="shared" ref="T15" si="32">T14/0.2*0.5</f>
        <v>0</v>
      </c>
      <c r="U15" s="1045">
        <f t="shared" ref="U15" si="33">U14/0.2*0.5</f>
        <v>0</v>
      </c>
      <c r="V15" s="1045">
        <f t="shared" ref="V15" si="34">V14/0.2*0.5</f>
        <v>0</v>
      </c>
      <c r="W15" s="1045">
        <f t="shared" si="0"/>
        <v>4.25</v>
      </c>
    </row>
    <row r="16" spans="1:23" x14ac:dyDescent="0.3">
      <c r="C16" s="1045"/>
      <c r="D16" s="1045"/>
      <c r="E16" s="1045"/>
      <c r="F16" s="1045"/>
      <c r="G16" s="1045"/>
      <c r="H16" s="1045"/>
      <c r="I16" s="1045"/>
      <c r="J16" s="1045"/>
      <c r="K16" s="1045"/>
      <c r="L16" s="1045"/>
      <c r="M16" s="1045"/>
      <c r="N16" s="1045"/>
      <c r="O16" s="1045"/>
      <c r="P16" s="1045"/>
      <c r="Q16" s="1045"/>
      <c r="R16" s="1045"/>
      <c r="S16" s="1045"/>
      <c r="T16" s="1045"/>
      <c r="U16" s="1045"/>
      <c r="V16" s="1045"/>
      <c r="W16" s="1045"/>
    </row>
    <row r="17" spans="1:23" x14ac:dyDescent="0.3">
      <c r="A17" s="1030" t="s">
        <v>838</v>
      </c>
      <c r="C17" s="1045"/>
      <c r="D17" s="1045"/>
      <c r="E17" s="1045"/>
      <c r="F17" s="1045"/>
      <c r="G17" s="1045"/>
      <c r="H17" s="1045"/>
      <c r="I17" s="1045"/>
      <c r="J17" s="1045"/>
      <c r="K17" s="1045"/>
      <c r="L17" s="1045"/>
      <c r="M17" s="1045"/>
      <c r="N17" s="1045"/>
      <c r="O17" s="1045"/>
      <c r="P17" s="1045"/>
      <c r="Q17" s="1045"/>
      <c r="R17" s="1045"/>
      <c r="S17" s="1045"/>
      <c r="T17" s="1045"/>
      <c r="U17" s="1045"/>
      <c r="V17" s="1045"/>
      <c r="W17" s="1045"/>
    </row>
    <row r="18" spans="1:23" x14ac:dyDescent="0.3">
      <c r="B18" s="515" t="s">
        <v>143</v>
      </c>
      <c r="C18" s="1045">
        <f>'ARP Score'!$BG5/'ARP Score'!$G5*C6</f>
        <v>0</v>
      </c>
      <c r="D18" s="1045">
        <f>'ARP Score'!$BG5/'ARP Score'!$G5*D6</f>
        <v>2.2132800000000001</v>
      </c>
      <c r="E18" s="1045">
        <f>'ARP Score'!$BG5/'ARP Score'!$G5*E6</f>
        <v>10.082720000000002</v>
      </c>
      <c r="F18" s="1045">
        <f>'ARP Score'!$BG6/'ARP Score'!$G6*F6</f>
        <v>7.1439999999999992</v>
      </c>
      <c r="G18" s="1045">
        <f>'ARP Score'!$BG6/'ARP Score'!$G6*G6</f>
        <v>7.1439999999999992</v>
      </c>
      <c r="H18" s="1045">
        <f>'ARP Score'!$BG6/'ARP Score'!$G6*H6</f>
        <v>7.1439999999999992</v>
      </c>
      <c r="I18" s="1045">
        <f>'ARP Score'!$BG6/'ARP Score'!$G6*I6</f>
        <v>7.1439999999999992</v>
      </c>
      <c r="J18" s="1045">
        <f>'ARP Score'!$BG7/'ARP Score'!$G7*J6</f>
        <v>0</v>
      </c>
      <c r="K18" s="1045">
        <f>'ARP Score'!$BG7/'ARP Score'!$G7*K6</f>
        <v>0</v>
      </c>
      <c r="L18" s="1045">
        <f>'ARP Score'!$BG7/'ARP Score'!$G7*L6</f>
        <v>0</v>
      </c>
      <c r="M18" s="1045">
        <f>'ARP Score'!$BG7/'ARP Score'!$G7*M6</f>
        <v>0</v>
      </c>
      <c r="N18" s="1045"/>
      <c r="O18" s="1045"/>
      <c r="P18" s="1045"/>
      <c r="Q18" s="1045"/>
      <c r="R18" s="1045"/>
      <c r="S18" s="1045"/>
      <c r="T18" s="1045"/>
      <c r="U18" s="1045"/>
      <c r="V18" s="1045"/>
      <c r="W18" s="1045"/>
    </row>
    <row r="19" spans="1:23" x14ac:dyDescent="0.3">
      <c r="B19" s="515" t="s">
        <v>839</v>
      </c>
      <c r="C19" s="1045">
        <f>'ARP Score'!$BI5/'ARP Score'!$G5*C6</f>
        <v>0</v>
      </c>
      <c r="D19" s="1045">
        <f>'ARP Score'!$BI5/'ARP Score'!$G5*D6</f>
        <v>15.128640000000001</v>
      </c>
      <c r="E19" s="1045">
        <f>'ARP Score'!$BI5/'ARP Score'!$G5*E6</f>
        <v>68.919360000000012</v>
      </c>
      <c r="F19" s="1045">
        <f>'ARP Score'!$BI6/'ARP Score'!$G6*F6</f>
        <v>5.6120000000000001</v>
      </c>
      <c r="G19" s="1045">
        <f>'ARP Score'!$BI6/'ARP Score'!$G6*G6</f>
        <v>5.6120000000000001</v>
      </c>
      <c r="H19" s="1045">
        <f>'ARP Score'!$BI6/'ARP Score'!$G6*H6</f>
        <v>5.6120000000000001</v>
      </c>
      <c r="I19" s="1045">
        <f>'ARP Score'!$BI6/'ARP Score'!$G6*I6</f>
        <v>5.6120000000000001</v>
      </c>
      <c r="J19" s="1045">
        <f>'ARP Score'!$B7/'ARP Score'!$G7*J6</f>
        <v>0.48599999999999993</v>
      </c>
      <c r="K19" s="1045">
        <f>'ARP Score'!$B7/'ARP Score'!$G7*K6</f>
        <v>0.48599999999999993</v>
      </c>
      <c r="L19" s="1045">
        <f>'ARP Score'!$B7/'ARP Score'!$G7*L6</f>
        <v>0.48599999999999993</v>
      </c>
      <c r="M19" s="1045">
        <f>'ARP Score'!$B7/'ARP Score'!$G7*M6</f>
        <v>0.48599999999999993</v>
      </c>
      <c r="N19" s="1045">
        <f>'ARP Score'!$B8/'ARP Score'!$G8*N6</f>
        <v>0</v>
      </c>
      <c r="O19" s="1045"/>
      <c r="P19" s="1045"/>
      <c r="Q19" s="1045"/>
      <c r="R19" s="1045"/>
      <c r="S19" s="1045"/>
      <c r="T19" s="1045"/>
      <c r="U19" s="1045"/>
      <c r="V19" s="1045"/>
      <c r="W19" s="1045"/>
    </row>
    <row r="20" spans="1:23" x14ac:dyDescent="0.3">
      <c r="B20" s="515" t="s">
        <v>148</v>
      </c>
      <c r="C20" s="1045">
        <f>'ARP Score'!$BF5/'ARP Score'!$G5*C6</f>
        <v>0</v>
      </c>
      <c r="D20" s="1045">
        <f>'ARP Score'!$BF5/'ARP Score'!$G5*D6</f>
        <v>3.2479199999999997</v>
      </c>
      <c r="E20" s="1045">
        <f>'ARP Score'!$BF5/'ARP Score'!$G5*E6</f>
        <v>14.796080000000002</v>
      </c>
      <c r="F20" s="1045">
        <f>'ARP Score'!$BF6/'ARP Score'!$G6*F6</f>
        <v>1.7329999999999999</v>
      </c>
      <c r="G20" s="1045">
        <f>'ARP Score'!$BF6/'ARP Score'!$G6*G6</f>
        <v>1.7329999999999999</v>
      </c>
      <c r="H20" s="1045">
        <f>'ARP Score'!$BF6/'ARP Score'!$G6*H6</f>
        <v>1.7329999999999999</v>
      </c>
      <c r="I20" s="1045">
        <f>'ARP Score'!$BF6/'ARP Score'!$G6*I6</f>
        <v>1.7329999999999999</v>
      </c>
      <c r="J20" s="1045">
        <f>'ARP Score'!$BF7/'ARP Score'!$G7*J6</f>
        <v>0</v>
      </c>
      <c r="K20" s="1045">
        <f>'ARP Score'!$BF7/'ARP Score'!$G7*K6</f>
        <v>0</v>
      </c>
      <c r="L20" s="1045">
        <f>'ARP Score'!$BF7/'ARP Score'!$G7*L6</f>
        <v>0</v>
      </c>
      <c r="M20" s="1045">
        <f>'ARP Score'!$BF7/'ARP Score'!$G7*M6</f>
        <v>0</v>
      </c>
      <c r="N20" s="1045"/>
      <c r="O20" s="1045"/>
      <c r="P20" s="1045"/>
      <c r="Q20" s="1045"/>
      <c r="R20" s="1045"/>
      <c r="S20" s="1045"/>
      <c r="T20" s="1045"/>
      <c r="U20" s="1045"/>
      <c r="V20" s="1045"/>
      <c r="W20" s="1045"/>
    </row>
    <row r="21" spans="1:23" x14ac:dyDescent="0.3">
      <c r="B21" s="1052" t="s">
        <v>475</v>
      </c>
      <c r="C21" s="1045">
        <f>15/40*(C6*'ARP Score'!$BD5/'ARP Score'!$G5)</f>
        <v>0</v>
      </c>
      <c r="D21" s="1045">
        <f>15/40*(D6*('ARP Score'!$BD5+'ARP Score'!$BE5)/'ARP Score'!$G5)</f>
        <v>13.2921</v>
      </c>
      <c r="E21" s="1045">
        <f>15/40*(E6*('ARP Score'!$BD5+'ARP Score'!$BE5)/'ARP Score'!$G5)</f>
        <v>60.552900000000008</v>
      </c>
      <c r="F21" s="1045">
        <f>15/40*(F6*('ARP Score'!$BD6+'ARP Score'!$BE6)/'ARP Score'!$G6)</f>
        <v>1.0687500000000001</v>
      </c>
      <c r="G21" s="1045">
        <f>15/40*(G6*('ARP Score'!$BD6+'ARP Score'!$BE6)/'ARP Score'!$G6)</f>
        <v>1.0687500000000001</v>
      </c>
      <c r="H21" s="1045">
        <f>15/40*(H6*('ARP Score'!$BD6+'ARP Score'!$BE6)/'ARP Score'!$G6)</f>
        <v>1.0687500000000001</v>
      </c>
      <c r="I21" s="1045">
        <f>15/40*(I6*('ARP Score'!$BD6+'ARP Score'!$BE6)/'ARP Score'!$G6)</f>
        <v>1.0687500000000001</v>
      </c>
      <c r="J21" s="1045">
        <f>15/40*(J6*('ARP Score'!$BD7+'ARP Score'!$BE7)/'ARP Score'!$G7)</f>
        <v>0.78750000000000009</v>
      </c>
      <c r="K21" s="1045">
        <f>15/40*(K6*('ARP Score'!$BD7+'ARP Score'!$BE7)/'ARP Score'!$G7)</f>
        <v>0.78750000000000009</v>
      </c>
      <c r="L21" s="1045">
        <f>15/40*(L6*('ARP Score'!$BD7+'ARP Score'!$BE7)/'ARP Score'!$G7)</f>
        <v>0.78750000000000009</v>
      </c>
      <c r="M21" s="1045">
        <f>15/40*(M6*('ARP Score'!$BD7+'ARP Score'!$BE7)/'ARP Score'!$G7)</f>
        <v>0.78750000000000009</v>
      </c>
      <c r="N21" s="1045"/>
      <c r="O21" s="1045"/>
      <c r="P21" s="1045"/>
      <c r="Q21" s="1045"/>
      <c r="R21" s="1045"/>
      <c r="S21" s="1045"/>
      <c r="T21" s="1045"/>
      <c r="U21" s="1045"/>
      <c r="V21" s="1045"/>
      <c r="W21" s="1045"/>
    </row>
    <row r="22" spans="1:23" x14ac:dyDescent="0.3">
      <c r="B22" s="1052" t="s">
        <v>840</v>
      </c>
      <c r="C22" s="1045"/>
      <c r="D22" s="1045">
        <f>D21/15*25</f>
        <v>22.153499999999998</v>
      </c>
      <c r="E22" s="1045">
        <f>E21/15*25</f>
        <v>100.92150000000002</v>
      </c>
      <c r="F22" s="1045">
        <f>F21/15*25</f>
        <v>1.7812500000000002</v>
      </c>
      <c r="G22" s="1045">
        <f>G21/15*25</f>
        <v>1.7812500000000002</v>
      </c>
      <c r="H22" s="1045">
        <f t="shared" ref="H22:J22" si="35">H21/15*25</f>
        <v>1.7812500000000002</v>
      </c>
      <c r="I22" s="1045">
        <f t="shared" si="35"/>
        <v>1.7812500000000002</v>
      </c>
      <c r="J22" s="1045">
        <f t="shared" si="35"/>
        <v>1.3125000000000002</v>
      </c>
      <c r="K22" s="1045">
        <f t="shared" ref="K22" si="36">K21/15*25</f>
        <v>1.3125000000000002</v>
      </c>
      <c r="L22" s="1045">
        <f t="shared" ref="L22" si="37">L21/15*25</f>
        <v>1.3125000000000002</v>
      </c>
      <c r="M22" s="1045">
        <f t="shared" ref="M22" si="38">M21/15*25</f>
        <v>1.3125000000000002</v>
      </c>
      <c r="N22" s="1045"/>
      <c r="O22" s="1045"/>
      <c r="P22" s="1045"/>
      <c r="Q22" s="1045"/>
      <c r="R22" s="1045"/>
      <c r="S22" s="1045"/>
      <c r="T22" s="1045"/>
      <c r="U22" s="1045"/>
      <c r="V22" s="1045"/>
      <c r="W22" s="1045"/>
    </row>
    <row r="23" spans="1:23" x14ac:dyDescent="0.3">
      <c r="B23" s="515" t="s">
        <v>487</v>
      </c>
      <c r="C23" s="1045">
        <f>'ARP Score'!$BB5/'ARP Score'!$G5*C6</f>
        <v>0</v>
      </c>
      <c r="D23" s="1045">
        <f>'ARP Score'!$BB5/'ARP Score'!$G5*D6</f>
        <v>2.9519999999999995</v>
      </c>
      <c r="E23" s="1045">
        <f>'ARP Score'!$BB5/'ARP Score'!$G5*E6</f>
        <v>13.448</v>
      </c>
      <c r="F23" s="1045">
        <f>'ARP Score'!$BB6/'ARP Score'!$G6*F6</f>
        <v>11.3</v>
      </c>
      <c r="G23" s="1045">
        <f>'ARP Score'!$BB6/'ARP Score'!$G6*G6</f>
        <v>11.3</v>
      </c>
      <c r="H23" s="1045">
        <f>'ARP Score'!$BB6/'ARP Score'!$G6*H6</f>
        <v>11.3</v>
      </c>
      <c r="I23" s="1045">
        <f>'ARP Score'!$BB6/'ARP Score'!$G6*I6</f>
        <v>11.3</v>
      </c>
      <c r="J23" s="1045">
        <f>'ARP Score'!$BB7/'ARP Score'!$G7*J6</f>
        <v>8.4</v>
      </c>
      <c r="K23" s="1045">
        <f>'ARP Score'!$BB7/'ARP Score'!$G7*K6</f>
        <v>8.4</v>
      </c>
      <c r="L23" s="1045">
        <f>'ARP Score'!$BB7/'ARP Score'!$G7*L6</f>
        <v>8.4</v>
      </c>
      <c r="M23" s="1045">
        <f>'ARP Score'!$BB7/'ARP Score'!$G7*M6</f>
        <v>8.4</v>
      </c>
      <c r="N23" s="1045">
        <f>'ARP Score'!$BB8/'ARP Score'!$G8*N6</f>
        <v>0.2</v>
      </c>
      <c r="O23" s="1045">
        <f>'ARP Score'!$BB8/'ARP Score'!$G8*O6</f>
        <v>0.2</v>
      </c>
      <c r="P23" s="1045">
        <f>'ARP Score'!$BB8/'ARP Score'!$G8*P6</f>
        <v>0.2</v>
      </c>
      <c r="Q23" s="1045">
        <f>'ARP Score'!$BB8/'ARP Score'!$G8*Q6</f>
        <v>0.2</v>
      </c>
      <c r="R23" s="1045"/>
      <c r="S23" s="1045"/>
      <c r="T23" s="1045"/>
      <c r="U23" s="1045"/>
      <c r="V23" s="1045"/>
      <c r="W23" s="1045"/>
    </row>
    <row r="24" spans="1:23" x14ac:dyDescent="0.3">
      <c r="B24" s="515" t="s">
        <v>488</v>
      </c>
      <c r="C24" s="1045">
        <f>'ARP Score'!$BH5/'ARP Score'!$G5*C6</f>
        <v>0</v>
      </c>
      <c r="D24" s="1045">
        <f>'ARP Score'!$BH5/'ARP Score'!$G5*D6</f>
        <v>-0.20447999999999997</v>
      </c>
      <c r="E24" s="1045">
        <f>'ARP Score'!$BH5/'ARP Score'!$G5*E6</f>
        <v>-0.93152000000000001</v>
      </c>
      <c r="F24" s="1045">
        <f>'ARP Score'!$BH6/'ARP Score'!$G6*F6</f>
        <v>81.608999999999995</v>
      </c>
      <c r="G24" s="1045">
        <f>'ARP Score'!$BH6/'ARP Score'!$G6*G6</f>
        <v>81.608999999999995</v>
      </c>
      <c r="H24" s="1045">
        <f>'ARP Score'!$BH6/'ARP Score'!$G6*H6</f>
        <v>81.608999999999995</v>
      </c>
      <c r="I24" s="1045">
        <f>'ARP Score'!$BH6/'ARP Score'!$G6*I6</f>
        <v>81.608999999999995</v>
      </c>
      <c r="J24" s="1045">
        <f>'ARP Score'!$BH7/'ARP Score'!$G7*J6</f>
        <v>1.3759999999999999</v>
      </c>
      <c r="K24" s="1045">
        <f>'ARP Score'!$BH7/'ARP Score'!$G7*K6</f>
        <v>1.3759999999999999</v>
      </c>
      <c r="L24" s="1045">
        <f>'ARP Score'!$BH7/'ARP Score'!$G7*L6</f>
        <v>1.3759999999999999</v>
      </c>
      <c r="M24" s="1045">
        <f>'ARP Score'!$BH7/'ARP Score'!$G7*M6</f>
        <v>1.3759999999999999</v>
      </c>
      <c r="N24" s="1045">
        <f>'ARP Score'!$BH8/'ARP Score'!$G8*N6</f>
        <v>-0.87500000000000011</v>
      </c>
      <c r="O24" s="1045">
        <f>'ARP Score'!$BH8/'ARP Score'!$G8*O6</f>
        <v>-0.87500000000000011</v>
      </c>
      <c r="P24" s="1045">
        <f>'ARP Score'!$BH8/'ARP Score'!$G8*P6</f>
        <v>-0.87500000000000011</v>
      </c>
      <c r="Q24" s="1045">
        <f>'ARP Score'!$BH8/'ARP Score'!$G8*Q6</f>
        <v>-0.87500000000000011</v>
      </c>
      <c r="R24" s="1045"/>
      <c r="S24" s="1045"/>
      <c r="T24" s="1045"/>
      <c r="U24" s="1045"/>
      <c r="V24" s="1045"/>
      <c r="W24" s="1045"/>
    </row>
    <row r="25" spans="1:23" x14ac:dyDescent="0.3">
      <c r="B25" s="515" t="s">
        <v>360</v>
      </c>
      <c r="C25" s="1045">
        <f>SUM(C18:C24)</f>
        <v>0</v>
      </c>
      <c r="D25" s="1045">
        <f t="shared" ref="D25:Q25" si="39">SUM(D18:D24)</f>
        <v>58.782959999999996</v>
      </c>
      <c r="E25" s="1045">
        <f t="shared" si="39"/>
        <v>267.78904000000006</v>
      </c>
      <c r="F25" s="1045">
        <f t="shared" si="39"/>
        <v>110.24799999999999</v>
      </c>
      <c r="G25" s="1045">
        <f t="shared" si="39"/>
        <v>110.24799999999999</v>
      </c>
      <c r="H25" s="1045">
        <f t="shared" si="39"/>
        <v>110.24799999999999</v>
      </c>
      <c r="I25" s="1045">
        <f t="shared" si="39"/>
        <v>110.24799999999999</v>
      </c>
      <c r="J25" s="1045">
        <f t="shared" si="39"/>
        <v>12.362</v>
      </c>
      <c r="K25" s="1045">
        <f t="shared" si="39"/>
        <v>12.362</v>
      </c>
      <c r="L25" s="1045">
        <f t="shared" si="39"/>
        <v>12.362</v>
      </c>
      <c r="M25" s="1045">
        <f t="shared" si="39"/>
        <v>12.362</v>
      </c>
      <c r="N25" s="1045">
        <f t="shared" si="39"/>
        <v>-0.67500000000000004</v>
      </c>
      <c r="O25" s="1045">
        <f t="shared" si="39"/>
        <v>-0.67500000000000004</v>
      </c>
      <c r="P25" s="1045">
        <f t="shared" si="39"/>
        <v>-0.67500000000000004</v>
      </c>
      <c r="Q25" s="1045">
        <f t="shared" si="39"/>
        <v>-0.67500000000000004</v>
      </c>
      <c r="R25" s="1045"/>
      <c r="S25" s="1045"/>
      <c r="T25" s="1045"/>
      <c r="U25" s="1045"/>
      <c r="V25" s="1045"/>
      <c r="W25" s="1045"/>
    </row>
    <row r="26" spans="1:23" x14ac:dyDescent="0.3">
      <c r="D26" s="1046">
        <f>D6-D25</f>
        <v>0</v>
      </c>
      <c r="E26" s="1046">
        <f t="shared" ref="E26:M26" si="40">E6-E25</f>
        <v>0</v>
      </c>
      <c r="F26" s="1046">
        <f t="shared" si="40"/>
        <v>0</v>
      </c>
      <c r="G26" s="1046">
        <f t="shared" si="40"/>
        <v>0</v>
      </c>
      <c r="H26" s="1046">
        <f t="shared" si="40"/>
        <v>0</v>
      </c>
      <c r="I26" s="1046">
        <f t="shared" si="40"/>
        <v>0</v>
      </c>
      <c r="J26" s="1046">
        <f t="shared" si="40"/>
        <v>0.36400000000000077</v>
      </c>
      <c r="K26" s="1046">
        <f t="shared" si="40"/>
        <v>0.36400000000000077</v>
      </c>
      <c r="L26" s="1046">
        <f t="shared" si="40"/>
        <v>0.36400000000000077</v>
      </c>
      <c r="M26" s="1046">
        <f t="shared" si="40"/>
        <v>0.36400000000000077</v>
      </c>
    </row>
    <row r="27" spans="1:23" x14ac:dyDescent="0.3">
      <c r="B27" s="1030" t="s">
        <v>841</v>
      </c>
      <c r="D27" s="130" t="s">
        <v>296</v>
      </c>
      <c r="E27" s="130" t="s">
        <v>180</v>
      </c>
      <c r="F27" s="130" t="s">
        <v>181</v>
      </c>
      <c r="G27" s="130" t="s">
        <v>182</v>
      </c>
      <c r="H27" s="130" t="s">
        <v>183</v>
      </c>
      <c r="I27" s="130" t="s">
        <v>184</v>
      </c>
      <c r="J27" s="130" t="s">
        <v>185</v>
      </c>
      <c r="K27" s="130" t="s">
        <v>186</v>
      </c>
      <c r="L27" s="130" t="s">
        <v>187</v>
      </c>
      <c r="M27" s="130" t="s">
        <v>188</v>
      </c>
      <c r="N27" s="130" t="s">
        <v>189</v>
      </c>
      <c r="O27" s="130" t="s">
        <v>190</v>
      </c>
      <c r="P27" s="130" t="s">
        <v>191</v>
      </c>
      <c r="Q27" s="130" t="s">
        <v>175</v>
      </c>
      <c r="R27" s="130" t="s">
        <v>176</v>
      </c>
      <c r="S27" s="130" t="s">
        <v>177</v>
      </c>
      <c r="T27" s="130" t="s">
        <v>832</v>
      </c>
      <c r="U27" s="130" t="s">
        <v>833</v>
      </c>
      <c r="V27" s="130" t="s">
        <v>834</v>
      </c>
    </row>
    <row r="28" spans="1:23" x14ac:dyDescent="0.3">
      <c r="B28" s="34"/>
      <c r="C28" s="1046" t="s">
        <v>360</v>
      </c>
      <c r="D28" s="1048">
        <f>SUM(D29:D43)</f>
        <v>5.8765000000000009</v>
      </c>
      <c r="E28" s="1048">
        <f t="shared" ref="E28:V28" si="41">SUM(E29:E43)</f>
        <v>11.753000000000002</v>
      </c>
      <c r="F28" s="1048">
        <f t="shared" si="41"/>
        <v>15.762320000000003</v>
      </c>
      <c r="G28" s="1048">
        <f t="shared" si="41"/>
        <v>19.771640000000005</v>
      </c>
      <c r="H28" s="1048">
        <f t="shared" si="41"/>
        <v>23.812229000000006</v>
      </c>
      <c r="I28" s="1048">
        <f t="shared" si="41"/>
        <v>27.852818000000006</v>
      </c>
      <c r="J28" s="1048">
        <f t="shared" si="41"/>
        <v>30.517977000000005</v>
      </c>
      <c r="K28" s="1048">
        <f t="shared" si="41"/>
        <v>33.183136000000005</v>
      </c>
      <c r="L28" s="1048">
        <f t="shared" si="41"/>
        <v>36.260924000000003</v>
      </c>
      <c r="M28" s="1048">
        <f t="shared" si="41"/>
        <v>39.338711999999994</v>
      </c>
      <c r="N28" s="1048">
        <f t="shared" si="41"/>
        <v>40.928439999999995</v>
      </c>
      <c r="O28" s="1048">
        <f t="shared" si="41"/>
        <v>42.518167999999996</v>
      </c>
      <c r="P28" s="1048">
        <f t="shared" si="41"/>
        <v>44.428388999999996</v>
      </c>
      <c r="Q28" s="1048">
        <f t="shared" si="41"/>
        <v>46.338610000000003</v>
      </c>
      <c r="R28" s="1048">
        <f t="shared" si="41"/>
        <v>47.279744500000007</v>
      </c>
      <c r="S28" s="1048">
        <f t="shared" si="41"/>
        <v>46.283419000000009</v>
      </c>
      <c r="T28" s="1048">
        <f t="shared" si="41"/>
        <v>45.578489500000011</v>
      </c>
      <c r="U28" s="1048">
        <f t="shared" si="41"/>
        <v>45.454798000000011</v>
      </c>
      <c r="V28" s="1048">
        <f t="shared" si="41"/>
        <v>45.360580000000013</v>
      </c>
    </row>
    <row r="29" spans="1:23" x14ac:dyDescent="0.3">
      <c r="A29" s="1030">
        <v>2021</v>
      </c>
      <c r="B29" s="34" t="s">
        <v>842</v>
      </c>
      <c r="C29" s="1046"/>
      <c r="D29" s="1030">
        <f>($D$9+$D$10)*'ARP Timing'!B$16</f>
        <v>5.8765000000000009</v>
      </c>
      <c r="E29" s="1030">
        <f>($D$9+$D$10)*'ARP Timing'!C$16</f>
        <v>5.8765000000000009</v>
      </c>
      <c r="F29" s="1030">
        <f>($D$9+$D$10)*'ARP Timing'!D$16</f>
        <v>4.11355</v>
      </c>
      <c r="G29" s="1030">
        <f>($D$9+$D$10)*'ARP Timing'!E$16</f>
        <v>4.11355</v>
      </c>
      <c r="H29" s="1030">
        <f>($D$9+$D$10)*'ARP Timing'!F$16</f>
        <v>4.11355</v>
      </c>
      <c r="I29" s="1030">
        <f>($D$9+$D$10)*'ARP Timing'!G$16</f>
        <v>4.11355</v>
      </c>
      <c r="J29" s="1030">
        <f>($D$9+$D$10)*'ARP Timing'!H$16</f>
        <v>4.11355</v>
      </c>
      <c r="K29" s="1030">
        <f>($D$9+$D$10)*'ARP Timing'!I$16</f>
        <v>4.11355</v>
      </c>
      <c r="L29" s="1030">
        <f>($D$9+$D$10)*'ARP Timing'!J$16</f>
        <v>4.11355</v>
      </c>
      <c r="M29" s="1030">
        <f>($D$9+$D$10)*'ARP Timing'!K$16</f>
        <v>4.11355</v>
      </c>
      <c r="N29" s="1030">
        <f>($D$9+$D$10)*'ARP Timing'!L$16</f>
        <v>4.11355</v>
      </c>
      <c r="O29" s="1030">
        <f>($D$9+$D$10)*'ARP Timing'!M$16</f>
        <v>4.11355</v>
      </c>
      <c r="P29" s="1030">
        <f>($D$9+$D$10)*'ARP Timing'!N$16</f>
        <v>3.987625</v>
      </c>
      <c r="Q29" s="1030">
        <f>($D$9+$D$10)*'ARP Timing'!O$16</f>
        <v>3.987625</v>
      </c>
      <c r="R29" s="1030">
        <f>($D$9+$D$10)*'ARP Timing'!P$16</f>
        <v>3.987625</v>
      </c>
      <c r="S29" s="1030">
        <f>($D$9+$D$10)*'ARP Timing'!Q$16</f>
        <v>3.987625</v>
      </c>
      <c r="T29" s="1030">
        <f>($D$9+$D$10)*'ARP Timing'!R$16</f>
        <v>3.987625</v>
      </c>
      <c r="U29" s="1030">
        <f>($D$9+$D$10)*'ARP Timing'!S$16</f>
        <v>3.987625</v>
      </c>
      <c r="V29" s="1030">
        <f>($D$9+$D$10)*'ARP Timing'!T$16</f>
        <v>3.987625</v>
      </c>
    </row>
    <row r="30" spans="1:23" x14ac:dyDescent="0.3">
      <c r="B30" s="34" t="s">
        <v>379</v>
      </c>
      <c r="C30" s="1046"/>
      <c r="E30" s="1030">
        <f>($E$9+$E$10)*'ARP Timing'!B$16</f>
        <v>5.8765000000000009</v>
      </c>
      <c r="F30" s="1030">
        <f>($E$9+$E$10)*'ARP Timing'!C$16</f>
        <v>5.8765000000000009</v>
      </c>
      <c r="G30" s="1030">
        <f>($E$9+$E$10)*'ARP Timing'!D$16</f>
        <v>4.11355</v>
      </c>
      <c r="H30" s="1030">
        <f>($E$9+$E$10)*'ARP Timing'!E$16</f>
        <v>4.11355</v>
      </c>
      <c r="I30" s="1030">
        <f>($E$9+$E$10)*'ARP Timing'!F$16</f>
        <v>4.11355</v>
      </c>
      <c r="J30" s="1030">
        <f>($E$9+$E$10)*'ARP Timing'!G$16</f>
        <v>4.11355</v>
      </c>
      <c r="K30" s="1030">
        <f>($E$9+$E$10)*'ARP Timing'!H$16</f>
        <v>4.11355</v>
      </c>
      <c r="L30" s="1030">
        <f>($E$9+$E$10)*'ARP Timing'!I$16</f>
        <v>4.11355</v>
      </c>
      <c r="M30" s="1030">
        <f>($E$9+$E$10)*'ARP Timing'!J$16</f>
        <v>4.11355</v>
      </c>
      <c r="N30" s="1030">
        <f>($E$9+$E$10)*'ARP Timing'!K$16</f>
        <v>4.11355</v>
      </c>
      <c r="O30" s="1030">
        <f>($E$9+$E$10)*'ARP Timing'!L$16</f>
        <v>4.11355</v>
      </c>
      <c r="P30" s="1030">
        <f>($E$9+$E$10)*'ARP Timing'!M$16</f>
        <v>4.11355</v>
      </c>
      <c r="Q30" s="1030">
        <f>($E$9+$E$10)*'ARP Timing'!N$16</f>
        <v>3.987625</v>
      </c>
      <c r="R30" s="1030">
        <f>($E$9+$E$10)*'ARP Timing'!O$16</f>
        <v>3.987625</v>
      </c>
      <c r="S30" s="1030">
        <f>($E$9+$E$10)*'ARP Timing'!P$16</f>
        <v>3.987625</v>
      </c>
      <c r="T30" s="1030">
        <f>($E$9+$E$10)*'ARP Timing'!Q$16</f>
        <v>3.987625</v>
      </c>
      <c r="U30" s="1030">
        <f>($E$9+$E$10)*'ARP Timing'!R$16</f>
        <v>3.987625</v>
      </c>
      <c r="V30" s="1030">
        <f>($E$9+$E$10)*'ARP Timing'!S$16</f>
        <v>3.987625</v>
      </c>
    </row>
    <row r="31" spans="1:23" x14ac:dyDescent="0.3">
      <c r="B31" s="34" t="s">
        <v>843</v>
      </c>
      <c r="C31" s="1046"/>
      <c r="F31" s="1030">
        <f>($F$9+$F$10)*'ARP Timing'!B$16</f>
        <v>5.7722700000000016</v>
      </c>
      <c r="G31" s="1030">
        <f>($F$9+$F$10)*'ARP Timing'!C$16</f>
        <v>5.7722700000000016</v>
      </c>
      <c r="H31" s="1030">
        <f>($F$9+$F$10)*'ARP Timing'!D$16</f>
        <v>4.0405890000000007</v>
      </c>
      <c r="I31" s="1030">
        <f>($F$9+$F$10)*'ARP Timing'!E$16</f>
        <v>4.0405890000000007</v>
      </c>
      <c r="J31" s="1030">
        <f>($F$9+$F$10)*'ARP Timing'!F$16</f>
        <v>4.0405890000000007</v>
      </c>
      <c r="K31" s="1030">
        <f>($F$9+$F$10)*'ARP Timing'!G$16</f>
        <v>4.0405890000000007</v>
      </c>
      <c r="L31" s="1030">
        <f>($F$9+$F$10)*'ARP Timing'!H$16</f>
        <v>4.0405890000000007</v>
      </c>
      <c r="M31" s="1030">
        <f>($F$9+$F$10)*'ARP Timing'!I$16</f>
        <v>4.0405890000000007</v>
      </c>
      <c r="N31" s="1030">
        <f>($F$9+$F$10)*'ARP Timing'!J$16</f>
        <v>4.0405890000000007</v>
      </c>
      <c r="O31" s="1030">
        <f>($F$9+$F$10)*'ARP Timing'!K$16</f>
        <v>4.0405890000000007</v>
      </c>
      <c r="P31" s="1030">
        <f>($F$9+$F$10)*'ARP Timing'!L$16</f>
        <v>4.0405890000000007</v>
      </c>
      <c r="Q31" s="1030">
        <f>($F$9+$F$10)*'ARP Timing'!M$16</f>
        <v>4.0405890000000007</v>
      </c>
      <c r="R31" s="1030">
        <f>($F$9+$F$10)*'ARP Timing'!N$16</f>
        <v>3.9168975000000006</v>
      </c>
      <c r="S31" s="1030">
        <f>($F$9+$F$10)*'ARP Timing'!O$16</f>
        <v>3.9168975000000006</v>
      </c>
      <c r="T31" s="1030">
        <f>($F$9+$F$10)*'ARP Timing'!P$16</f>
        <v>3.9168975000000006</v>
      </c>
      <c r="U31" s="1030">
        <f>($F$9+$F$10)*'ARP Timing'!Q$16</f>
        <v>3.9168975000000006</v>
      </c>
      <c r="V31" s="1030">
        <f>($F$9+$F$10)*'ARP Timing'!R$16</f>
        <v>3.9168975000000006</v>
      </c>
    </row>
    <row r="32" spans="1:23" x14ac:dyDescent="0.3">
      <c r="A32" s="1030">
        <v>2022</v>
      </c>
      <c r="B32" s="34" t="s">
        <v>247</v>
      </c>
      <c r="C32" s="1046"/>
      <c r="G32" s="1030">
        <f>($G$9+$G$10)*'ARP Timing'!B$16</f>
        <v>5.7722700000000016</v>
      </c>
      <c r="H32" s="1030">
        <f>($G$9+$G$10)*'ARP Timing'!C$16</f>
        <v>5.7722700000000016</v>
      </c>
      <c r="I32" s="1030">
        <f>($G$9+$G$10)*'ARP Timing'!D$16</f>
        <v>4.0405890000000007</v>
      </c>
      <c r="J32" s="1030">
        <f>($G$9+$G$10)*'ARP Timing'!E$16</f>
        <v>4.0405890000000007</v>
      </c>
      <c r="K32" s="1030">
        <f>($G$9+$G$10)*'ARP Timing'!F$16</f>
        <v>4.0405890000000007</v>
      </c>
      <c r="L32" s="1030">
        <f>($G$9+$G$10)*'ARP Timing'!G$16</f>
        <v>4.0405890000000007</v>
      </c>
      <c r="M32" s="1030">
        <f>($G$9+$G$10)*'ARP Timing'!H$16</f>
        <v>4.0405890000000007</v>
      </c>
      <c r="N32" s="1030">
        <f>($G$9+$G$10)*'ARP Timing'!I$16</f>
        <v>4.0405890000000007</v>
      </c>
      <c r="O32" s="1030">
        <f>($G$9+$G$10)*'ARP Timing'!J$16</f>
        <v>4.0405890000000007</v>
      </c>
      <c r="P32" s="1030">
        <f>($G$9+$G$10)*'ARP Timing'!K$16</f>
        <v>4.0405890000000007</v>
      </c>
      <c r="Q32" s="1030">
        <f>($G$9+$G$10)*'ARP Timing'!L$16</f>
        <v>4.0405890000000007</v>
      </c>
      <c r="R32" s="1030">
        <f>($G$9+$G$10)*'ARP Timing'!M$16</f>
        <v>4.0405890000000007</v>
      </c>
      <c r="S32" s="1030">
        <f>($G$9+$G$10)*'ARP Timing'!N$16</f>
        <v>3.9168975000000006</v>
      </c>
      <c r="T32" s="1030">
        <f>($G$9+$G$10)*'ARP Timing'!O$16</f>
        <v>3.9168975000000006</v>
      </c>
      <c r="U32" s="1030">
        <f>($G$9+$G$10)*'ARP Timing'!P$16</f>
        <v>3.9168975000000006</v>
      </c>
      <c r="V32" s="1030">
        <f>($G$9+$G$10)*'ARP Timing'!Q$16</f>
        <v>3.9168975000000006</v>
      </c>
    </row>
    <row r="33" spans="1:23" x14ac:dyDescent="0.3">
      <c r="B33" s="34" t="s">
        <v>248</v>
      </c>
      <c r="C33" s="1046"/>
      <c r="H33" s="1030">
        <f>($H$9+$H$10)*'ARP Timing'!B$16</f>
        <v>5.7722700000000016</v>
      </c>
      <c r="I33" s="1030">
        <f>($H$9+$H$10)*'ARP Timing'!C$16</f>
        <v>5.7722700000000016</v>
      </c>
      <c r="J33" s="1030">
        <f>($H$9+$H$10)*'ARP Timing'!D$16</f>
        <v>4.0405890000000007</v>
      </c>
      <c r="K33" s="1030">
        <f>($H$9+$H$10)*'ARP Timing'!E$16</f>
        <v>4.0405890000000007</v>
      </c>
      <c r="L33" s="1030">
        <f>($H$9+$H$10)*'ARP Timing'!F$16</f>
        <v>4.0405890000000007</v>
      </c>
      <c r="M33" s="1030">
        <f>($H$9+$H$10)*'ARP Timing'!G$16</f>
        <v>4.0405890000000007</v>
      </c>
      <c r="N33" s="1030">
        <f>($H$9+$H$10)*'ARP Timing'!H$16</f>
        <v>4.0405890000000007</v>
      </c>
      <c r="O33" s="1030">
        <f>($H$9+$H$10)*'ARP Timing'!I$16</f>
        <v>4.0405890000000007</v>
      </c>
      <c r="P33" s="1030">
        <f>($H$9+$H$10)*'ARP Timing'!J$16</f>
        <v>4.0405890000000007</v>
      </c>
      <c r="Q33" s="1030">
        <f>($H$9+$H$10)*'ARP Timing'!K$16</f>
        <v>4.0405890000000007</v>
      </c>
      <c r="R33" s="1030">
        <f>($H$9+$H$10)*'ARP Timing'!L$16</f>
        <v>4.0405890000000007</v>
      </c>
      <c r="S33" s="1030">
        <f>($H$9+$H$10)*'ARP Timing'!M$16</f>
        <v>4.0405890000000007</v>
      </c>
      <c r="T33" s="1030">
        <f>($H$9+$H$10)*'ARP Timing'!N$16</f>
        <v>3.9168975000000006</v>
      </c>
      <c r="U33" s="1030">
        <f>($H$9+$H$10)*'ARP Timing'!O$16</f>
        <v>3.9168975000000006</v>
      </c>
      <c r="V33" s="1030">
        <f>($H$9+$H$10)*'ARP Timing'!P$16</f>
        <v>3.9168975000000006</v>
      </c>
    </row>
    <row r="34" spans="1:23" x14ac:dyDescent="0.3">
      <c r="B34" s="34" t="s">
        <v>379</v>
      </c>
      <c r="C34" s="1046"/>
      <c r="H34" s="1046"/>
      <c r="I34" s="1030">
        <f>($I$9+$I10)*'ARP Timing'!B$16</f>
        <v>5.7722700000000016</v>
      </c>
      <c r="J34" s="1030">
        <f>($I$9+$I10)*'ARP Timing'!C$16</f>
        <v>5.7722700000000016</v>
      </c>
      <c r="K34" s="1030">
        <f>($I$9+$I10)*'ARP Timing'!D$16</f>
        <v>4.0405890000000007</v>
      </c>
      <c r="L34" s="1030">
        <f>($I$9+$I10)*'ARP Timing'!E$16</f>
        <v>4.0405890000000007</v>
      </c>
      <c r="M34" s="1030">
        <f>($I$9+$I10)*'ARP Timing'!F$16</f>
        <v>4.0405890000000007</v>
      </c>
      <c r="N34" s="1030">
        <f>($I$9+$I10)*'ARP Timing'!G$16</f>
        <v>4.0405890000000007</v>
      </c>
      <c r="O34" s="1030">
        <f>($I$9+$I10)*'ARP Timing'!H$16</f>
        <v>4.0405890000000007</v>
      </c>
      <c r="P34" s="1030">
        <f>($I$9+$I10)*'ARP Timing'!I$16</f>
        <v>4.0405890000000007</v>
      </c>
      <c r="Q34" s="1030">
        <f>($I$9+$I10)*'ARP Timing'!J$16</f>
        <v>4.0405890000000007</v>
      </c>
      <c r="R34" s="1030">
        <f>($I$9+$I10)*'ARP Timing'!K$16</f>
        <v>4.0405890000000007</v>
      </c>
      <c r="S34" s="1030">
        <f>($I$9+$I10)*'ARP Timing'!L$16</f>
        <v>4.0405890000000007</v>
      </c>
      <c r="T34" s="1030">
        <f>($I$9+$I10)*'ARP Timing'!M$16</f>
        <v>4.0405890000000007</v>
      </c>
      <c r="U34" s="1030">
        <f>($I$9+$I10)*'ARP Timing'!N$16</f>
        <v>3.9168975000000006</v>
      </c>
      <c r="V34" s="1030">
        <f>($I$9+$I10)*'ARP Timing'!O$16</f>
        <v>3.9168975000000006</v>
      </c>
    </row>
    <row r="35" spans="1:23" x14ac:dyDescent="0.3">
      <c r="B35" s="34" t="s">
        <v>843</v>
      </c>
      <c r="C35" s="1046"/>
      <c r="H35" s="1046"/>
      <c r="J35" s="1030">
        <f>($J$9+$J$10)*'ARP Timing'!B$16</f>
        <v>4.3968400000000001</v>
      </c>
      <c r="K35" s="1030">
        <f>($J$9+$J$10)*'ARP Timing'!C$16</f>
        <v>4.3968400000000001</v>
      </c>
      <c r="L35" s="1030">
        <f>($J$9+$J$10)*'ARP Timing'!D$16</f>
        <v>3.077788</v>
      </c>
      <c r="M35" s="1030">
        <f>($J$9+$J$10)*'ARP Timing'!E$16</f>
        <v>3.077788</v>
      </c>
      <c r="N35" s="1030">
        <f>($J$9+$J$10)*'ARP Timing'!F$16</f>
        <v>3.077788</v>
      </c>
      <c r="O35" s="1030">
        <f>($J$9+$J$10)*'ARP Timing'!G$16</f>
        <v>3.077788</v>
      </c>
      <c r="P35" s="1030">
        <f>($J$9+$J$10)*'ARP Timing'!H$16</f>
        <v>3.077788</v>
      </c>
      <c r="Q35" s="1030">
        <f>($J$9+$J$10)*'ARP Timing'!I$16</f>
        <v>3.077788</v>
      </c>
      <c r="R35" s="1030">
        <f>($J$9+$J$10)*'ARP Timing'!J$16</f>
        <v>3.077788</v>
      </c>
      <c r="S35" s="1030">
        <f>($J$9+$J$10)*'ARP Timing'!K$16</f>
        <v>3.077788</v>
      </c>
      <c r="T35" s="1030">
        <f>($J$9+$J$10)*'ARP Timing'!L$16</f>
        <v>3.077788</v>
      </c>
      <c r="U35" s="1030">
        <f>($J$9+$J$10)*'ARP Timing'!M$16</f>
        <v>3.077788</v>
      </c>
      <c r="V35" s="1030">
        <f>($J$9+$J$10)*'ARP Timing'!N$16</f>
        <v>2.9835699999999998</v>
      </c>
    </row>
    <row r="36" spans="1:23" x14ac:dyDescent="0.3">
      <c r="A36" s="1030">
        <v>2023</v>
      </c>
      <c r="B36" s="34" t="s">
        <v>247</v>
      </c>
      <c r="C36" s="1046"/>
      <c r="H36" s="1046"/>
      <c r="K36" s="1030">
        <f>($K$9+$K$10)*'ARP Timing'!B$16</f>
        <v>4.3968400000000001</v>
      </c>
      <c r="L36" s="1030">
        <f>($K$9+$K$10)*'ARP Timing'!C$16</f>
        <v>4.3968400000000001</v>
      </c>
      <c r="M36" s="1030">
        <f>($K$9+$K$10)*'ARP Timing'!D$16</f>
        <v>3.077788</v>
      </c>
      <c r="N36" s="1030">
        <f>($K$9+$K$10)*'ARP Timing'!E$16</f>
        <v>3.077788</v>
      </c>
      <c r="O36" s="1030">
        <f>($K$9+$K$10)*'ARP Timing'!F$16</f>
        <v>3.077788</v>
      </c>
      <c r="P36" s="1030">
        <f>($K$9+$K$10)*'ARP Timing'!G$16</f>
        <v>3.077788</v>
      </c>
      <c r="Q36" s="1030">
        <f>($K$9+$K$10)*'ARP Timing'!H$16</f>
        <v>3.077788</v>
      </c>
      <c r="R36" s="1030">
        <f>($K$9+$K$10)*'ARP Timing'!I$16</f>
        <v>3.077788</v>
      </c>
      <c r="S36" s="1030">
        <f>($K$9+$K$10)*'ARP Timing'!J$16</f>
        <v>3.077788</v>
      </c>
      <c r="T36" s="1030">
        <f>($K$9+$K$10)*'ARP Timing'!K$16</f>
        <v>3.077788</v>
      </c>
      <c r="U36" s="1030">
        <f>($K$9+$K$10)*'ARP Timing'!L$16</f>
        <v>3.077788</v>
      </c>
      <c r="V36" s="1030">
        <f>($K$9+$K$10)*'ARP Timing'!M$16</f>
        <v>3.077788</v>
      </c>
    </row>
    <row r="37" spans="1:23" x14ac:dyDescent="0.3">
      <c r="B37" s="34" t="s">
        <v>248</v>
      </c>
      <c r="C37" s="1046"/>
      <c r="H37" s="1046"/>
      <c r="L37" s="1030">
        <f>($L$9+$L$10)*'ARP Timing'!B$16</f>
        <v>4.3968400000000001</v>
      </c>
      <c r="M37" s="1030">
        <f>($L$9+$L$10)*'ARP Timing'!C$16</f>
        <v>4.3968400000000001</v>
      </c>
      <c r="N37" s="1030">
        <f>($L$9+$L$10)*'ARP Timing'!D$16</f>
        <v>3.077788</v>
      </c>
      <c r="O37" s="1030">
        <f>($L$9+$L$10)*'ARP Timing'!E$16</f>
        <v>3.077788</v>
      </c>
      <c r="P37" s="1030">
        <f>($L$9+$L$10)*'ARP Timing'!F$16</f>
        <v>3.077788</v>
      </c>
      <c r="Q37" s="1030">
        <f>($L$9+$L$10)*'ARP Timing'!G$16</f>
        <v>3.077788</v>
      </c>
      <c r="R37" s="1030">
        <f>($L$9+$L$10)*'ARP Timing'!H$16</f>
        <v>3.077788</v>
      </c>
      <c r="S37" s="1030">
        <f>($L$9+$L$10)*'ARP Timing'!I$16</f>
        <v>3.077788</v>
      </c>
      <c r="T37" s="1030">
        <f>($L$9+$L$10)*'ARP Timing'!J$16</f>
        <v>3.077788</v>
      </c>
      <c r="U37" s="1030">
        <f>($L$9+$L$10)*'ARP Timing'!K$16</f>
        <v>3.077788</v>
      </c>
      <c r="V37" s="1030">
        <f>($L$9+$L$10)*'ARP Timing'!L$16</f>
        <v>3.077788</v>
      </c>
    </row>
    <row r="38" spans="1:23" x14ac:dyDescent="0.3">
      <c r="B38" s="34" t="s">
        <v>379</v>
      </c>
      <c r="C38" s="1046"/>
      <c r="H38" s="1046"/>
      <c r="M38" s="1030">
        <f>($M$9+$M$10)*'ARP Timing'!B$16</f>
        <v>4.3968400000000001</v>
      </c>
      <c r="N38" s="1030">
        <f>($M$9+$M$10)*'ARP Timing'!C$16</f>
        <v>4.3968400000000001</v>
      </c>
      <c r="O38" s="1030">
        <f>($M$9+$M$10)*'ARP Timing'!D$16</f>
        <v>3.077788</v>
      </c>
      <c r="P38" s="1030">
        <f>($M$9+$M$10)*'ARP Timing'!E$16</f>
        <v>3.077788</v>
      </c>
      <c r="Q38" s="1030">
        <f>($M$9+$M$10)*'ARP Timing'!F$16</f>
        <v>3.077788</v>
      </c>
      <c r="R38" s="1030">
        <f>($M$9+$M$10)*'ARP Timing'!G$16</f>
        <v>3.077788</v>
      </c>
      <c r="S38" s="1030">
        <f>($M$9+$M$10)*'ARP Timing'!H$16</f>
        <v>3.077788</v>
      </c>
      <c r="T38" s="1030">
        <f>($M$9+$M$10)*'ARP Timing'!I$16</f>
        <v>3.077788</v>
      </c>
      <c r="U38" s="1030">
        <f>($M$9+$M$10)*'ARP Timing'!J$16</f>
        <v>3.077788</v>
      </c>
      <c r="V38" s="1030">
        <f>($M$9+$M$10)*'ARP Timing'!K$16</f>
        <v>3.077788</v>
      </c>
    </row>
    <row r="39" spans="1:23" x14ac:dyDescent="0.3">
      <c r="B39" s="34" t="s">
        <v>843</v>
      </c>
      <c r="C39" s="1046"/>
      <c r="H39" s="1046"/>
      <c r="N39" s="1030">
        <f>($N$9+$N$10)*'ARP Timing'!B$16</f>
        <v>2.9087800000000006</v>
      </c>
      <c r="O39" s="1030">
        <f>($N$9+$N$10)*'ARP Timing'!C$16</f>
        <v>2.9087800000000006</v>
      </c>
      <c r="P39" s="1030">
        <f>($N$9+$N$10)*'ARP Timing'!D$16</f>
        <v>2.036146</v>
      </c>
      <c r="Q39" s="1030">
        <f>($N$9+$N$10)*'ARP Timing'!E$16</f>
        <v>2.036146</v>
      </c>
      <c r="R39" s="1030">
        <f>($N$9+$N$10)*'ARP Timing'!F$16</f>
        <v>2.036146</v>
      </c>
      <c r="S39" s="1030">
        <f>($N$9+$N$10)*'ARP Timing'!G$16</f>
        <v>2.036146</v>
      </c>
      <c r="T39" s="1030">
        <f>($N$9+$N$10)*'ARP Timing'!H$16</f>
        <v>2.036146</v>
      </c>
      <c r="U39" s="1030">
        <f>($N$9+$N$10)*'ARP Timing'!I$16</f>
        <v>2.036146</v>
      </c>
      <c r="V39" s="1030">
        <f>($N$9+$N$10)*'ARP Timing'!J$16</f>
        <v>2.036146</v>
      </c>
    </row>
    <row r="40" spans="1:23" x14ac:dyDescent="0.3">
      <c r="A40" s="1030">
        <v>2024</v>
      </c>
      <c r="B40" s="34" t="s">
        <v>247</v>
      </c>
      <c r="C40" s="1046"/>
      <c r="H40" s="1046"/>
      <c r="O40" s="1030">
        <f>($O$9+$O$10)*'ARP Timing'!B$16</f>
        <v>2.9087800000000006</v>
      </c>
      <c r="P40" s="1030">
        <f>($O$9+$O$10)*'ARP Timing'!C$16</f>
        <v>2.9087800000000006</v>
      </c>
      <c r="Q40" s="1030">
        <f>($O$9+$O$10)*'ARP Timing'!D$16</f>
        <v>2.036146</v>
      </c>
      <c r="R40" s="1030">
        <f>($O$9+$O$10)*'ARP Timing'!E$16</f>
        <v>2.036146</v>
      </c>
      <c r="S40" s="1030">
        <f>($O$9+$O$10)*'ARP Timing'!F$16</f>
        <v>2.036146</v>
      </c>
      <c r="T40" s="1030">
        <f>($O$9+$O$10)*'ARP Timing'!G$16</f>
        <v>2.036146</v>
      </c>
      <c r="U40" s="1030">
        <f>($O$9+$O$10)*'ARP Timing'!H$16</f>
        <v>2.036146</v>
      </c>
      <c r="V40" s="1030">
        <f>($O$9+$O$10)*'ARP Timing'!I$16</f>
        <v>2.036146</v>
      </c>
    </row>
    <row r="41" spans="1:23" x14ac:dyDescent="0.3">
      <c r="B41" s="34" t="s">
        <v>248</v>
      </c>
      <c r="C41" s="1046"/>
      <c r="H41" s="1046"/>
      <c r="P41" s="1030">
        <f>($P$9+$P$10)*'ARP Timing'!B$16</f>
        <v>2.9087800000000006</v>
      </c>
      <c r="Q41" s="1030">
        <f>($P$9+$P$10)*'ARP Timing'!C$16</f>
        <v>2.9087800000000006</v>
      </c>
      <c r="R41" s="1030">
        <f>($P$9+$P$10)*'ARP Timing'!D$16</f>
        <v>2.036146</v>
      </c>
      <c r="S41" s="1030">
        <f>($P$9+$P$10)*'ARP Timing'!E$16</f>
        <v>2.036146</v>
      </c>
      <c r="T41" s="1030">
        <f>($P$9+$P$10)*'ARP Timing'!F$16</f>
        <v>2.036146</v>
      </c>
      <c r="U41" s="1030">
        <f>($P$9+$P$10)*'ARP Timing'!G$16</f>
        <v>2.036146</v>
      </c>
      <c r="V41" s="1030">
        <f>($P$9+$P$10)*'ARP Timing'!H$16</f>
        <v>2.036146</v>
      </c>
    </row>
    <row r="42" spans="1:23" x14ac:dyDescent="0.3">
      <c r="B42" s="34" t="s">
        <v>379</v>
      </c>
      <c r="C42" s="1046"/>
      <c r="H42" s="1046"/>
      <c r="Q42" s="1030">
        <f>($Q$9+$Q$10)*'ARP Timing'!B$16</f>
        <v>2.9087800000000006</v>
      </c>
      <c r="R42" s="1030">
        <f>($Q$9+$Q$10)*'ARP Timing'!C$16</f>
        <v>2.9087800000000006</v>
      </c>
      <c r="S42" s="1030">
        <f>($Q$9+$Q$10)*'ARP Timing'!D$16</f>
        <v>2.036146</v>
      </c>
      <c r="T42" s="1030">
        <f>($Q$9+$Q$10)*'ARP Timing'!E$16</f>
        <v>2.036146</v>
      </c>
      <c r="U42" s="1030">
        <f>($Q$9+$Q$10)*'ARP Timing'!F$16</f>
        <v>2.036146</v>
      </c>
      <c r="V42" s="1030">
        <f>($Q$9+$Q$10)*'ARP Timing'!G$16</f>
        <v>2.036146</v>
      </c>
    </row>
    <row r="43" spans="1:23" x14ac:dyDescent="0.3">
      <c r="B43" s="34" t="s">
        <v>843</v>
      </c>
      <c r="C43" s="1046"/>
      <c r="H43" s="1046"/>
      <c r="R43" s="1030">
        <f>($R$9+$R$10)*'ARP Timing'!B$16</f>
        <v>1.9374600000000002</v>
      </c>
      <c r="S43" s="1030">
        <f>($R$9+$R$10)*'ARP Timing'!C$16</f>
        <v>1.9374600000000002</v>
      </c>
      <c r="T43" s="1030">
        <f>($R$9+$R$10)*'ARP Timing'!D$16</f>
        <v>1.356222</v>
      </c>
      <c r="U43" s="1030">
        <f>($R$9+$R$10)*'ARP Timing'!E$16</f>
        <v>1.356222</v>
      </c>
      <c r="V43" s="1030">
        <f>($R$9+$R$10)*'ARP Timing'!F$16</f>
        <v>1.356222</v>
      </c>
    </row>
    <row r="44" spans="1:23" x14ac:dyDescent="0.3">
      <c r="S44" s="1030">
        <f>($S$9+$S$10)*'ARP Timing'!B$16</f>
        <v>1.9374600000000002</v>
      </c>
      <c r="T44" s="1030">
        <f>($S$9+$S$10)*'ARP Timing'!C$16</f>
        <v>1.9374600000000002</v>
      </c>
      <c r="U44" s="1030">
        <f>($S$9+$S$10)*'ARP Timing'!D$16</f>
        <v>1.356222</v>
      </c>
      <c r="V44" s="1030">
        <f>($S$9+$S$10)*'ARP Timing'!E$16</f>
        <v>1.356222</v>
      </c>
    </row>
    <row r="46" spans="1:23" x14ac:dyDescent="0.3">
      <c r="B46" s="1030" t="s">
        <v>844</v>
      </c>
      <c r="D46" s="130" t="s">
        <v>296</v>
      </c>
      <c r="E46" s="130" t="s">
        <v>180</v>
      </c>
      <c r="F46" s="130" t="s">
        <v>181</v>
      </c>
      <c r="G46" s="130" t="s">
        <v>182</v>
      </c>
      <c r="H46" s="130" t="s">
        <v>183</v>
      </c>
      <c r="I46" s="130" t="s">
        <v>184</v>
      </c>
      <c r="J46" s="130" t="s">
        <v>185</v>
      </c>
      <c r="K46" s="130" t="s">
        <v>186</v>
      </c>
      <c r="L46" s="130" t="s">
        <v>187</v>
      </c>
      <c r="M46" s="130" t="s">
        <v>188</v>
      </c>
      <c r="N46" s="130" t="s">
        <v>189</v>
      </c>
      <c r="O46" s="130" t="s">
        <v>190</v>
      </c>
      <c r="P46" s="130" t="s">
        <v>191</v>
      </c>
      <c r="Q46" s="130" t="s">
        <v>175</v>
      </c>
      <c r="R46" s="130" t="s">
        <v>176</v>
      </c>
      <c r="S46" s="130" t="s">
        <v>177</v>
      </c>
      <c r="T46" s="130" t="s">
        <v>832</v>
      </c>
      <c r="U46" s="130" t="s">
        <v>833</v>
      </c>
      <c r="V46" s="130" t="s">
        <v>834</v>
      </c>
    </row>
    <row r="47" spans="1:23" x14ac:dyDescent="0.3">
      <c r="B47" s="34"/>
      <c r="C47" s="1046" t="s">
        <v>360</v>
      </c>
      <c r="D47" s="1048">
        <f t="shared" ref="D47:U47" si="42">SUM(D48:D66)</f>
        <v>0</v>
      </c>
      <c r="E47" s="1048">
        <f t="shared" si="42"/>
        <v>0</v>
      </c>
      <c r="F47" s="1048">
        <f t="shared" si="42"/>
        <v>34.620851999999999</v>
      </c>
      <c r="G47" s="1048">
        <f t="shared" si="42"/>
        <v>50.996274799999995</v>
      </c>
      <c r="H47" s="1048">
        <f t="shared" si="42"/>
        <v>69.350031999999999</v>
      </c>
      <c r="I47" s="1048">
        <f t="shared" si="42"/>
        <v>79.295867999999999</v>
      </c>
      <c r="J47" s="1048">
        <f t="shared" si="42"/>
        <v>80.538927999999999</v>
      </c>
      <c r="K47" s="1048">
        <f t="shared" si="42"/>
        <v>80.122543199999996</v>
      </c>
      <c r="L47" s="1048">
        <f t="shared" si="42"/>
        <v>88.916719999999998</v>
      </c>
      <c r="M47" s="1048">
        <f t="shared" si="42"/>
        <v>92.213943999999998</v>
      </c>
      <c r="N47" s="1048">
        <f t="shared" si="42"/>
        <v>92.213943999999998</v>
      </c>
      <c r="O47" s="1048">
        <f t="shared" si="42"/>
        <v>94.213943999999998</v>
      </c>
      <c r="P47" s="1048">
        <f t="shared" si="42"/>
        <v>98.916719999999998</v>
      </c>
      <c r="Q47" s="1048">
        <f t="shared" si="42"/>
        <v>98.916719999999998</v>
      </c>
      <c r="R47" s="1048">
        <f t="shared" si="42"/>
        <v>99.081581199999988</v>
      </c>
      <c r="S47" s="1048">
        <f t="shared" si="42"/>
        <v>93.146578000000005</v>
      </c>
      <c r="T47" s="1048">
        <f t="shared" si="42"/>
        <v>86.552129999999991</v>
      </c>
      <c r="U47" s="1048">
        <f t="shared" si="42"/>
        <v>86.552129999999991</v>
      </c>
      <c r="V47" s="1048">
        <f>SUM(V48:V66)</f>
        <v>82.265738799999994</v>
      </c>
      <c r="W47" s="1030">
        <f>SUM(G47:V47)/4</f>
        <v>343.32344900000004</v>
      </c>
    </row>
    <row r="48" spans="1:23" x14ac:dyDescent="0.3">
      <c r="A48" s="1030">
        <v>2021</v>
      </c>
      <c r="B48" s="34" t="s">
        <v>842</v>
      </c>
      <c r="C48" s="1046"/>
      <c r="D48" s="1030">
        <f>($D$8)*'ARP Timing'!B17</f>
        <v>0</v>
      </c>
      <c r="E48" s="1030">
        <f>($D$8)*'ARP Timing'!C17</f>
        <v>0</v>
      </c>
      <c r="F48" s="1030">
        <f>($D$8)*'ARP Timing'!D17</f>
        <v>34.620851999999999</v>
      </c>
      <c r="G48" s="1030">
        <f>($D$8)*'ARP Timing'!E17</f>
        <v>45.996274799999995</v>
      </c>
      <c r="H48" s="1030">
        <f>($D$8)*'ARP Timing'!F17</f>
        <v>59.350031999999992</v>
      </c>
      <c r="I48" s="1030">
        <f>($D$8)*'ARP Timing'!G17</f>
        <v>64.295867999999999</v>
      </c>
      <c r="J48" s="1030">
        <f>($D$8)*'ARP Timing'!H17</f>
        <v>49.458359999999999</v>
      </c>
      <c r="K48" s="1030">
        <f>($D$8)*'ARP Timing'!I17</f>
        <v>49.458359999999999</v>
      </c>
      <c r="L48" s="1030">
        <f>($D$8)*'ARP Timing'!J17</f>
        <v>59.350031999999992</v>
      </c>
      <c r="M48" s="1030">
        <f>($D$8)*'ARP Timing'!K17</f>
        <v>59.350031999999992</v>
      </c>
      <c r="N48" s="1030">
        <f>($D$8)*'ARP Timing'!L17</f>
        <v>69.241703999999999</v>
      </c>
      <c r="O48" s="1030">
        <f>($D$8)*'ARP Timing'!M17</f>
        <v>69.241703999999999</v>
      </c>
      <c r="P48" s="1030">
        <f>($D$8)*'ARP Timing'!N17</f>
        <v>59.350031999999992</v>
      </c>
      <c r="Q48" s="1030">
        <f>($D$8)*'ARP Timing'!O17</f>
        <v>59.350031999999992</v>
      </c>
      <c r="R48" s="1030">
        <f>($D$8)*'ARP Timing'!P17</f>
        <v>52.920445199999989</v>
      </c>
      <c r="S48" s="1030">
        <f>($D$8)*'ARP Timing'!Q17</f>
        <v>46.985441999999992</v>
      </c>
      <c r="T48" s="1030">
        <f>($D$8)*'ARP Timing'!R17</f>
        <v>46.985441999999992</v>
      </c>
      <c r="U48" s="1030">
        <f>($D$8)*'ARP Timing'!S17</f>
        <v>46.985441999999992</v>
      </c>
      <c r="V48" s="1030">
        <f>($D$8)*'ARP Timing'!T17</f>
        <v>46.985441999999992</v>
      </c>
    </row>
    <row r="49" spans="1:22" x14ac:dyDescent="0.3">
      <c r="B49" s="34" t="s">
        <v>379</v>
      </c>
      <c r="C49" s="1046"/>
      <c r="E49" s="1030">
        <f>($E$8)*'ARP Timing'!B$17</f>
        <v>0</v>
      </c>
      <c r="F49" s="1030">
        <f>($E$8)*'ARP Timing'!C$16</f>
        <v>0</v>
      </c>
      <c r="G49" s="1030">
        <f>($E$8)*'ARP Timing'!D$16</f>
        <v>0</v>
      </c>
      <c r="H49" s="1030">
        <f>($E$8)*'ARP Timing'!E$16</f>
        <v>0</v>
      </c>
      <c r="I49" s="1030">
        <f>($E$8)*'ARP Timing'!F$16</f>
        <v>0</v>
      </c>
      <c r="J49" s="1030">
        <f>($E$8)*'ARP Timing'!G$16</f>
        <v>0</v>
      </c>
      <c r="K49" s="1030">
        <f>($E$8)*'ARP Timing'!H$16</f>
        <v>0</v>
      </c>
      <c r="L49" s="1030">
        <f>($E$8)*'ARP Timing'!I$16</f>
        <v>0</v>
      </c>
      <c r="M49" s="1030">
        <f>($E$8)*'ARP Timing'!J$16</f>
        <v>0</v>
      </c>
      <c r="N49" s="1030">
        <f>($E$8)*'ARP Timing'!K$16</f>
        <v>0</v>
      </c>
      <c r="O49" s="1030">
        <f>($E$8)*'ARP Timing'!L$16</f>
        <v>0</v>
      </c>
      <c r="P49" s="1030">
        <f>($E$8)*'ARP Timing'!M$16</f>
        <v>0</v>
      </c>
      <c r="Q49" s="1030">
        <f>($E$8)*'ARP Timing'!N$16</f>
        <v>0</v>
      </c>
      <c r="R49" s="1030">
        <f>($E$8)*'ARP Timing'!O$16</f>
        <v>0</v>
      </c>
      <c r="S49" s="1030">
        <f>($E$8)*'ARP Timing'!P$16</f>
        <v>0</v>
      </c>
      <c r="T49" s="1030">
        <f>($E$8)*'ARP Timing'!Q$16</f>
        <v>0</v>
      </c>
      <c r="U49" s="1030">
        <f>($E$8)*'ARP Timing'!R$16</f>
        <v>0</v>
      </c>
      <c r="V49" s="1030">
        <f>($E$8)*'ARP Timing'!S$16</f>
        <v>0</v>
      </c>
    </row>
    <row r="50" spans="1:22" x14ac:dyDescent="0.3">
      <c r="B50" s="34" t="s">
        <v>843</v>
      </c>
      <c r="C50" s="1046"/>
      <c r="F50" s="1030">
        <f>($F$8)*'ARP Timing'!C$17</f>
        <v>0</v>
      </c>
      <c r="G50" s="1030">
        <f>($F$8)*'ARP Timing'!D$17</f>
        <v>0</v>
      </c>
      <c r="H50" s="1030">
        <f>($F$8)*'ARP Timing'!E$17</f>
        <v>0</v>
      </c>
      <c r="I50" s="1030">
        <f>($F$8)*'ARP Timing'!F$17</f>
        <v>0</v>
      </c>
      <c r="J50" s="1030">
        <f>($F$8)*'ARP Timing'!G$17</f>
        <v>0</v>
      </c>
      <c r="K50" s="1030">
        <f>($F$8)*'ARP Timing'!H$17</f>
        <v>0</v>
      </c>
      <c r="L50" s="1030">
        <f>($F$8)*'ARP Timing'!I$17</f>
        <v>0</v>
      </c>
      <c r="M50" s="1030">
        <f>($F$8)*'ARP Timing'!J$17</f>
        <v>0</v>
      </c>
      <c r="N50" s="1030">
        <f>($F$8)*'ARP Timing'!K$17</f>
        <v>0</v>
      </c>
      <c r="O50" s="1030">
        <f>($F$8)*'ARP Timing'!L$17</f>
        <v>0</v>
      </c>
      <c r="P50" s="1030">
        <f>($F$8)*'ARP Timing'!M$17</f>
        <v>0</v>
      </c>
      <c r="Q50" s="1030">
        <f>($F$8)*'ARP Timing'!N$17</f>
        <v>0</v>
      </c>
      <c r="R50" s="1030">
        <f>($F$8)*'ARP Timing'!O$17</f>
        <v>0</v>
      </c>
      <c r="S50" s="1030">
        <f>($F$8)*'ARP Timing'!P$17</f>
        <v>0</v>
      </c>
      <c r="T50" s="1030">
        <f>($F$8)*'ARP Timing'!Q$17</f>
        <v>0</v>
      </c>
      <c r="U50" s="1030">
        <f>($F$8)*'ARP Timing'!R$17</f>
        <v>0</v>
      </c>
      <c r="V50" s="1030">
        <f>($F$8)*'ARP Timing'!S$17</f>
        <v>0</v>
      </c>
    </row>
    <row r="51" spans="1:22" x14ac:dyDescent="0.3">
      <c r="A51" s="1030">
        <v>2022</v>
      </c>
      <c r="B51" s="34" t="s">
        <v>247</v>
      </c>
      <c r="C51" s="1046"/>
      <c r="G51" s="1030">
        <f>($G$8)*'ARP Timing'!D$17</f>
        <v>0</v>
      </c>
      <c r="H51" s="1030">
        <f>($G$8)*'ARP Timing'!E$17</f>
        <v>0</v>
      </c>
      <c r="I51" s="1030">
        <f>($G$8)*'ARP Timing'!F$17</f>
        <v>0</v>
      </c>
      <c r="J51" s="1030">
        <f>($G$8)*'ARP Timing'!G$17</f>
        <v>0</v>
      </c>
      <c r="K51" s="1030">
        <f>($G$8)*'ARP Timing'!H$17</f>
        <v>0</v>
      </c>
      <c r="L51" s="1030">
        <f>($G$8)*'ARP Timing'!I$17</f>
        <v>0</v>
      </c>
      <c r="M51" s="1030">
        <f>($G$8)*'ARP Timing'!J$17</f>
        <v>0</v>
      </c>
      <c r="N51" s="1030">
        <f>($G$8)*'ARP Timing'!K$17</f>
        <v>0</v>
      </c>
      <c r="O51" s="1030">
        <f>($G$8)*'ARP Timing'!L$17</f>
        <v>0</v>
      </c>
      <c r="P51" s="1030">
        <f>($G$8)*'ARP Timing'!M$17</f>
        <v>0</v>
      </c>
      <c r="Q51" s="1030">
        <f>($G$8)*'ARP Timing'!N$17</f>
        <v>0</v>
      </c>
      <c r="R51" s="1030">
        <f>($G$8)*'ARP Timing'!O$17</f>
        <v>0</v>
      </c>
      <c r="S51" s="1030">
        <f>($G$8)*'ARP Timing'!P$17</f>
        <v>0</v>
      </c>
      <c r="T51" s="1030">
        <f>($G$8)*'ARP Timing'!Q$17</f>
        <v>0</v>
      </c>
      <c r="U51" s="1030">
        <f>($G$8)*'ARP Timing'!R$17</f>
        <v>0</v>
      </c>
      <c r="V51" s="1030">
        <f>($G$8)*'ARP Timing'!S$17</f>
        <v>0</v>
      </c>
    </row>
    <row r="52" spans="1:22" x14ac:dyDescent="0.3">
      <c r="B52" s="34" t="s">
        <v>248</v>
      </c>
      <c r="C52" s="1046"/>
      <c r="H52" s="1030">
        <f>($H$8)*'ARP Timing'!B$17</f>
        <v>0</v>
      </c>
      <c r="I52" s="1030">
        <f>($H$8)*'ARP Timing'!C$17</f>
        <v>0</v>
      </c>
      <c r="J52" s="1030">
        <f>($H$8)*'ARP Timing'!D$17</f>
        <v>23.080568000000003</v>
      </c>
      <c r="K52" s="1030">
        <f>($H$8)*'ARP Timing'!E$17</f>
        <v>30.6641832</v>
      </c>
      <c r="L52" s="1030">
        <f>($H$8)*'ARP Timing'!F$17</f>
        <v>39.566687999999999</v>
      </c>
      <c r="M52" s="1030">
        <f>($H$8)*'ARP Timing'!G$17</f>
        <v>42.863911999999999</v>
      </c>
      <c r="N52" s="1030">
        <f>($H$8)*'ARP Timing'!H$17</f>
        <v>32.972239999999999</v>
      </c>
      <c r="O52" s="1030">
        <f>($H$8)*'ARP Timing'!I$17</f>
        <v>32.972239999999999</v>
      </c>
      <c r="P52" s="1030">
        <f>($H$8)*'ARP Timing'!J$17</f>
        <v>39.566687999999999</v>
      </c>
      <c r="Q52" s="1030">
        <f>($H$8)*'ARP Timing'!K$17</f>
        <v>39.566687999999999</v>
      </c>
      <c r="R52" s="1030">
        <f>($H$8)*'ARP Timing'!L$17</f>
        <v>46.161136000000006</v>
      </c>
      <c r="S52" s="1030">
        <f>($H$8)*'ARP Timing'!M$17</f>
        <v>46.161136000000006</v>
      </c>
      <c r="T52" s="1030">
        <f>($H$8)*'ARP Timing'!N$17</f>
        <v>39.566687999999999</v>
      </c>
      <c r="U52" s="1030">
        <f>($H$8)*'ARP Timing'!O$17</f>
        <v>39.566687999999999</v>
      </c>
      <c r="V52" s="1030">
        <f>($H$8)*'ARP Timing'!P$17</f>
        <v>35.280296800000002</v>
      </c>
    </row>
    <row r="53" spans="1:22" x14ac:dyDescent="0.3">
      <c r="B53" s="34" t="s">
        <v>379</v>
      </c>
      <c r="C53" s="1046"/>
      <c r="H53" s="1046"/>
      <c r="I53" s="1030">
        <f>($I$8)*'ARP Timing'!B$17</f>
        <v>0</v>
      </c>
      <c r="J53" s="1030">
        <f>($I$8)*'ARP Timing'!C$17</f>
        <v>0</v>
      </c>
      <c r="K53" s="1030">
        <f>($I$8)*'ARP Timing'!D$17</f>
        <v>0</v>
      </c>
      <c r="L53" s="1030">
        <f>($I$8)*'ARP Timing'!E$17</f>
        <v>0</v>
      </c>
      <c r="M53" s="1030">
        <f>($I$8)*'ARP Timing'!F$17</f>
        <v>0</v>
      </c>
      <c r="N53" s="1030">
        <f>($I$8)*'ARP Timing'!G$17</f>
        <v>0</v>
      </c>
      <c r="O53" s="1030">
        <f>($I$8)*'ARP Timing'!H$17</f>
        <v>0</v>
      </c>
      <c r="P53" s="1030">
        <f>($I$8)*'ARP Timing'!I$17</f>
        <v>0</v>
      </c>
      <c r="Q53" s="1030">
        <f>($I$8)*'ARP Timing'!J$17</f>
        <v>0</v>
      </c>
      <c r="R53" s="1030">
        <f>($I$8)*'ARP Timing'!K$17</f>
        <v>0</v>
      </c>
      <c r="S53" s="1030">
        <f>($I$8)*'ARP Timing'!L$17</f>
        <v>0</v>
      </c>
      <c r="T53" s="1030">
        <f>($I$8)*'ARP Timing'!M$17</f>
        <v>0</v>
      </c>
      <c r="U53" s="1030">
        <f>($I$8)*'ARP Timing'!N$17</f>
        <v>0</v>
      </c>
      <c r="V53" s="1030">
        <f>($I$8)*'ARP Timing'!O$17</f>
        <v>0</v>
      </c>
    </row>
    <row r="54" spans="1:22" x14ac:dyDescent="0.3">
      <c r="B54" s="34" t="s">
        <v>843</v>
      </c>
      <c r="C54" s="1046"/>
      <c r="H54" s="1046"/>
    </row>
    <row r="55" spans="1:22" x14ac:dyDescent="0.3">
      <c r="A55" s="1030">
        <v>2023</v>
      </c>
      <c r="B55" s="34" t="s">
        <v>247</v>
      </c>
      <c r="C55" s="1046"/>
      <c r="H55" s="1046"/>
    </row>
    <row r="56" spans="1:22" x14ac:dyDescent="0.3">
      <c r="B56" s="34" t="s">
        <v>248</v>
      </c>
      <c r="C56" s="1046"/>
      <c r="H56" s="1046"/>
    </row>
    <row r="57" spans="1:22" x14ac:dyDescent="0.3">
      <c r="B57" s="34" t="s">
        <v>379</v>
      </c>
      <c r="C57" s="1046"/>
      <c r="H57" s="1046"/>
    </row>
    <row r="58" spans="1:22" x14ac:dyDescent="0.3">
      <c r="B58" s="34" t="s">
        <v>843</v>
      </c>
      <c r="C58" s="1046"/>
      <c r="H58" s="1046"/>
    </row>
    <row r="59" spans="1:22" x14ac:dyDescent="0.3">
      <c r="A59" s="1030">
        <v>2024</v>
      </c>
      <c r="B59" s="34" t="s">
        <v>247</v>
      </c>
      <c r="C59" s="1046"/>
      <c r="H59" s="1046"/>
    </row>
    <row r="60" spans="1:22" x14ac:dyDescent="0.3">
      <c r="B60" s="34" t="s">
        <v>248</v>
      </c>
      <c r="C60" s="1046"/>
      <c r="H60" s="1046"/>
    </row>
    <row r="61" spans="1:22" x14ac:dyDescent="0.3">
      <c r="B61" s="34" t="s">
        <v>379</v>
      </c>
      <c r="C61" s="1046"/>
      <c r="H61" s="1046"/>
    </row>
    <row r="62" spans="1:22" x14ac:dyDescent="0.3">
      <c r="B62" s="34" t="s">
        <v>843</v>
      </c>
      <c r="C62" s="1046"/>
      <c r="H62" s="1046"/>
    </row>
    <row r="63" spans="1:22" x14ac:dyDescent="0.3">
      <c r="A63" t="s">
        <v>968</v>
      </c>
      <c r="B63" s="34"/>
      <c r="C63" s="1046"/>
      <c r="G63">
        <v>5</v>
      </c>
      <c r="H63" s="1046">
        <v>10</v>
      </c>
      <c r="I63">
        <v>15</v>
      </c>
      <c r="J63">
        <v>8</v>
      </c>
      <c r="K63">
        <v>0</v>
      </c>
      <c r="L63">
        <v>-10</v>
      </c>
      <c r="M63">
        <v>-10</v>
      </c>
      <c r="N63">
        <v>-10</v>
      </c>
      <c r="O63">
        <v>-8</v>
      </c>
    </row>
    <row r="64" spans="1:22" x14ac:dyDescent="0.3">
      <c r="B64" s="34"/>
      <c r="C64" s="1046"/>
      <c r="H64" s="1046"/>
    </row>
    <row r="65" spans="2:24" x14ac:dyDescent="0.3">
      <c r="B65" s="34"/>
      <c r="C65" s="1046"/>
      <c r="H65" s="1046"/>
    </row>
    <row r="66" spans="2:24" x14ac:dyDescent="0.3">
      <c r="B66" s="34"/>
      <c r="C66" s="1046"/>
      <c r="H66" s="1046"/>
    </row>
    <row r="67" spans="2:24" x14ac:dyDescent="0.3">
      <c r="B67" s="34"/>
      <c r="C67" s="1046"/>
      <c r="H67" s="1046"/>
    </row>
    <row r="68" spans="2:24" x14ac:dyDescent="0.3">
      <c r="B68" s="34"/>
      <c r="C68" s="1046"/>
      <c r="H68" s="1046"/>
    </row>
    <row r="69" spans="2:24" x14ac:dyDescent="0.3">
      <c r="B69" s="34"/>
      <c r="C69" s="1046"/>
      <c r="H69" s="1046"/>
    </row>
    <row r="70" spans="2:24" x14ac:dyDescent="0.3">
      <c r="B70" s="34"/>
      <c r="C70" s="1046"/>
      <c r="H70" s="1046"/>
    </row>
    <row r="71" spans="2:24" x14ac:dyDescent="0.3">
      <c r="B71" s="34"/>
      <c r="C71" s="1046"/>
      <c r="H71" s="1046"/>
    </row>
    <row r="72" spans="2:24" x14ac:dyDescent="0.3">
      <c r="B72" s="34"/>
      <c r="C72" s="1046"/>
      <c r="H72" s="1046"/>
    </row>
    <row r="73" spans="2:24" x14ac:dyDescent="0.3">
      <c r="B73" s="34" t="s">
        <v>845</v>
      </c>
      <c r="C73" s="1044">
        <v>2021</v>
      </c>
      <c r="D73" s="1044">
        <v>2022</v>
      </c>
      <c r="E73" s="1044">
        <v>2023</v>
      </c>
      <c r="F73" s="1044">
        <v>2024</v>
      </c>
      <c r="G73" s="1044">
        <v>2025</v>
      </c>
      <c r="H73" s="1046"/>
    </row>
    <row r="74" spans="2:24" x14ac:dyDescent="0.3">
      <c r="B74" s="34" t="s">
        <v>742</v>
      </c>
      <c r="C74" s="1049">
        <f t="shared" ref="C74:C85" si="43">SUM(C4:E4)/4</f>
        <v>0.77600000000001046</v>
      </c>
      <c r="D74" s="1049">
        <f t="shared" ref="D74:D85" si="44">SUM(F4:I4)/4</f>
        <v>19.719000000000005</v>
      </c>
      <c r="E74" s="1049">
        <f t="shared" ref="E74:E85" si="45">SUM(J4:M4)/4</f>
        <v>1.4159999999999999</v>
      </c>
      <c r="F74" s="1049">
        <f t="shared" ref="F74:F85" si="46">SUM(N4:Q4)/4</f>
        <v>1.4790000000000001</v>
      </c>
      <c r="G74" s="1049">
        <f t="shared" ref="G74:G85" si="47">SUM(R4:U4)/4</f>
        <v>1.63</v>
      </c>
    </row>
    <row r="75" spans="2:24" x14ac:dyDescent="0.3">
      <c r="B75" s="34" t="s">
        <v>743</v>
      </c>
      <c r="C75" s="1049">
        <f t="shared" si="43"/>
        <v>19.722000000000016</v>
      </c>
      <c r="D75" s="1049">
        <f t="shared" si="44"/>
        <v>52.756999999999998</v>
      </c>
      <c r="E75" s="1049">
        <f t="shared" si="45"/>
        <v>12</v>
      </c>
      <c r="F75" s="1049">
        <f t="shared" si="46"/>
        <v>4.2219999999999995</v>
      </c>
      <c r="G75" s="1049">
        <f t="shared" si="47"/>
        <v>2.3719999999999999</v>
      </c>
      <c r="H75" s="1046"/>
    </row>
    <row r="76" spans="2:24" x14ac:dyDescent="0.3">
      <c r="B76" s="34" t="s">
        <v>52</v>
      </c>
      <c r="C76" s="1049">
        <f t="shared" si="43"/>
        <v>81.643000000000001</v>
      </c>
      <c r="D76" s="1049">
        <f t="shared" si="44"/>
        <v>110.24799999999999</v>
      </c>
      <c r="E76" s="1049">
        <f t="shared" si="45"/>
        <v>12.726000000000001</v>
      </c>
      <c r="F76" s="1049">
        <f t="shared" si="46"/>
        <v>1.365</v>
      </c>
      <c r="G76" s="1049">
        <f t="shared" si="47"/>
        <v>-0.90100000000000025</v>
      </c>
      <c r="H76" s="1046"/>
      <c r="O76" s="34"/>
      <c r="P76" s="34"/>
      <c r="Q76" s="34"/>
      <c r="R76" s="34"/>
      <c r="S76" s="1050"/>
      <c r="T76" s="1050"/>
      <c r="U76" s="1050"/>
      <c r="V76" s="14"/>
      <c r="W76" s="34"/>
      <c r="X76" s="34"/>
    </row>
    <row r="77" spans="2:24" x14ac:dyDescent="0.3">
      <c r="B77" s="34" t="s">
        <v>131</v>
      </c>
      <c r="C77" s="1049">
        <f t="shared" si="43"/>
        <v>7.798</v>
      </c>
      <c r="D77" s="1049">
        <f t="shared" si="44"/>
        <v>7.9489999999999998</v>
      </c>
      <c r="E77" s="1049">
        <f t="shared" si="45"/>
        <v>4.7519999999999998</v>
      </c>
      <c r="F77" s="1049">
        <f t="shared" si="46"/>
        <v>4.637999999999999</v>
      </c>
      <c r="G77" s="1049">
        <f t="shared" si="47"/>
        <v>1.8800000000000001</v>
      </c>
      <c r="H77" s="1046"/>
    </row>
    <row r="78" spans="2:24" x14ac:dyDescent="0.3">
      <c r="B78" s="1047" t="s">
        <v>396</v>
      </c>
      <c r="C78" s="1049">
        <f t="shared" si="43"/>
        <v>247.29179999999997</v>
      </c>
      <c r="D78" s="1049">
        <f t="shared" si="44"/>
        <v>164.8612</v>
      </c>
      <c r="E78" s="1049">
        <f t="shared" si="45"/>
        <v>0</v>
      </c>
      <c r="F78" s="1049">
        <f t="shared" si="46"/>
        <v>0</v>
      </c>
      <c r="G78" s="1049">
        <f t="shared" si="47"/>
        <v>0</v>
      </c>
      <c r="H78" s="1046"/>
      <c r="R78" s="996"/>
      <c r="S78" s="996"/>
    </row>
    <row r="79" spans="2:24" x14ac:dyDescent="0.3">
      <c r="B79" s="1047" t="s">
        <v>150</v>
      </c>
      <c r="C79" s="1049">
        <f t="shared" si="43"/>
        <v>12.347</v>
      </c>
      <c r="D79" s="1049">
        <f t="shared" si="44"/>
        <v>46.79</v>
      </c>
      <c r="E79" s="1049">
        <f t="shared" si="45"/>
        <v>38.595999999999997</v>
      </c>
      <c r="F79" s="1049">
        <f t="shared" si="46"/>
        <v>31.911000000000001</v>
      </c>
      <c r="G79" s="1049">
        <f t="shared" si="47"/>
        <v>23.099</v>
      </c>
      <c r="H79" s="1046"/>
      <c r="R79" s="996"/>
      <c r="S79" s="996"/>
    </row>
    <row r="80" spans="2:24" x14ac:dyDescent="0.3">
      <c r="B80" s="1047" t="s">
        <v>412</v>
      </c>
      <c r="C80" s="1049">
        <f t="shared" si="43"/>
        <v>29.628</v>
      </c>
      <c r="D80" s="1049">
        <f t="shared" si="44"/>
        <v>35.671000000000006</v>
      </c>
      <c r="E80" s="1049">
        <f t="shared" si="45"/>
        <v>24.216000000000001</v>
      </c>
      <c r="F80" s="1049">
        <f t="shared" si="46"/>
        <v>9.6430000000000007</v>
      </c>
      <c r="G80" s="1049">
        <f t="shared" si="47"/>
        <v>4.5789999999999997</v>
      </c>
      <c r="H80" s="1046"/>
      <c r="R80" s="996"/>
      <c r="S80" s="996"/>
    </row>
    <row r="81" spans="2:19" x14ac:dyDescent="0.3">
      <c r="B81" s="14" t="s">
        <v>159</v>
      </c>
      <c r="C81" s="1049">
        <f t="shared" si="43"/>
        <v>25.75</v>
      </c>
      <c r="D81" s="1049">
        <f t="shared" si="44"/>
        <v>0</v>
      </c>
      <c r="E81" s="1049">
        <f t="shared" si="45"/>
        <v>0</v>
      </c>
      <c r="F81" s="1049">
        <f t="shared" si="46"/>
        <v>0</v>
      </c>
      <c r="G81" s="1049">
        <f t="shared" si="47"/>
        <v>0</v>
      </c>
      <c r="H81" s="1046"/>
      <c r="R81" s="996"/>
      <c r="S81" s="996"/>
    </row>
    <row r="82" spans="2:19" x14ac:dyDescent="0.3">
      <c r="B82" s="34" t="s">
        <v>109</v>
      </c>
      <c r="C82" s="1049">
        <f t="shared" si="43"/>
        <v>31.939</v>
      </c>
      <c r="D82" s="1049">
        <f t="shared" si="44"/>
        <v>56.413000000000004</v>
      </c>
      <c r="E82" s="1049">
        <f t="shared" si="45"/>
        <v>15.652999999999999</v>
      </c>
      <c r="F82" s="1049">
        <f t="shared" si="46"/>
        <v>3.9320000000000004</v>
      </c>
      <c r="G82" s="1049">
        <f t="shared" si="47"/>
        <v>-0.74299999999999988</v>
      </c>
      <c r="R82" s="996"/>
      <c r="S82" s="996"/>
    </row>
    <row r="83" spans="2:19" x14ac:dyDescent="0.3">
      <c r="B83" s="1030" t="s">
        <v>836</v>
      </c>
      <c r="C83" s="1049">
        <f t="shared" si="43"/>
        <v>1.02</v>
      </c>
      <c r="D83" s="1049">
        <f t="shared" si="44"/>
        <v>1.5299999999999998</v>
      </c>
      <c r="E83" s="1049">
        <f t="shared" si="45"/>
        <v>0</v>
      </c>
      <c r="F83" s="1049">
        <f t="shared" si="46"/>
        <v>0</v>
      </c>
      <c r="G83" s="1049">
        <f t="shared" si="47"/>
        <v>0</v>
      </c>
      <c r="R83" s="996"/>
      <c r="S83" s="996"/>
    </row>
    <row r="84" spans="2:19" x14ac:dyDescent="0.3">
      <c r="B84" s="1030" t="s">
        <v>837</v>
      </c>
      <c r="C84" s="1049">
        <f t="shared" si="43"/>
        <v>0.67999999999999994</v>
      </c>
      <c r="D84" s="1049">
        <f t="shared" si="44"/>
        <v>1.02</v>
      </c>
      <c r="E84" s="1049">
        <f t="shared" si="45"/>
        <v>0</v>
      </c>
      <c r="F84" s="1049">
        <f t="shared" si="46"/>
        <v>0</v>
      </c>
      <c r="G84" s="1049">
        <f t="shared" si="47"/>
        <v>0</v>
      </c>
      <c r="R84" s="996"/>
      <c r="S84" s="996"/>
    </row>
    <row r="85" spans="2:19" x14ac:dyDescent="0.3">
      <c r="B85" s="1030" t="s">
        <v>533</v>
      </c>
      <c r="C85" s="1049">
        <f t="shared" si="43"/>
        <v>1.6999999999999997</v>
      </c>
      <c r="D85" s="1049">
        <f t="shared" si="44"/>
        <v>2.5499999999999998</v>
      </c>
      <c r="E85" s="1049">
        <f t="shared" si="45"/>
        <v>0</v>
      </c>
      <c r="F85" s="1049">
        <f t="shared" si="46"/>
        <v>0</v>
      </c>
      <c r="G85" s="1049">
        <f t="shared" si="47"/>
        <v>0</v>
      </c>
      <c r="R85" s="996"/>
      <c r="S85" s="996"/>
    </row>
    <row r="86" spans="2:19" x14ac:dyDescent="0.3">
      <c r="C86" s="1044">
        <v>2021</v>
      </c>
      <c r="D86" s="1044">
        <v>2022</v>
      </c>
      <c r="E86" s="1044">
        <v>2023</v>
      </c>
      <c r="F86" s="1044">
        <v>2024</v>
      </c>
      <c r="G86" s="1044">
        <v>2025</v>
      </c>
      <c r="R86" s="996"/>
      <c r="S86" s="996"/>
    </row>
    <row r="87" spans="2:19" x14ac:dyDescent="0.3">
      <c r="B87" s="1030" t="s">
        <v>846</v>
      </c>
      <c r="C87" s="1048">
        <f>SUM(C83:C85)</f>
        <v>3.3999999999999995</v>
      </c>
      <c r="D87" s="1048">
        <f t="shared" ref="D87:G87" si="48">SUM(D83:D85)</f>
        <v>5.0999999999999996</v>
      </c>
      <c r="E87" s="1048">
        <f t="shared" si="48"/>
        <v>0</v>
      </c>
      <c r="F87" s="1048">
        <f t="shared" si="48"/>
        <v>0</v>
      </c>
      <c r="G87" s="1048">
        <f t="shared" si="48"/>
        <v>0</v>
      </c>
      <c r="R87" s="996"/>
      <c r="S87" s="996"/>
    </row>
    <row r="90" spans="2:19" x14ac:dyDescent="0.3">
      <c r="B90" s="1030" t="s">
        <v>742</v>
      </c>
      <c r="C90" s="1049">
        <v>26.636000000000024</v>
      </c>
      <c r="D90" s="1049">
        <v>98.978999999999999</v>
      </c>
      <c r="E90" s="1049">
        <v>2.1159999999999997</v>
      </c>
      <c r="F90" s="1049">
        <v>2.1789999999999998</v>
      </c>
      <c r="G90" s="1049">
        <v>2.33</v>
      </c>
      <c r="H90" s="1049"/>
      <c r="I90" s="1049"/>
      <c r="J90" s="1049"/>
      <c r="K90" s="1049"/>
      <c r="L90" s="1049"/>
      <c r="M90" s="1049"/>
    </row>
    <row r="91" spans="2:19" x14ac:dyDescent="0.3">
      <c r="B91" s="1030" t="s">
        <v>743</v>
      </c>
      <c r="C91" s="1049">
        <v>47.722000000000016</v>
      </c>
      <c r="D91" s="1049">
        <v>52.756999999999998</v>
      </c>
      <c r="E91" s="1049">
        <v>12</v>
      </c>
      <c r="F91" s="1049">
        <v>4.2219999999999995</v>
      </c>
      <c r="G91" s="1049">
        <v>2.3719999999999999</v>
      </c>
      <c r="H91" s="1049"/>
      <c r="I91" s="1049"/>
      <c r="J91" s="1049"/>
      <c r="K91" s="1049"/>
      <c r="L91" s="1049"/>
      <c r="M91" s="1049"/>
    </row>
    <row r="92" spans="2:19" x14ac:dyDescent="0.3">
      <c r="B92" s="1030" t="s">
        <v>52</v>
      </c>
      <c r="C92" s="1049">
        <v>81.842999999999989</v>
      </c>
      <c r="D92" s="1049">
        <v>110.24799999999999</v>
      </c>
      <c r="E92" s="1049">
        <v>12.726000000000001</v>
      </c>
      <c r="F92" s="1049">
        <v>1.365</v>
      </c>
      <c r="G92" s="1049">
        <v>-0.90100000000000025</v>
      </c>
      <c r="H92" s="1049"/>
      <c r="I92" s="1049"/>
      <c r="J92" s="1049"/>
      <c r="K92" s="1049"/>
      <c r="L92" s="1049"/>
      <c r="M92" s="1049"/>
    </row>
    <row r="93" spans="2:19" x14ac:dyDescent="0.3">
      <c r="B93" s="1030" t="s">
        <v>131</v>
      </c>
      <c r="C93" s="1049">
        <v>7.798</v>
      </c>
      <c r="D93" s="1049">
        <v>7.9489999999999998</v>
      </c>
      <c r="E93" s="1049">
        <v>4.7519999999999998</v>
      </c>
      <c r="F93" s="1049">
        <v>4.637999999999999</v>
      </c>
      <c r="G93" s="1049">
        <v>1.8800000000000001</v>
      </c>
      <c r="H93" s="1049"/>
      <c r="I93" s="1049"/>
      <c r="J93" s="1049"/>
      <c r="K93" s="1049"/>
      <c r="L93" s="1049"/>
      <c r="M93" s="1049"/>
    </row>
    <row r="94" spans="2:19" x14ac:dyDescent="0.3">
      <c r="B94" s="1030" t="s">
        <v>396</v>
      </c>
      <c r="C94" s="1049">
        <v>283.95749999999998</v>
      </c>
      <c r="D94" s="1049">
        <v>77.092500000000001</v>
      </c>
      <c r="E94" s="1049">
        <v>1</v>
      </c>
      <c r="F94" s="1049">
        <v>0</v>
      </c>
      <c r="G94" s="1049">
        <v>0</v>
      </c>
      <c r="H94" s="1049"/>
      <c r="I94" s="1049"/>
      <c r="J94" s="1049"/>
      <c r="K94" s="1049"/>
      <c r="L94" s="1049"/>
      <c r="M94" s="1049"/>
    </row>
    <row r="95" spans="2:19" x14ac:dyDescent="0.3">
      <c r="B95" s="1030" t="s">
        <v>150</v>
      </c>
      <c r="C95" s="1049">
        <v>12.347</v>
      </c>
      <c r="D95" s="1049">
        <v>46.79</v>
      </c>
      <c r="E95" s="1049">
        <v>38.595999999999997</v>
      </c>
      <c r="F95" s="1049">
        <v>31.911000000000001</v>
      </c>
      <c r="G95" s="1049">
        <v>23.099</v>
      </c>
      <c r="H95" s="1049"/>
      <c r="I95" s="1049"/>
      <c r="J95" s="1049"/>
      <c r="K95" s="1049"/>
      <c r="L95" s="1049"/>
      <c r="M95" s="1049"/>
    </row>
    <row r="96" spans="2:19" x14ac:dyDescent="0.3">
      <c r="B96" s="1030" t="s">
        <v>412</v>
      </c>
      <c r="C96" s="1049">
        <v>2.286</v>
      </c>
      <c r="D96" s="1049">
        <v>4.6049999999999995</v>
      </c>
      <c r="E96" s="1049">
        <v>1.349</v>
      </c>
      <c r="F96" s="1049">
        <v>0.441</v>
      </c>
      <c r="G96" s="1049">
        <v>0.313</v>
      </c>
      <c r="H96" s="1049"/>
      <c r="I96" s="1049"/>
      <c r="J96" s="1049"/>
      <c r="K96" s="1049"/>
      <c r="L96" s="1049"/>
      <c r="M96" s="1049"/>
    </row>
    <row r="97" spans="2:13" x14ac:dyDescent="0.3">
      <c r="B97" s="1030" t="s">
        <v>159</v>
      </c>
      <c r="C97" s="1049">
        <v>25.75</v>
      </c>
      <c r="D97" s="1049">
        <v>0</v>
      </c>
      <c r="E97" s="1049">
        <v>0</v>
      </c>
      <c r="F97" s="1049">
        <v>0</v>
      </c>
      <c r="G97" s="1049">
        <v>0</v>
      </c>
      <c r="H97" s="1049"/>
      <c r="I97" s="1049"/>
      <c r="J97" s="1049"/>
      <c r="K97" s="1049"/>
      <c r="L97" s="1049"/>
      <c r="M97" s="1049"/>
    </row>
    <row r="98" spans="2:13" x14ac:dyDescent="0.3">
      <c r="B98" s="1030" t="s">
        <v>109</v>
      </c>
      <c r="C98" s="1049">
        <v>60.441000000000003</v>
      </c>
      <c r="D98" s="1049">
        <v>91.678999999999988</v>
      </c>
      <c r="E98" s="1049">
        <v>41.220000000000006</v>
      </c>
      <c r="F98" s="1049">
        <v>14.004000000000003</v>
      </c>
      <c r="G98" s="1049">
        <v>3.8530000000000006</v>
      </c>
      <c r="H98" s="1049"/>
      <c r="I98" s="1049"/>
      <c r="J98" s="1049"/>
      <c r="K98" s="1049"/>
      <c r="L98" s="1049"/>
      <c r="M98" s="1049"/>
    </row>
    <row r="99" spans="2:13" x14ac:dyDescent="0.3">
      <c r="C99" s="1044">
        <v>3.4</v>
      </c>
      <c r="D99" s="1044">
        <v>5.0999999999999996</v>
      </c>
      <c r="E99" s="1044">
        <v>0</v>
      </c>
      <c r="F99" s="1044">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6" activePane="bottomLeft" state="frozen"/>
      <selection pane="bottomLeft" activeCell="C9" sqref="C9"/>
    </sheetView>
  </sheetViews>
  <sheetFormatPr defaultColWidth="11.554687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7" customHeight="1" x14ac:dyDescent="0.3">
      <c r="A1" s="25" t="s">
        <v>33</v>
      </c>
      <c r="B1" s="26" t="s">
        <v>34</v>
      </c>
      <c r="C1" s="26" t="s">
        <v>35</v>
      </c>
      <c r="D1" s="27" t="s">
        <v>36</v>
      </c>
      <c r="E1" s="31"/>
      <c r="F1" s="31"/>
    </row>
    <row r="2" spans="1:6" ht="16.5" customHeight="1" x14ac:dyDescent="0.3">
      <c r="A2" s="1067" t="s">
        <v>37</v>
      </c>
      <c r="B2" s="1068"/>
      <c r="C2" s="1068"/>
      <c r="D2" s="1069"/>
      <c r="E2" s="31"/>
      <c r="F2" s="31"/>
    </row>
    <row r="3" spans="1:6" ht="148.19999999999999" customHeight="1" x14ac:dyDescent="0.3">
      <c r="A3" s="18" t="s">
        <v>925</v>
      </c>
      <c r="B3" s="14" t="s">
        <v>924</v>
      </c>
      <c r="C3" s="14" t="s">
        <v>923</v>
      </c>
      <c r="D3" s="22" t="s">
        <v>1017</v>
      </c>
    </row>
    <row r="4" spans="1:6" ht="148.19999999999999" customHeight="1" x14ac:dyDescent="0.3">
      <c r="A4" s="18" t="s">
        <v>79</v>
      </c>
      <c r="B4" s="14" t="s">
        <v>40</v>
      </c>
      <c r="C4" s="14" t="s">
        <v>998</v>
      </c>
      <c r="D4" s="22" t="s">
        <v>1017</v>
      </c>
      <c r="E4" s="14"/>
      <c r="F4" s="14"/>
    </row>
    <row r="5" spans="1:6" ht="61.5" customHeight="1" x14ac:dyDescent="0.3">
      <c r="A5" s="18" t="s">
        <v>73</v>
      </c>
      <c r="B5" s="14" t="s">
        <v>74</v>
      </c>
      <c r="C5" s="33" t="s">
        <v>44</v>
      </c>
      <c r="D5" s="22" t="s">
        <v>1017</v>
      </c>
    </row>
    <row r="6" spans="1:6" ht="78" customHeight="1" x14ac:dyDescent="0.3">
      <c r="A6" s="18" t="s">
        <v>45</v>
      </c>
      <c r="B6" s="14" t="s">
        <v>46</v>
      </c>
      <c r="C6" s="14" t="s">
        <v>942</v>
      </c>
      <c r="D6" s="22" t="s">
        <v>1017</v>
      </c>
      <c r="E6" s="14"/>
      <c r="F6" s="14"/>
    </row>
    <row r="7" spans="1:6" ht="50.7" customHeight="1" x14ac:dyDescent="0.3">
      <c r="A7" s="18" t="s">
        <v>885</v>
      </c>
      <c r="B7" s="14" t="s">
        <v>897</v>
      </c>
      <c r="C7" s="14" t="s">
        <v>1548</v>
      </c>
      <c r="D7" s="22" t="s">
        <v>1017</v>
      </c>
      <c r="E7" s="15"/>
      <c r="F7" s="14"/>
    </row>
    <row r="8" spans="1:6" ht="29.7" customHeight="1" x14ac:dyDescent="0.3">
      <c r="A8" s="18" t="s">
        <v>75</v>
      </c>
      <c r="B8" s="14" t="s">
        <v>76</v>
      </c>
      <c r="C8" s="14" t="s">
        <v>77</v>
      </c>
      <c r="D8" s="22" t="s">
        <v>1017</v>
      </c>
      <c r="E8" s="15"/>
      <c r="F8" s="14"/>
    </row>
    <row r="9" spans="1:6" ht="48.45" customHeight="1" x14ac:dyDescent="0.3">
      <c r="A9" s="18" t="s">
        <v>47</v>
      </c>
      <c r="B9" s="14" t="s">
        <v>48</v>
      </c>
      <c r="C9" s="14" t="s">
        <v>916</v>
      </c>
      <c r="D9" s="22" t="s">
        <v>1017</v>
      </c>
      <c r="E9" s="15"/>
      <c r="F9" s="14"/>
    </row>
    <row r="10" spans="1:6" ht="22.5" customHeight="1" x14ac:dyDescent="0.3">
      <c r="A10" s="1067" t="s">
        <v>917</v>
      </c>
      <c r="B10" s="1068"/>
      <c r="C10" s="1068"/>
      <c r="D10" s="1069"/>
      <c r="E10" s="15"/>
      <c r="F10" s="14"/>
    </row>
    <row r="11" spans="1:6" ht="22.5" customHeight="1" x14ac:dyDescent="0.3">
      <c r="A11" s="19" t="s">
        <v>75</v>
      </c>
      <c r="B11" s="1080" t="s">
        <v>927</v>
      </c>
      <c r="C11" s="1081"/>
      <c r="D11" s="32"/>
      <c r="E11" s="15"/>
      <c r="F11" s="14"/>
    </row>
    <row r="12" spans="1:6" ht="33" customHeight="1" x14ac:dyDescent="0.3">
      <c r="A12" s="19" t="s">
        <v>926</v>
      </c>
      <c r="B12" s="1073" t="s">
        <v>928</v>
      </c>
      <c r="C12" s="1073"/>
      <c r="D12" s="22"/>
      <c r="E12" s="14"/>
      <c r="F12" s="14"/>
    </row>
    <row r="13" spans="1:6" ht="39.450000000000003" customHeight="1" x14ac:dyDescent="0.3">
      <c r="A13" s="17" t="s">
        <v>918</v>
      </c>
      <c r="B13" s="1073" t="s">
        <v>929</v>
      </c>
      <c r="C13" s="1073"/>
      <c r="D13" s="22"/>
    </row>
    <row r="14" spans="1:6" ht="38.700000000000003" customHeight="1" x14ac:dyDescent="0.3">
      <c r="A14" s="17" t="s">
        <v>920</v>
      </c>
      <c r="B14" s="1073" t="s">
        <v>921</v>
      </c>
      <c r="C14" s="1073"/>
      <c r="D14" s="22"/>
    </row>
    <row r="15" spans="1:6" ht="19.95" customHeight="1" x14ac:dyDescent="0.3">
      <c r="A15" s="1070" t="s">
        <v>59</v>
      </c>
      <c r="B15" s="1071"/>
      <c r="C15" s="1071"/>
      <c r="D15" s="1072"/>
    </row>
    <row r="16" spans="1:6" ht="24.45" customHeight="1" x14ac:dyDescent="0.3">
      <c r="A16" s="1074" t="s">
        <v>893</v>
      </c>
      <c r="B16" s="1075"/>
      <c r="C16" s="1076"/>
      <c r="D16" s="22"/>
    </row>
    <row r="17" spans="1:7" ht="101.7" customHeight="1" x14ac:dyDescent="0.3">
      <c r="A17" s="17" t="s">
        <v>60</v>
      </c>
      <c r="B17" s="34" t="s">
        <v>943</v>
      </c>
      <c r="C17" s="34" t="s">
        <v>950</v>
      </c>
      <c r="D17" s="35"/>
      <c r="E17" s="34"/>
      <c r="F17" s="34"/>
      <c r="G17" s="34"/>
    </row>
    <row r="18" spans="1:7" ht="100.95" customHeight="1" x14ac:dyDescent="0.3">
      <c r="A18" s="17" t="s">
        <v>61</v>
      </c>
      <c r="B18" s="34" t="s">
        <v>944</v>
      </c>
      <c r="C18" s="34" t="s">
        <v>945</v>
      </c>
      <c r="D18" s="35"/>
      <c r="E18" s="34"/>
      <c r="F18" s="34"/>
      <c r="G18" s="34"/>
    </row>
    <row r="19" spans="1:7" ht="57.6" customHeight="1" x14ac:dyDescent="0.3">
      <c r="A19" s="17" t="s">
        <v>946</v>
      </c>
      <c r="B19" s="34" t="s">
        <v>947</v>
      </c>
      <c r="C19" s="34" t="s">
        <v>948</v>
      </c>
      <c r="D19" s="35"/>
      <c r="E19" s="34"/>
      <c r="F19" s="34"/>
      <c r="G19" s="34"/>
    </row>
    <row r="20" spans="1:7" ht="37.5" customHeight="1" x14ac:dyDescent="0.3">
      <c r="A20" s="1077" t="s">
        <v>892</v>
      </c>
      <c r="B20" s="1078"/>
      <c r="C20" s="1079"/>
      <c r="D20" s="22"/>
    </row>
    <row r="21" spans="1:7" x14ac:dyDescent="0.3">
      <c r="A21" s="1070" t="s">
        <v>62</v>
      </c>
      <c r="B21" s="1071"/>
      <c r="C21" s="1071"/>
      <c r="D21" s="1072"/>
    </row>
    <row r="22" spans="1:7" ht="28.95" customHeight="1" x14ac:dyDescent="0.3">
      <c r="A22" s="18" t="s">
        <v>63</v>
      </c>
      <c r="B22" s="14" t="s">
        <v>78</v>
      </c>
      <c r="C22" s="14" t="s">
        <v>64</v>
      </c>
      <c r="D22" s="22"/>
    </row>
    <row r="23" spans="1:7" ht="72" customHeight="1" x14ac:dyDescent="0.3">
      <c r="A23" s="18" t="s">
        <v>65</v>
      </c>
      <c r="B23" s="14" t="s">
        <v>66</v>
      </c>
      <c r="C23" s="14" t="s">
        <v>67</v>
      </c>
      <c r="D23" s="22"/>
    </row>
    <row r="24" spans="1:7" ht="28.95" customHeight="1" x14ac:dyDescent="0.3">
      <c r="A24" s="18" t="s">
        <v>68</v>
      </c>
      <c r="B24" s="14" t="s">
        <v>69</v>
      </c>
      <c r="C24" s="14" t="s">
        <v>935</v>
      </c>
      <c r="D24" s="22"/>
    </row>
    <row r="25" spans="1:7" ht="100.95"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252"/>
  <sheetViews>
    <sheetView workbookViewId="0">
      <pane ySplit="1" topLeftCell="A2" activePane="bottomLeft" state="frozen"/>
      <selection pane="bottomLeft" activeCell="J8" sqref="J8"/>
    </sheetView>
  </sheetViews>
  <sheetFormatPr defaultColWidth="11.5546875" defaultRowHeight="14.4" x14ac:dyDescent="0.3"/>
  <cols>
    <col min="1" max="1" width="31.6640625" customWidth="1"/>
    <col min="2" max="2" width="37.6640625" customWidth="1"/>
    <col min="3" max="3" width="35.6640625" customWidth="1"/>
    <col min="4" max="4" width="38.6640625" customWidth="1"/>
    <col min="5" max="5" width="37.6640625" customWidth="1"/>
    <col min="6" max="6" width="7.6640625" customWidth="1"/>
    <col min="7" max="7" width="10.6640625" customWidth="1"/>
  </cols>
  <sheetData>
    <row r="1" spans="1:7" ht="72" customHeight="1" x14ac:dyDescent="0.3">
      <c r="A1" s="31" t="s">
        <v>2115</v>
      </c>
      <c r="B1" s="1053" t="s">
        <v>2116</v>
      </c>
      <c r="C1" s="1053" t="s">
        <v>2117</v>
      </c>
      <c r="D1" s="1053" t="s">
        <v>2118</v>
      </c>
      <c r="E1" s="1053" t="s">
        <v>2119</v>
      </c>
      <c r="F1" s="1053" t="s">
        <v>2120</v>
      </c>
      <c r="G1" s="50" t="s">
        <v>2121</v>
      </c>
    </row>
    <row r="2" spans="1:7" x14ac:dyDescent="0.3">
      <c r="A2">
        <v>4.5079018442711401E-2</v>
      </c>
      <c r="B2" s="73">
        <v>5.3878515900577198E-2</v>
      </c>
      <c r="C2" s="73">
        <v>8.7669475195773797E-2</v>
      </c>
      <c r="D2" s="73">
        <v>8.2063006909154398E-2</v>
      </c>
      <c r="E2" s="73">
        <v>0.104421067414309</v>
      </c>
      <c r="F2" s="73" t="s">
        <v>2122</v>
      </c>
      <c r="G2" t="s">
        <v>2123</v>
      </c>
    </row>
    <row r="3" spans="1:7" x14ac:dyDescent="0.3">
      <c r="A3">
        <v>4.5079018442711401E-2</v>
      </c>
      <c r="B3" s="73">
        <v>5.3878515900577198E-2</v>
      </c>
      <c r="C3" s="73">
        <v>8.7669475195773797E-2</v>
      </c>
      <c r="D3" s="73">
        <v>8.2063006909154398E-2</v>
      </c>
      <c r="E3" s="73">
        <v>0.104421067414309</v>
      </c>
      <c r="F3" s="73" t="s">
        <v>2124</v>
      </c>
      <c r="G3" t="s">
        <v>2123</v>
      </c>
    </row>
    <row r="4" spans="1:7" x14ac:dyDescent="0.3">
      <c r="A4">
        <v>3.9419555818651898E-2</v>
      </c>
      <c r="B4" s="73">
        <v>6.9938689583740596E-2</v>
      </c>
      <c r="C4" s="73">
        <v>7.4285235367281197E-2</v>
      </c>
      <c r="D4" s="73">
        <v>7.2508506661211405E-2</v>
      </c>
      <c r="E4" s="73">
        <v>7.9737360467493398E-2</v>
      </c>
      <c r="F4" s="73" t="s">
        <v>2125</v>
      </c>
      <c r="G4" t="s">
        <v>2123</v>
      </c>
    </row>
    <row r="5" spans="1:7" x14ac:dyDescent="0.3">
      <c r="A5">
        <v>5.2824828770235303E-2</v>
      </c>
      <c r="B5" s="73">
        <v>5.1823422551402501E-2</v>
      </c>
      <c r="C5" s="73">
        <v>7.7970827818693703E-2</v>
      </c>
      <c r="D5" s="73">
        <v>6.9052453854286294E-2</v>
      </c>
      <c r="E5" s="73">
        <v>0.10539397910227</v>
      </c>
      <c r="F5" s="73" t="s">
        <v>2126</v>
      </c>
      <c r="G5" t="s">
        <v>2123</v>
      </c>
    </row>
    <row r="6" spans="1:7" x14ac:dyDescent="0.3">
      <c r="A6">
        <v>3.85286878692137E-2</v>
      </c>
      <c r="B6" s="73">
        <v>0.132788480581229</v>
      </c>
      <c r="C6" s="73">
        <v>9.3760823124779499E-2</v>
      </c>
      <c r="D6" s="73">
        <v>0.10231116414477499</v>
      </c>
      <c r="E6" s="73">
        <v>6.9175988166702701E-2</v>
      </c>
      <c r="F6" s="73" t="s">
        <v>2127</v>
      </c>
      <c r="G6" t="s">
        <v>2123</v>
      </c>
    </row>
    <row r="7" spans="1:7" x14ac:dyDescent="0.3">
      <c r="A7">
        <v>4.6230845754161802E-2</v>
      </c>
      <c r="B7" s="73">
        <v>7.6806429060699302E-2</v>
      </c>
      <c r="C7" s="73">
        <v>7.4455751629846495E-2</v>
      </c>
      <c r="D7" s="73">
        <v>7.6908368677740299E-2</v>
      </c>
      <c r="E7" s="73">
        <v>6.5481053360561203E-2</v>
      </c>
      <c r="F7" s="73" t="s">
        <v>2128</v>
      </c>
      <c r="G7" t="s">
        <v>2123</v>
      </c>
    </row>
    <row r="8" spans="1:7" x14ac:dyDescent="0.3">
      <c r="A8">
        <v>4.0000704948734103E-2</v>
      </c>
      <c r="B8" s="73">
        <v>5.9184461037305798E-2</v>
      </c>
      <c r="C8" s="73">
        <v>5.75589148550519E-2</v>
      </c>
      <c r="D8" s="73">
        <v>6.1773509542664397E-2</v>
      </c>
      <c r="E8" s="73">
        <v>4.4315280925248897E-2</v>
      </c>
      <c r="F8" s="73" t="s">
        <v>2129</v>
      </c>
      <c r="G8" t="s">
        <v>2123</v>
      </c>
    </row>
    <row r="9" spans="1:7" x14ac:dyDescent="0.3">
      <c r="A9">
        <v>2.5035607973723999E-2</v>
      </c>
      <c r="B9" s="73">
        <v>8.3819893360376693E-2</v>
      </c>
      <c r="C9" s="73">
        <v>4.4288971780713303E-2</v>
      </c>
      <c r="D9" s="73">
        <v>3.6793688078589702E-2</v>
      </c>
      <c r="E9" s="73">
        <v>7.0854524877743894E-2</v>
      </c>
      <c r="F9" s="73" t="s">
        <v>2130</v>
      </c>
      <c r="G9" t="s">
        <v>2123</v>
      </c>
    </row>
    <row r="10" spans="1:7" x14ac:dyDescent="0.3">
      <c r="A10">
        <v>4.2906681103859E-2</v>
      </c>
      <c r="B10" s="73">
        <v>0.175097239288524</v>
      </c>
      <c r="C10" s="73">
        <v>9.26129607439308E-2</v>
      </c>
      <c r="D10" s="73">
        <v>0.10446834522691199</v>
      </c>
      <c r="E10" s="73">
        <v>5.2157088254066501E-2</v>
      </c>
      <c r="F10" s="73" t="s">
        <v>2131</v>
      </c>
      <c r="G10" t="s">
        <v>2123</v>
      </c>
    </row>
    <row r="11" spans="1:7" x14ac:dyDescent="0.3">
      <c r="A11">
        <v>2.3157030840978501E-2</v>
      </c>
      <c r="B11" s="73">
        <v>4.0963848741786497E-2</v>
      </c>
      <c r="C11" s="73">
        <v>4.8049614688522098E-2</v>
      </c>
      <c r="D11" s="73">
        <v>5.35423244430666E-2</v>
      </c>
      <c r="E11" s="73">
        <v>2.83404365976123E-2</v>
      </c>
      <c r="F11" s="73" t="s">
        <v>2132</v>
      </c>
      <c r="G11" t="s">
        <v>2123</v>
      </c>
    </row>
    <row r="12" spans="1:7" x14ac:dyDescent="0.3">
      <c r="A12">
        <v>3.55986781186481E-2</v>
      </c>
      <c r="B12" s="73">
        <v>3.3186191278740597E-2</v>
      </c>
      <c r="C12" s="73">
        <v>6.2282208901687001E-2</v>
      </c>
      <c r="D12" s="73">
        <v>6.3703129067968198E-2</v>
      </c>
      <c r="E12" s="73">
        <v>5.6658506033298299E-2</v>
      </c>
      <c r="F12" s="73" t="s">
        <v>2133</v>
      </c>
      <c r="G12" t="s">
        <v>2123</v>
      </c>
    </row>
    <row r="13" spans="1:7" x14ac:dyDescent="0.3">
      <c r="A13">
        <v>3.3109052200751603E-2</v>
      </c>
      <c r="B13" s="73">
        <v>8.9944620716435594E-2</v>
      </c>
      <c r="C13" s="73">
        <v>5.6197298009031102E-2</v>
      </c>
      <c r="D13" s="73">
        <v>5.0679215853917103E-2</v>
      </c>
      <c r="E13" s="73">
        <v>7.6848944278385095E-2</v>
      </c>
      <c r="F13" s="73" t="s">
        <v>2134</v>
      </c>
      <c r="G13" t="s">
        <v>2123</v>
      </c>
    </row>
    <row r="14" spans="1:7" x14ac:dyDescent="0.3">
      <c r="A14">
        <v>4.91014015888558E-2</v>
      </c>
      <c r="B14" s="73">
        <v>6.5908483031781095E-2</v>
      </c>
      <c r="C14" s="73">
        <v>8.1146420382343501E-2</v>
      </c>
      <c r="D14" s="73">
        <v>8.1389738888574495E-2</v>
      </c>
      <c r="E14" s="73">
        <v>7.93845743471608E-2</v>
      </c>
      <c r="F14" s="73" t="s">
        <v>2135</v>
      </c>
      <c r="G14" t="s">
        <v>2123</v>
      </c>
    </row>
    <row r="15" spans="1:7" x14ac:dyDescent="0.3">
      <c r="A15">
        <v>7.9177652454341899E-2</v>
      </c>
      <c r="B15" s="73">
        <v>7.1493559288280994E-2</v>
      </c>
      <c r="C15" s="73">
        <v>7.3002132438402506E-2</v>
      </c>
      <c r="D15" s="73">
        <v>6.9283063617710403E-2</v>
      </c>
      <c r="E15" s="73">
        <v>8.6922582910256702E-2</v>
      </c>
      <c r="F15" s="73" t="s">
        <v>2136</v>
      </c>
      <c r="G15" t="s">
        <v>2123</v>
      </c>
    </row>
    <row r="16" spans="1:7" x14ac:dyDescent="0.3">
      <c r="A16">
        <v>7.4767520593947104E-2</v>
      </c>
      <c r="B16" s="73">
        <v>8.5362600720222198E-2</v>
      </c>
      <c r="C16" s="73">
        <v>5.48179115604608E-2</v>
      </c>
      <c r="D16" s="73">
        <v>4.7217464684975501E-2</v>
      </c>
      <c r="E16" s="73">
        <v>8.4062519785650797E-2</v>
      </c>
      <c r="F16" s="73" t="s">
        <v>2137</v>
      </c>
      <c r="G16" t="s">
        <v>2123</v>
      </c>
    </row>
    <row r="17" spans="1:7" x14ac:dyDescent="0.3">
      <c r="A17">
        <v>8.4354048501589896E-2</v>
      </c>
      <c r="B17" s="73">
        <v>8.8313277531109999E-2</v>
      </c>
      <c r="C17" s="73">
        <v>7.8016517586817699E-2</v>
      </c>
      <c r="D17" s="73">
        <v>6.8825586736247696E-2</v>
      </c>
      <c r="E17" s="73">
        <v>0.111750672708145</v>
      </c>
      <c r="F17" s="73" t="s">
        <v>2138</v>
      </c>
      <c r="G17" t="s">
        <v>2123</v>
      </c>
    </row>
    <row r="18" spans="1:7" x14ac:dyDescent="0.3">
      <c r="A18">
        <v>0.124536540877934</v>
      </c>
      <c r="B18" s="73">
        <v>4.1616768277239702E-2</v>
      </c>
      <c r="C18" s="73">
        <v>0.121191831225751</v>
      </c>
      <c r="D18" s="73">
        <v>0.100709384145876</v>
      </c>
      <c r="E18" s="73">
        <v>0.19875533747763099</v>
      </c>
      <c r="F18" s="73" t="s">
        <v>2139</v>
      </c>
      <c r="G18" t="s">
        <v>2123</v>
      </c>
    </row>
    <row r="19" spans="1:7" x14ac:dyDescent="0.3">
      <c r="A19">
        <v>0.118186339709689</v>
      </c>
      <c r="B19" s="73">
        <v>7.4336480554695494E-2</v>
      </c>
      <c r="C19" s="73">
        <v>0.14658250041933499</v>
      </c>
      <c r="D19" s="73">
        <v>0.111980004946894</v>
      </c>
      <c r="E19" s="73">
        <v>0.27614966476000502</v>
      </c>
      <c r="F19" s="73" t="s">
        <v>2140</v>
      </c>
      <c r="G19" t="s">
        <v>2123</v>
      </c>
    </row>
    <row r="20" spans="1:7" x14ac:dyDescent="0.3">
      <c r="A20">
        <v>0.112285409166716</v>
      </c>
      <c r="B20" s="73">
        <v>0.121923532437656</v>
      </c>
      <c r="C20" s="73">
        <v>0.154128633937411</v>
      </c>
      <c r="D20" s="73">
        <v>0.119951580753957</v>
      </c>
      <c r="E20" s="73">
        <v>0.28126959643585903</v>
      </c>
      <c r="F20" s="73" t="s">
        <v>2141</v>
      </c>
      <c r="G20" t="s">
        <v>2123</v>
      </c>
    </row>
    <row r="21" spans="1:7" x14ac:dyDescent="0.3">
      <c r="A21">
        <v>0.10564888426900799</v>
      </c>
      <c r="B21" s="73">
        <v>0.139689749601554</v>
      </c>
      <c r="C21" s="73">
        <v>0.12293988936914101</v>
      </c>
      <c r="D21" s="73">
        <v>0.10861792322335199</v>
      </c>
      <c r="E21" s="73">
        <v>0.17691984955710299</v>
      </c>
      <c r="F21" s="73" t="s">
        <v>2142</v>
      </c>
      <c r="G21" t="s">
        <v>2123</v>
      </c>
    </row>
    <row r="22" spans="1:7" x14ac:dyDescent="0.3">
      <c r="A22">
        <v>7.7418031911128199E-2</v>
      </c>
      <c r="B22" s="73">
        <v>7.47377264200315E-2</v>
      </c>
      <c r="C22" s="73">
        <v>8.2897074604326895E-2</v>
      </c>
      <c r="D22" s="73">
        <v>8.2414004288707196E-2</v>
      </c>
      <c r="E22" s="73">
        <v>8.77241949354641E-2</v>
      </c>
      <c r="F22" s="73" t="s">
        <v>2143</v>
      </c>
      <c r="G22" t="s">
        <v>2123</v>
      </c>
    </row>
    <row r="23" spans="1:7" x14ac:dyDescent="0.3">
      <c r="A23">
        <v>5.00188837807687E-2</v>
      </c>
      <c r="B23" s="73">
        <v>5.9076854521070303E-2</v>
      </c>
      <c r="C23" s="73">
        <v>8.1628736402345095E-2</v>
      </c>
      <c r="D23" s="73">
        <v>9.99907756879512E-2</v>
      </c>
      <c r="E23" s="73">
        <v>1.9938623083631101E-2</v>
      </c>
      <c r="F23" s="73" t="s">
        <v>2144</v>
      </c>
      <c r="G23" t="s">
        <v>2123</v>
      </c>
    </row>
    <row r="24" spans="1:7" x14ac:dyDescent="0.3">
      <c r="A24">
        <v>7.6956317974106001E-2</v>
      </c>
      <c r="B24" s="73">
        <v>5.5091330920863602E-2</v>
      </c>
      <c r="C24" s="73">
        <v>5.2088066977946899E-2</v>
      </c>
      <c r="D24" s="73">
        <v>6.2847909413525901E-2</v>
      </c>
      <c r="E24" s="73">
        <v>1.2710174962932599E-2</v>
      </c>
      <c r="F24" s="73" t="s">
        <v>2145</v>
      </c>
      <c r="G24" t="s">
        <v>2123</v>
      </c>
    </row>
    <row r="25" spans="1:7" x14ac:dyDescent="0.3">
      <c r="A25">
        <v>6.8882772668885706E-2</v>
      </c>
      <c r="B25" s="73">
        <v>9.5097426388938394E-2</v>
      </c>
      <c r="C25" s="73">
        <v>5.2203706076527197E-2</v>
      </c>
      <c r="D25" s="73">
        <v>5.9557775023163499E-2</v>
      </c>
      <c r="E25" s="73">
        <v>2.4583979224767301E-2</v>
      </c>
      <c r="F25" s="73" t="s">
        <v>2146</v>
      </c>
      <c r="G25" t="s">
        <v>2123</v>
      </c>
    </row>
    <row r="26" spans="1:7" x14ac:dyDescent="0.3">
      <c r="A26">
        <v>4.46796784787249E-2</v>
      </c>
      <c r="B26" s="73">
        <v>5.9702158874865199E-2</v>
      </c>
      <c r="C26" s="73">
        <v>4.59237991295069E-2</v>
      </c>
      <c r="D26" s="73">
        <v>5.3094918319799497E-2</v>
      </c>
      <c r="E26" s="73">
        <v>1.9800669277978002E-2</v>
      </c>
      <c r="F26" s="73" t="s">
        <v>2147</v>
      </c>
      <c r="G26" t="s">
        <v>2123</v>
      </c>
    </row>
    <row r="27" spans="1:7" x14ac:dyDescent="0.3">
      <c r="A27">
        <v>3.3979822161052303E-2</v>
      </c>
      <c r="B27" s="73">
        <v>3.3961135638896502E-2</v>
      </c>
      <c r="C27" s="73">
        <v>4.9414114166727703E-2</v>
      </c>
      <c r="D27" s="73">
        <v>5.3215140717762302E-2</v>
      </c>
      <c r="E27" s="73">
        <v>3.4743180507705002E-2</v>
      </c>
      <c r="F27" s="73" t="s">
        <v>2148</v>
      </c>
      <c r="G27" t="s">
        <v>2123</v>
      </c>
    </row>
    <row r="28" spans="1:7" x14ac:dyDescent="0.3">
      <c r="A28">
        <v>6.2157602764701697E-2</v>
      </c>
      <c r="B28" s="73">
        <v>4.6572413553721298E-2</v>
      </c>
      <c r="C28" s="73">
        <v>3.0046072001909799E-2</v>
      </c>
      <c r="D28" s="73">
        <v>3.5515485276211803E-2</v>
      </c>
      <c r="E28" s="73">
        <v>8.7412684077270396E-3</v>
      </c>
      <c r="F28" s="73" t="s">
        <v>2149</v>
      </c>
      <c r="G28" t="s">
        <v>2123</v>
      </c>
    </row>
    <row r="29" spans="1:7" x14ac:dyDescent="0.3">
      <c r="A29">
        <v>6.4679796349943294E-2</v>
      </c>
      <c r="B29" s="73">
        <v>0.11140543202132699</v>
      </c>
      <c r="C29" s="73">
        <v>4.8632403600481003E-2</v>
      </c>
      <c r="D29" s="73">
        <v>5.3847641567893498E-2</v>
      </c>
      <c r="E29" s="73">
        <v>2.7482019859727602E-2</v>
      </c>
      <c r="F29" s="73" t="s">
        <v>2150</v>
      </c>
      <c r="G29" t="s">
        <v>2123</v>
      </c>
    </row>
    <row r="30" spans="1:7" x14ac:dyDescent="0.3">
      <c r="A30">
        <v>7.4088172350420103E-2</v>
      </c>
      <c r="B30" s="73">
        <v>5.7739458159661701E-2</v>
      </c>
      <c r="C30" s="73">
        <v>7.7620410648789898E-2</v>
      </c>
      <c r="D30" s="73">
        <v>8.3796072481744796E-2</v>
      </c>
      <c r="E30" s="73">
        <v>5.2825931688943499E-2</v>
      </c>
      <c r="F30" s="73" t="s">
        <v>2151</v>
      </c>
      <c r="G30" t="s">
        <v>2123</v>
      </c>
    </row>
    <row r="31" spans="1:7" x14ac:dyDescent="0.3">
      <c r="A31">
        <v>7.0308632461715301E-2</v>
      </c>
      <c r="B31" s="73">
        <v>4.6296846180206901E-2</v>
      </c>
      <c r="C31" s="73">
        <v>7.3549798211318906E-2</v>
      </c>
      <c r="D31" s="73">
        <v>8.1880476726010801E-2</v>
      </c>
      <c r="E31" s="73">
        <v>4.0048809702137603E-2</v>
      </c>
      <c r="F31" s="73" t="s">
        <v>2152</v>
      </c>
      <c r="G31" t="s">
        <v>2123</v>
      </c>
    </row>
    <row r="32" spans="1:7" x14ac:dyDescent="0.3">
      <c r="A32">
        <v>6.1553542794543503E-2</v>
      </c>
      <c r="B32" s="73">
        <v>1.98663105662467E-2</v>
      </c>
      <c r="C32" s="73">
        <v>6.9862554007581706E-2</v>
      </c>
      <c r="D32" s="73">
        <v>7.3501873886998997E-2</v>
      </c>
      <c r="E32" s="73">
        <v>5.4874269706492597E-2</v>
      </c>
      <c r="F32" s="73" t="s">
        <v>2153</v>
      </c>
      <c r="G32" t="s">
        <v>2123</v>
      </c>
    </row>
    <row r="33" spans="1:7" x14ac:dyDescent="0.3">
      <c r="A33">
        <v>5.8025197908700303E-2</v>
      </c>
      <c r="B33" s="73">
        <v>0.12112082718011299</v>
      </c>
      <c r="C33" s="73">
        <v>6.91983732744961E-2</v>
      </c>
      <c r="D33" s="73">
        <v>7.5383891455237398E-2</v>
      </c>
      <c r="E33" s="73">
        <v>4.34111575180351E-2</v>
      </c>
      <c r="F33" s="73" t="s">
        <v>2154</v>
      </c>
      <c r="G33" t="s">
        <v>2123</v>
      </c>
    </row>
    <row r="34" spans="1:7" x14ac:dyDescent="0.3">
      <c r="A34">
        <v>6.7326294927223501E-2</v>
      </c>
      <c r="B34" s="73">
        <v>4.65097292728067E-2</v>
      </c>
      <c r="C34" s="73">
        <v>5.7725598689889503E-2</v>
      </c>
      <c r="D34" s="73">
        <v>5.9424238450433299E-2</v>
      </c>
      <c r="E34" s="73">
        <v>5.0510789433123801E-2</v>
      </c>
      <c r="F34" s="73" t="s">
        <v>2155</v>
      </c>
      <c r="G34" t="s">
        <v>2123</v>
      </c>
    </row>
    <row r="35" spans="1:7" x14ac:dyDescent="0.3">
      <c r="A35">
        <v>8.4675701203493298E-2</v>
      </c>
      <c r="B35" s="73">
        <v>8.09066486989478E-2</v>
      </c>
      <c r="C35" s="73">
        <v>6.8432547938236193E-2</v>
      </c>
      <c r="D35" s="73">
        <v>6.5619276167123694E-2</v>
      </c>
      <c r="E35" s="73">
        <v>8.0997725857898203E-2</v>
      </c>
      <c r="F35" s="73" t="s">
        <v>2156</v>
      </c>
      <c r="G35" t="s">
        <v>2123</v>
      </c>
    </row>
    <row r="36" spans="1:7" x14ac:dyDescent="0.3">
      <c r="A36">
        <v>7.2050406034996906E-2</v>
      </c>
      <c r="B36" s="73">
        <v>6.8549166168664605E-2</v>
      </c>
      <c r="C36" s="73">
        <v>6.2366553260047697E-2</v>
      </c>
      <c r="D36" s="73">
        <v>5.8500992246239197E-2</v>
      </c>
      <c r="E36" s="73">
        <v>7.8709215306017405E-2</v>
      </c>
      <c r="F36" s="73" t="s">
        <v>2157</v>
      </c>
      <c r="G36" t="s">
        <v>2123</v>
      </c>
    </row>
    <row r="37" spans="1:7" x14ac:dyDescent="0.3">
      <c r="A37">
        <v>7.7759817693589403E-2</v>
      </c>
      <c r="B37" s="73">
        <v>7.0826828171957498E-2</v>
      </c>
      <c r="C37" s="73">
        <v>5.8580868291317999E-2</v>
      </c>
      <c r="D37" s="73">
        <v>5.4682260590980698E-2</v>
      </c>
      <c r="E37" s="73">
        <v>7.3455131593814296E-2</v>
      </c>
      <c r="F37" s="73" t="s">
        <v>2158</v>
      </c>
      <c r="G37" t="s">
        <v>2123</v>
      </c>
    </row>
    <row r="38" spans="1:7" x14ac:dyDescent="0.3">
      <c r="A38">
        <v>7.7602845525897898E-2</v>
      </c>
      <c r="B38" s="73">
        <v>7.5755853629737399E-2</v>
      </c>
      <c r="C38" s="73">
        <v>9.8601495376907003E-2</v>
      </c>
      <c r="D38" s="73">
        <v>0.101819091447914</v>
      </c>
      <c r="E38" s="73">
        <v>8.5137769356933707E-2</v>
      </c>
      <c r="F38" s="73" t="s">
        <v>2159</v>
      </c>
      <c r="G38" t="s">
        <v>2123</v>
      </c>
    </row>
    <row r="39" spans="1:7" x14ac:dyDescent="0.3">
      <c r="A39">
        <v>0.113838252689951</v>
      </c>
      <c r="B39" s="73">
        <v>6.1815502695247999E-2</v>
      </c>
      <c r="C39" s="73">
        <v>9.47529302659431E-2</v>
      </c>
      <c r="D39" s="73">
        <v>9.0287471336475605E-2</v>
      </c>
      <c r="E39" s="73">
        <v>0.11311171886032199</v>
      </c>
      <c r="F39" s="73" t="s">
        <v>2160</v>
      </c>
      <c r="G39" t="s">
        <v>2123</v>
      </c>
    </row>
    <row r="40" spans="1:7" x14ac:dyDescent="0.3">
      <c r="A40">
        <v>0.10293672514128201</v>
      </c>
      <c r="B40" s="73">
        <v>9.6664179784869297E-2</v>
      </c>
      <c r="C40" s="73">
        <v>0.14258875004429</v>
      </c>
      <c r="D40" s="73">
        <v>0.148038402658868</v>
      </c>
      <c r="E40" s="73">
        <v>0.121960082107911</v>
      </c>
      <c r="F40" s="73" t="s">
        <v>2161</v>
      </c>
      <c r="G40" t="s">
        <v>2123</v>
      </c>
    </row>
    <row r="41" spans="1:7" x14ac:dyDescent="0.3">
      <c r="A41">
        <v>0.100470180706661</v>
      </c>
      <c r="B41" s="73">
        <v>9.1027084037313494E-2</v>
      </c>
      <c r="C41" s="73">
        <v>8.0488191904446393E-2</v>
      </c>
      <c r="D41" s="73">
        <v>7.0641984000731503E-2</v>
      </c>
      <c r="E41" s="73">
        <v>0.118355060703055</v>
      </c>
      <c r="F41" s="73" t="s">
        <v>2162</v>
      </c>
      <c r="G41" t="s">
        <v>2123</v>
      </c>
    </row>
    <row r="42" spans="1:7" x14ac:dyDescent="0.3">
      <c r="A42">
        <v>0.12552467874009099</v>
      </c>
      <c r="B42" s="73">
        <v>8.1451601423466094E-2</v>
      </c>
      <c r="C42" s="73">
        <v>0.10825796539608799</v>
      </c>
      <c r="D42" s="73">
        <v>0.106909632651843</v>
      </c>
      <c r="E42" s="73">
        <v>0.113864763230328</v>
      </c>
      <c r="F42" s="73" t="s">
        <v>2163</v>
      </c>
      <c r="G42" t="s">
        <v>2123</v>
      </c>
    </row>
    <row r="43" spans="1:7" x14ac:dyDescent="0.3">
      <c r="A43">
        <v>0.101539889707692</v>
      </c>
      <c r="B43" s="73">
        <v>0.163874229132176</v>
      </c>
      <c r="C43" s="73">
        <v>0.11440208439959799</v>
      </c>
      <c r="D43" s="73">
        <v>0.11299973225785501</v>
      </c>
      <c r="E43" s="73">
        <v>0.119816075191493</v>
      </c>
      <c r="F43" s="73" t="s">
        <v>2164</v>
      </c>
      <c r="G43" t="s">
        <v>2123</v>
      </c>
    </row>
    <row r="44" spans="1:7" x14ac:dyDescent="0.3">
      <c r="A44">
        <v>9.6919062654431398E-2</v>
      </c>
      <c r="B44" s="73">
        <v>4.1150587007602997E-2</v>
      </c>
      <c r="C44" s="73">
        <v>0.12045272884710399</v>
      </c>
      <c r="D44" s="73">
        <v>0.115930396885483</v>
      </c>
      <c r="E44" s="73">
        <v>0.138106666956619</v>
      </c>
      <c r="F44" s="73" t="s">
        <v>2165</v>
      </c>
      <c r="G44" t="s">
        <v>2123</v>
      </c>
    </row>
    <row r="45" spans="1:7" x14ac:dyDescent="0.3">
      <c r="A45">
        <v>0.102667735598145</v>
      </c>
      <c r="B45" s="73">
        <v>0.12591483160208999</v>
      </c>
      <c r="C45" s="73">
        <v>0.11337694020575299</v>
      </c>
      <c r="D45" s="73">
        <v>0.11071312036879399</v>
      </c>
      <c r="E45" s="73">
        <v>0.12373918134004901</v>
      </c>
      <c r="F45" s="73" t="s">
        <v>2166</v>
      </c>
      <c r="G45" t="s">
        <v>2123</v>
      </c>
    </row>
    <row r="46" spans="1:7" x14ac:dyDescent="0.3">
      <c r="A46">
        <v>0.107873886984393</v>
      </c>
      <c r="B46" s="73">
        <v>8.2350511297398302E-2</v>
      </c>
      <c r="C46" s="73">
        <v>0.13658484301142401</v>
      </c>
      <c r="D46" s="73">
        <v>0.14097064786198199</v>
      </c>
      <c r="E46" s="73">
        <v>0.118188584098933</v>
      </c>
      <c r="F46" s="73" t="s">
        <v>2167</v>
      </c>
      <c r="G46" t="s">
        <v>2123</v>
      </c>
    </row>
    <row r="47" spans="1:7" x14ac:dyDescent="0.3">
      <c r="A47">
        <v>6.8864078536554199E-2</v>
      </c>
      <c r="B47" s="73">
        <v>9.6264819656522296E-2</v>
      </c>
      <c r="C47" s="73">
        <v>8.8878907174233704E-2</v>
      </c>
      <c r="D47" s="73">
        <v>8.6310442735713797E-2</v>
      </c>
      <c r="E47" s="73">
        <v>9.9129163647753094E-2</v>
      </c>
      <c r="F47" s="73" t="s">
        <v>2168</v>
      </c>
      <c r="G47" t="s">
        <v>2123</v>
      </c>
    </row>
    <row r="48" spans="1:7" x14ac:dyDescent="0.3">
      <c r="A48">
        <v>6.7510216956085903E-2</v>
      </c>
      <c r="B48" s="73">
        <v>9.0754628296435505E-2</v>
      </c>
      <c r="C48" s="73">
        <v>5.5467923054221401E-2</v>
      </c>
      <c r="D48" s="73">
        <v>4.8692861535788202E-2</v>
      </c>
      <c r="E48" s="73">
        <v>8.4524586959714404E-2</v>
      </c>
      <c r="F48" s="73" t="s">
        <v>2169</v>
      </c>
      <c r="G48" t="s">
        <v>2123</v>
      </c>
    </row>
    <row r="49" spans="1:7" x14ac:dyDescent="0.3">
      <c r="A49">
        <v>6.2684205945477106E-2</v>
      </c>
      <c r="B49" s="73">
        <v>7.8781408158281802E-2</v>
      </c>
      <c r="C49" s="73">
        <v>6.4687993890459206E-2</v>
      </c>
      <c r="D49" s="73">
        <v>6.2752816594642893E-2</v>
      </c>
      <c r="E49" s="73">
        <v>7.3171075998094998E-2</v>
      </c>
      <c r="F49" s="73" t="s">
        <v>2170</v>
      </c>
      <c r="G49" t="s">
        <v>2123</v>
      </c>
    </row>
    <row r="50" spans="1:7" x14ac:dyDescent="0.3">
      <c r="A50">
        <v>5.1825632418063497E-2</v>
      </c>
      <c r="B50" s="73">
        <v>6.5520529029189395E-2</v>
      </c>
      <c r="C50" s="73">
        <v>6.9087208011217496E-2</v>
      </c>
      <c r="D50" s="73">
        <v>7.2002334651775995E-2</v>
      </c>
      <c r="E50" s="73">
        <v>5.7261419360111997E-2</v>
      </c>
      <c r="F50" s="73" t="s">
        <v>2171</v>
      </c>
      <c r="G50" t="s">
        <v>2123</v>
      </c>
    </row>
    <row r="51" spans="1:7" x14ac:dyDescent="0.3">
      <c r="A51">
        <v>3.9076838958162399E-2</v>
      </c>
      <c r="B51" s="73">
        <v>8.1541548822787496E-2</v>
      </c>
      <c r="C51" s="73">
        <v>6.5851263986817399E-2</v>
      </c>
      <c r="D51" s="73">
        <v>6.5317850608274997E-2</v>
      </c>
      <c r="E51" s="73">
        <v>6.8572049720328196E-2</v>
      </c>
      <c r="F51" s="73" t="s">
        <v>2172</v>
      </c>
      <c r="G51" t="s">
        <v>2123</v>
      </c>
    </row>
    <row r="52" spans="1:7" x14ac:dyDescent="0.3">
      <c r="A52">
        <v>6.4698202701339205E-2</v>
      </c>
      <c r="B52" s="73">
        <v>3.4072636599968002E-2</v>
      </c>
      <c r="C52" s="73">
        <v>6.4308025569593405E-2</v>
      </c>
      <c r="D52" s="73">
        <v>6.8068638365729198E-2</v>
      </c>
      <c r="E52" s="73">
        <v>4.8078704643683703E-2</v>
      </c>
      <c r="F52" s="73" t="s">
        <v>2173</v>
      </c>
      <c r="G52" t="s">
        <v>2123</v>
      </c>
    </row>
    <row r="53" spans="1:7" x14ac:dyDescent="0.3">
      <c r="A53">
        <v>4.4829664945906803E-2</v>
      </c>
      <c r="B53" s="73">
        <v>4.8009313734526098E-2</v>
      </c>
      <c r="C53" s="73">
        <v>5.1841026846361597E-2</v>
      </c>
      <c r="D53" s="73">
        <v>6.1455443169872802E-2</v>
      </c>
      <c r="E53" s="73">
        <v>1.01606507354322E-2</v>
      </c>
      <c r="F53" s="73" t="s">
        <v>2174</v>
      </c>
      <c r="G53" t="s">
        <v>2123</v>
      </c>
    </row>
    <row r="54" spans="1:7" x14ac:dyDescent="0.3">
      <c r="A54">
        <v>3.3496613159939903E-2</v>
      </c>
      <c r="B54" s="73">
        <v>7.5539459294806698E-3</v>
      </c>
      <c r="C54" s="73">
        <v>2.90743764899275E-2</v>
      </c>
      <c r="D54" s="73">
        <v>3.4722196261408399E-2</v>
      </c>
      <c r="E54" s="73">
        <v>3.7479666516224701E-3</v>
      </c>
      <c r="F54" s="73" t="s">
        <v>2175</v>
      </c>
      <c r="G54" t="s">
        <v>2123</v>
      </c>
    </row>
    <row r="55" spans="1:7" x14ac:dyDescent="0.3">
      <c r="A55">
        <v>3.7100673423204902E-2</v>
      </c>
      <c r="B55" s="73">
        <v>3.1269437697415199E-2</v>
      </c>
      <c r="C55" s="73">
        <v>4.4549976820091701E-2</v>
      </c>
      <c r="D55" s="73">
        <v>5.5765239502398901E-2</v>
      </c>
      <c r="E55" s="73">
        <v>-5.3805310591299397E-3</v>
      </c>
      <c r="F55" s="73" t="s">
        <v>2176</v>
      </c>
      <c r="G55" t="s">
        <v>2123</v>
      </c>
    </row>
    <row r="56" spans="1:7" x14ac:dyDescent="0.3">
      <c r="A56">
        <v>5.3607020035561601E-2</v>
      </c>
      <c r="B56" s="73">
        <v>4.5007889346835098E-2</v>
      </c>
      <c r="C56" s="73">
        <v>3.9242398900308298E-2</v>
      </c>
      <c r="D56" s="73">
        <v>4.7632291898301399E-2</v>
      </c>
      <c r="E56" s="73">
        <v>2.2658930308778699E-3</v>
      </c>
      <c r="F56" s="73" t="s">
        <v>2177</v>
      </c>
      <c r="G56" t="s">
        <v>2123</v>
      </c>
    </row>
    <row r="57" spans="1:7" x14ac:dyDescent="0.3">
      <c r="A57">
        <v>2.6644627827705498E-2</v>
      </c>
      <c r="B57" s="73">
        <v>2.64126969592136E-2</v>
      </c>
      <c r="C57" s="73">
        <v>3.0801729671775298E-2</v>
      </c>
      <c r="D57" s="73">
        <v>3.7969215238040602E-2</v>
      </c>
      <c r="E57" s="73">
        <v>-1.13086488994096E-3</v>
      </c>
      <c r="F57" s="73" t="s">
        <v>2178</v>
      </c>
      <c r="G57" t="s">
        <v>2123</v>
      </c>
    </row>
    <row r="58" spans="1:7" x14ac:dyDescent="0.3">
      <c r="A58">
        <v>4.3935723897537297E-2</v>
      </c>
      <c r="B58" s="73">
        <v>5.28225710519643E-2</v>
      </c>
      <c r="C58" s="73">
        <v>5.9261250188571202E-2</v>
      </c>
      <c r="D58" s="73">
        <v>7.2018998740306803E-2</v>
      </c>
      <c r="E58" s="73">
        <v>4.3596665649268101E-3</v>
      </c>
      <c r="F58" s="73" t="s">
        <v>2179</v>
      </c>
      <c r="G58" t="s">
        <v>2123</v>
      </c>
    </row>
    <row r="59" spans="1:7" x14ac:dyDescent="0.3">
      <c r="A59">
        <v>3.93022623248813E-2</v>
      </c>
      <c r="B59" s="73">
        <v>4.0487191821635002E-2</v>
      </c>
      <c r="C59" s="73">
        <v>3.8654265357332303E-2</v>
      </c>
      <c r="D59" s="73">
        <v>4.4330796852368702E-2</v>
      </c>
      <c r="E59" s="73">
        <v>1.4249428601276599E-2</v>
      </c>
      <c r="F59" s="73" t="s">
        <v>2180</v>
      </c>
      <c r="G59" t="s">
        <v>2123</v>
      </c>
    </row>
    <row r="60" spans="1:7" x14ac:dyDescent="0.3">
      <c r="A60">
        <v>3.1206818640470101E-2</v>
      </c>
      <c r="B60" s="73">
        <v>6.08178890509075E-2</v>
      </c>
      <c r="C60" s="73">
        <v>3.7855399838614898E-2</v>
      </c>
      <c r="D60" s="73">
        <v>4.3619950255883798E-2</v>
      </c>
      <c r="E60" s="73">
        <v>1.29734153291148E-2</v>
      </c>
      <c r="F60" s="73" t="s">
        <v>2181</v>
      </c>
      <c r="G60" t="s">
        <v>2123</v>
      </c>
    </row>
    <row r="61" spans="1:7" x14ac:dyDescent="0.3">
      <c r="A61">
        <v>2.4937045869749999E-2</v>
      </c>
      <c r="B61" s="73">
        <v>5.0188195911601098E-2</v>
      </c>
      <c r="C61" s="73">
        <v>4.0264511763068903E-2</v>
      </c>
      <c r="D61" s="73">
        <v>4.8053419713626901E-2</v>
      </c>
      <c r="E61" s="73">
        <v>8.1435979249952998E-3</v>
      </c>
      <c r="F61" s="73" t="s">
        <v>2182</v>
      </c>
      <c r="G61" t="s">
        <v>2123</v>
      </c>
    </row>
    <row r="62" spans="1:7" x14ac:dyDescent="0.3">
      <c r="A62">
        <v>4.8021891562025902E-2</v>
      </c>
      <c r="B62" s="73">
        <v>-1.5869949670850401E-2</v>
      </c>
      <c r="C62" s="73">
        <v>4.7998017236875197E-2</v>
      </c>
      <c r="D62" s="73">
        <v>5.3895269710959599E-2</v>
      </c>
      <c r="E62" s="73">
        <v>2.2424648618448499E-2</v>
      </c>
      <c r="F62" s="73" t="s">
        <v>2183</v>
      </c>
      <c r="G62" t="s">
        <v>2123</v>
      </c>
    </row>
    <row r="63" spans="1:7" x14ac:dyDescent="0.3">
      <c r="A63">
        <v>3.2831975950411901E-2</v>
      </c>
      <c r="B63" s="73">
        <v>9.4485381047573203E-3</v>
      </c>
      <c r="C63" s="73">
        <v>4.0016640926136202E-2</v>
      </c>
      <c r="D63" s="73">
        <v>4.6526948089148097E-2</v>
      </c>
      <c r="E63" s="73">
        <v>1.2400816449865701E-2</v>
      </c>
      <c r="F63" s="73" t="s">
        <v>2184</v>
      </c>
      <c r="G63" t="s">
        <v>2123</v>
      </c>
    </row>
    <row r="64" spans="1:7" x14ac:dyDescent="0.3">
      <c r="A64">
        <v>3.1711964087017402E-2</v>
      </c>
      <c r="B64" s="73">
        <v>2.1519541922931699E-2</v>
      </c>
      <c r="C64" s="73">
        <v>3.3552188262661702E-2</v>
      </c>
      <c r="D64" s="73">
        <v>3.7630817464174598E-2</v>
      </c>
      <c r="E64" s="73">
        <v>1.6508679737656601E-2</v>
      </c>
      <c r="F64" s="73" t="s">
        <v>2185</v>
      </c>
      <c r="G64" t="s">
        <v>2123</v>
      </c>
    </row>
    <row r="65" spans="1:7" x14ac:dyDescent="0.3">
      <c r="A65">
        <v>2.8237310351865798E-2</v>
      </c>
      <c r="B65" s="73">
        <v>2.6513418939119401E-2</v>
      </c>
      <c r="C65" s="73">
        <v>3.7553677858028302E-2</v>
      </c>
      <c r="D65" s="73">
        <v>4.0884190168569902E-2</v>
      </c>
      <c r="E65" s="73">
        <v>2.40435812756121E-2</v>
      </c>
      <c r="F65" s="73" t="s">
        <v>2186</v>
      </c>
      <c r="G65" t="s">
        <v>2123</v>
      </c>
    </row>
    <row r="66" spans="1:7" x14ac:dyDescent="0.3">
      <c r="A66">
        <v>2.86487834236928E-2</v>
      </c>
      <c r="B66" s="73">
        <v>-1.00878062845416E-2</v>
      </c>
      <c r="C66" s="73">
        <v>1.67304468496303E-2</v>
      </c>
      <c r="D66" s="73">
        <v>1.47648166353573E-2</v>
      </c>
      <c r="E66" s="73">
        <v>2.5106061305751201E-2</v>
      </c>
      <c r="F66" s="73" t="s">
        <v>2187</v>
      </c>
      <c r="G66" t="s">
        <v>2123</v>
      </c>
    </row>
    <row r="67" spans="1:7" x14ac:dyDescent="0.3">
      <c r="A67">
        <v>-4.2153079272678803E-3</v>
      </c>
      <c r="B67" s="73">
        <v>-9.8843189037382002E-3</v>
      </c>
      <c r="C67" s="73">
        <v>1.77523591150637E-2</v>
      </c>
      <c r="D67" s="73">
        <v>1.2042523964300099E-2</v>
      </c>
      <c r="E67" s="73">
        <v>4.1753162692227598E-2</v>
      </c>
      <c r="F67" s="73" t="s">
        <v>2188</v>
      </c>
      <c r="G67" t="s">
        <v>2123</v>
      </c>
    </row>
    <row r="68" spans="1:7" x14ac:dyDescent="0.3">
      <c r="A68">
        <v>2.1224970793817698E-2</v>
      </c>
      <c r="B68" s="73">
        <v>5.6401548408471199E-3</v>
      </c>
      <c r="C68" s="73">
        <v>3.5080502998483497E-2</v>
      </c>
      <c r="D68" s="73">
        <v>3.4679470629119601E-2</v>
      </c>
      <c r="E68" s="73">
        <v>3.6953475595025202E-2</v>
      </c>
      <c r="F68" s="73" t="s">
        <v>2189</v>
      </c>
      <c r="G68" t="s">
        <v>2123</v>
      </c>
    </row>
    <row r="69" spans="1:7" x14ac:dyDescent="0.3">
      <c r="A69">
        <v>2.4413629868112598E-2</v>
      </c>
      <c r="B69" s="73">
        <v>4.55022354216461E-3</v>
      </c>
      <c r="C69" s="73">
        <v>5.1846529521440803E-2</v>
      </c>
      <c r="D69" s="73">
        <v>5.3779833992726497E-2</v>
      </c>
      <c r="E69" s="73">
        <v>4.4006184582173501E-2</v>
      </c>
      <c r="F69" s="73" t="s">
        <v>2190</v>
      </c>
      <c r="G69" t="s">
        <v>2123</v>
      </c>
    </row>
    <row r="70" spans="1:7" x14ac:dyDescent="0.3">
      <c r="A70">
        <v>3.8220568833408297E-2</v>
      </c>
      <c r="B70" s="73">
        <v>-6.8268953681047701E-3</v>
      </c>
      <c r="C70" s="73">
        <v>5.8438838081356997E-2</v>
      </c>
      <c r="D70" s="73">
        <v>6.6318650583382599E-2</v>
      </c>
      <c r="E70" s="73">
        <v>2.5866237951436302E-2</v>
      </c>
      <c r="F70" s="73" t="s">
        <v>2191</v>
      </c>
      <c r="G70" t="s">
        <v>2123</v>
      </c>
    </row>
    <row r="71" spans="1:7" x14ac:dyDescent="0.3">
      <c r="A71">
        <v>3.9129087464599803E-2</v>
      </c>
      <c r="B71" s="73">
        <v>1.9164012541417402E-2</v>
      </c>
      <c r="C71" s="73">
        <v>4.9764629047473599E-2</v>
      </c>
      <c r="D71" s="73">
        <v>5.3726223643289599E-2</v>
      </c>
      <c r="E71" s="73">
        <v>3.4070959420577702E-2</v>
      </c>
      <c r="F71" s="73" t="s">
        <v>2192</v>
      </c>
      <c r="G71" t="s">
        <v>2123</v>
      </c>
    </row>
    <row r="72" spans="1:7" x14ac:dyDescent="0.3">
      <c r="A72">
        <v>3.8454021368670203E-2</v>
      </c>
      <c r="B72" s="73">
        <v>2.9219770282175001E-2</v>
      </c>
      <c r="C72" s="73">
        <v>4.8767596838020802E-2</v>
      </c>
      <c r="D72" s="73">
        <v>5.1713813262120399E-2</v>
      </c>
      <c r="E72" s="73">
        <v>3.6092988240003197E-2</v>
      </c>
      <c r="F72" s="73" t="s">
        <v>2193</v>
      </c>
      <c r="G72" t="s">
        <v>2123</v>
      </c>
    </row>
    <row r="73" spans="1:7" x14ac:dyDescent="0.3">
      <c r="A73">
        <v>3.5013174112648898E-2</v>
      </c>
      <c r="B73" s="73">
        <v>8.3996255435596599E-3</v>
      </c>
      <c r="C73" s="73">
        <v>2.4017941519916701E-2</v>
      </c>
      <c r="D73" s="73">
        <v>2.4659104438458999E-2</v>
      </c>
      <c r="E73" s="73">
        <v>2.13651369698558E-2</v>
      </c>
      <c r="F73" s="73" t="s">
        <v>2194</v>
      </c>
      <c r="G73" t="s">
        <v>2123</v>
      </c>
    </row>
    <row r="74" spans="1:7" x14ac:dyDescent="0.3">
      <c r="A74">
        <v>3.19577361885768E-2</v>
      </c>
      <c r="B74" s="73">
        <v>5.5666299963321703E-2</v>
      </c>
      <c r="C74" s="73">
        <v>2.0716352252188701E-2</v>
      </c>
      <c r="D74" s="73">
        <v>1.7884305064996799E-2</v>
      </c>
      <c r="E74" s="73">
        <v>3.2571809116936898E-2</v>
      </c>
      <c r="F74" s="73" t="s">
        <v>2195</v>
      </c>
      <c r="G74" t="s">
        <v>2123</v>
      </c>
    </row>
    <row r="75" spans="1:7" x14ac:dyDescent="0.3">
      <c r="A75">
        <v>4.4899260052234199E-2</v>
      </c>
      <c r="B75" s="73">
        <v>3.99278081765242E-2</v>
      </c>
      <c r="C75" s="73">
        <v>3.9569529283447501E-2</v>
      </c>
      <c r="D75" s="73">
        <v>4.3789897152202203E-2</v>
      </c>
      <c r="E75" s="73">
        <v>2.2279292577718199E-2</v>
      </c>
      <c r="F75" s="73" t="s">
        <v>2196</v>
      </c>
      <c r="G75" t="s">
        <v>2123</v>
      </c>
    </row>
    <row r="76" spans="1:7" x14ac:dyDescent="0.3">
      <c r="A76">
        <v>5.0215068802573502E-2</v>
      </c>
      <c r="B76" s="73">
        <v>2.3053377277420399E-2</v>
      </c>
      <c r="C76" s="73">
        <v>3.4095375309964898E-2</v>
      </c>
      <c r="D76" s="73">
        <v>3.6032445200426998E-2</v>
      </c>
      <c r="E76" s="73">
        <v>2.6056753006691701E-2</v>
      </c>
      <c r="F76" s="73" t="s">
        <v>2197</v>
      </c>
      <c r="G76" t="s">
        <v>2123</v>
      </c>
    </row>
    <row r="77" spans="1:7" x14ac:dyDescent="0.3">
      <c r="A77">
        <v>4.1025346631292002E-2</v>
      </c>
      <c r="B77" s="73">
        <v>3.2561998713341901E-2</v>
      </c>
      <c r="C77" s="73">
        <v>4.6587870324487697E-2</v>
      </c>
      <c r="D77" s="73">
        <v>5.2865449677459202E-2</v>
      </c>
      <c r="E77" s="73">
        <v>2.13020937510979E-2</v>
      </c>
      <c r="F77" s="73" t="s">
        <v>2198</v>
      </c>
      <c r="G77" t="s">
        <v>2123</v>
      </c>
    </row>
    <row r="78" spans="1:7" x14ac:dyDescent="0.3">
      <c r="A78">
        <v>4.6770164599538401E-2</v>
      </c>
      <c r="B78" s="73">
        <v>3.00519488200592E-2</v>
      </c>
      <c r="C78" s="73">
        <v>5.3649308686662497E-2</v>
      </c>
      <c r="D78" s="73">
        <v>6.2050852369377699E-2</v>
      </c>
      <c r="E78" s="73">
        <v>1.9463013158635498E-2</v>
      </c>
      <c r="F78" s="73" t="s">
        <v>2199</v>
      </c>
      <c r="G78" t="s">
        <v>2123</v>
      </c>
    </row>
    <row r="79" spans="1:7" x14ac:dyDescent="0.3">
      <c r="A79">
        <v>5.4994617531312101E-2</v>
      </c>
      <c r="B79" s="73">
        <v>2.9679316947533299E-2</v>
      </c>
      <c r="C79" s="73">
        <v>5.5386400245833703E-2</v>
      </c>
      <c r="D79" s="73">
        <v>6.0821876360983101E-2</v>
      </c>
      <c r="E79" s="73">
        <v>3.2856918868300999E-2</v>
      </c>
      <c r="F79" s="73" t="s">
        <v>2200</v>
      </c>
      <c r="G79" t="s">
        <v>2123</v>
      </c>
    </row>
    <row r="80" spans="1:7" x14ac:dyDescent="0.3">
      <c r="A80">
        <v>2.3822978628153201E-2</v>
      </c>
      <c r="B80" s="73">
        <v>2.0057150963272801E-2</v>
      </c>
      <c r="C80" s="73">
        <v>3.8003026529995099E-2</v>
      </c>
      <c r="D80" s="73">
        <v>3.9922896172757301E-2</v>
      </c>
      <c r="E80" s="73">
        <v>3.0012482573731999E-2</v>
      </c>
      <c r="F80" s="73" t="s">
        <v>2201</v>
      </c>
      <c r="G80" t="s">
        <v>2123</v>
      </c>
    </row>
    <row r="81" spans="1:7" x14ac:dyDescent="0.3">
      <c r="A81">
        <v>3.1803231650019199E-2</v>
      </c>
      <c r="B81" s="73">
        <v>1.4432124176051201E-2</v>
      </c>
      <c r="C81" s="73">
        <v>5.2696414630741602E-2</v>
      </c>
      <c r="D81" s="73">
        <v>6.0046453160524503E-2</v>
      </c>
      <c r="E81" s="73">
        <v>2.2222434897181301E-2</v>
      </c>
      <c r="F81" s="73" t="s">
        <v>2202</v>
      </c>
      <c r="G81" t="s">
        <v>2123</v>
      </c>
    </row>
    <row r="82" spans="1:7" x14ac:dyDescent="0.3">
      <c r="A82">
        <v>5.92740793130948E-2</v>
      </c>
      <c r="B82" s="73">
        <v>2.8330647899498702E-2</v>
      </c>
      <c r="C82" s="73">
        <v>5.7786451291530698E-2</v>
      </c>
      <c r="D82" s="73">
        <v>6.4935137330784501E-2</v>
      </c>
      <c r="E82" s="73">
        <v>2.9085137772108E-2</v>
      </c>
      <c r="F82" s="73" t="s">
        <v>2203</v>
      </c>
      <c r="G82" t="s">
        <v>2123</v>
      </c>
    </row>
    <row r="83" spans="1:7" x14ac:dyDescent="0.3">
      <c r="A83">
        <v>3.6833081072387398E-2</v>
      </c>
      <c r="B83" s="73">
        <v>7.0464261662823505E-2</v>
      </c>
      <c r="C83" s="73">
        <v>4.1923258032302999E-2</v>
      </c>
      <c r="D83" s="73">
        <v>4.34077415784246E-2</v>
      </c>
      <c r="E83" s="73">
        <v>3.5768290293157798E-2</v>
      </c>
      <c r="F83" s="73" t="s">
        <v>2204</v>
      </c>
      <c r="G83" t="s">
        <v>2123</v>
      </c>
    </row>
    <row r="84" spans="1:7" x14ac:dyDescent="0.3">
      <c r="A84">
        <v>5.1769155239957503E-2</v>
      </c>
      <c r="B84" s="73">
        <v>5.3870047588526803E-3</v>
      </c>
      <c r="C84" s="73">
        <v>5.55152082310457E-2</v>
      </c>
      <c r="D84" s="73">
        <v>5.9429132401131797E-2</v>
      </c>
      <c r="E84" s="73">
        <v>3.9413809912278698E-2</v>
      </c>
      <c r="F84" s="73" t="s">
        <v>2205</v>
      </c>
      <c r="G84" t="s">
        <v>2123</v>
      </c>
    </row>
    <row r="85" spans="1:7" x14ac:dyDescent="0.3">
      <c r="A85">
        <v>5.3985249536158401E-2</v>
      </c>
      <c r="B85" s="73">
        <v>4.8480456964960797E-2</v>
      </c>
      <c r="C85" s="73">
        <v>6.4477110328581902E-2</v>
      </c>
      <c r="D85" s="73">
        <v>7.7879333039596599E-2</v>
      </c>
      <c r="E85" s="73">
        <v>1.0688095589023601E-2</v>
      </c>
      <c r="F85" s="73" t="s">
        <v>2206</v>
      </c>
      <c r="G85" t="s">
        <v>2123</v>
      </c>
    </row>
    <row r="86" spans="1:7" x14ac:dyDescent="0.3">
      <c r="A86">
        <v>2.1158982786186002E-2</v>
      </c>
      <c r="B86" s="73">
        <v>3.6386290478485302E-2</v>
      </c>
      <c r="C86" s="73">
        <v>1.6920742992818399E-2</v>
      </c>
      <c r="D86" s="73">
        <v>1.91574066493869E-2</v>
      </c>
      <c r="E86" s="73">
        <v>7.9315148019272197E-3</v>
      </c>
      <c r="F86" s="73" t="s">
        <v>2207</v>
      </c>
      <c r="G86" t="s">
        <v>2123</v>
      </c>
    </row>
    <row r="87" spans="1:7" x14ac:dyDescent="0.3">
      <c r="A87">
        <v>2.2052154501282398E-2</v>
      </c>
      <c r="B87" s="73">
        <v>1.9883287825612099E-2</v>
      </c>
      <c r="C87" s="73">
        <v>2.4424033288816999E-2</v>
      </c>
      <c r="D87" s="73">
        <v>2.5316754451185201E-2</v>
      </c>
      <c r="E87" s="73">
        <v>2.0767815828135701E-2</v>
      </c>
      <c r="F87" s="73" t="s">
        <v>2208</v>
      </c>
      <c r="G87" t="s">
        <v>2123</v>
      </c>
    </row>
    <row r="88" spans="1:7" x14ac:dyDescent="0.3">
      <c r="A88">
        <v>2.7438615126695699E-2</v>
      </c>
      <c r="B88" s="73">
        <v>5.2374465161812503E-2</v>
      </c>
      <c r="C88" s="73">
        <v>3.33810563173942E-2</v>
      </c>
      <c r="D88" s="73">
        <v>3.8739820782161899E-2</v>
      </c>
      <c r="E88" s="73">
        <v>1.0657034721188501E-2</v>
      </c>
      <c r="F88" s="73" t="s">
        <v>2209</v>
      </c>
      <c r="G88" t="s">
        <v>2123</v>
      </c>
    </row>
    <row r="89" spans="1:7" x14ac:dyDescent="0.3">
      <c r="A89">
        <v>2.9370792816648401E-2</v>
      </c>
      <c r="B89" s="73">
        <v>4.1076934031538899E-2</v>
      </c>
      <c r="C89" s="73">
        <v>3.5351344279153103E-2</v>
      </c>
      <c r="D89" s="73">
        <v>4.6254885206873202E-2</v>
      </c>
      <c r="E89" s="73">
        <v>-9.9690396175571294E-3</v>
      </c>
      <c r="F89" s="73" t="s">
        <v>2210</v>
      </c>
      <c r="G89" t="s">
        <v>2123</v>
      </c>
    </row>
    <row r="90" spans="1:7" x14ac:dyDescent="0.3">
      <c r="A90">
        <v>2.5261592124571599E-2</v>
      </c>
      <c r="B90" s="73">
        <v>5.8581566563336001E-3</v>
      </c>
      <c r="C90" s="73">
        <v>2.8847885320816901E-2</v>
      </c>
      <c r="D90" s="73">
        <v>3.8335869645315497E-2</v>
      </c>
      <c r="E90" s="73">
        <v>-1.04267601108922E-2</v>
      </c>
      <c r="F90" s="73" t="s">
        <v>2211</v>
      </c>
      <c r="G90" t="s">
        <v>2123</v>
      </c>
    </row>
    <row r="91" spans="1:7" x14ac:dyDescent="0.3">
      <c r="A91">
        <v>2.6883329197386899E-2</v>
      </c>
      <c r="B91" s="73">
        <v>1.4672046081608801E-2</v>
      </c>
      <c r="C91" s="73">
        <v>4.86062973431345E-2</v>
      </c>
      <c r="D91" s="73">
        <v>5.5488923116520997E-2</v>
      </c>
      <c r="E91" s="73">
        <v>1.90848323659343E-2</v>
      </c>
      <c r="F91" s="73" t="s">
        <v>2212</v>
      </c>
      <c r="G91" t="s">
        <v>2123</v>
      </c>
    </row>
    <row r="92" spans="1:7" x14ac:dyDescent="0.3">
      <c r="A92">
        <v>2.57889573012124E-2</v>
      </c>
      <c r="B92" s="73">
        <v>3.5352763805176303E-2</v>
      </c>
      <c r="C92" s="73">
        <v>2.9855014538054898E-2</v>
      </c>
      <c r="D92" s="73">
        <v>3.4689577494526398E-2</v>
      </c>
      <c r="E92" s="73">
        <v>8.1492648352745594E-3</v>
      </c>
      <c r="F92" s="73" t="s">
        <v>2213</v>
      </c>
      <c r="G92" t="s">
        <v>2123</v>
      </c>
    </row>
    <row r="93" spans="1:7" x14ac:dyDescent="0.3">
      <c r="A93">
        <v>2.8170464275272301E-2</v>
      </c>
      <c r="B93" s="73">
        <v>2.5395981622951001E-2</v>
      </c>
      <c r="C93" s="73">
        <v>2.75506450255283E-2</v>
      </c>
      <c r="D93" s="73">
        <v>2.9547347848341E-2</v>
      </c>
      <c r="E93" s="73">
        <v>1.8368205985927599E-2</v>
      </c>
      <c r="F93" s="73" t="s">
        <v>2214</v>
      </c>
      <c r="G93" t="s">
        <v>2123</v>
      </c>
    </row>
    <row r="94" spans="1:7" x14ac:dyDescent="0.3">
      <c r="A94">
        <v>2.40619409805858E-2</v>
      </c>
      <c r="B94" s="73">
        <v>9.9983702538513092E-3</v>
      </c>
      <c r="C94" s="73">
        <v>2.3462964516600501E-2</v>
      </c>
      <c r="D94" s="73">
        <v>2.2073085991106502E-2</v>
      </c>
      <c r="E94" s="73">
        <v>3.0096377482488099E-2</v>
      </c>
      <c r="F94" s="73" t="s">
        <v>2215</v>
      </c>
      <c r="G94" t="s">
        <v>2123</v>
      </c>
    </row>
    <row r="95" spans="1:7" x14ac:dyDescent="0.3">
      <c r="A95">
        <v>2.70873737268695E-2</v>
      </c>
      <c r="B95" s="73">
        <v>1.7716185249098602E-2</v>
      </c>
      <c r="C95" s="73">
        <v>2.3781606170840699E-2</v>
      </c>
      <c r="D95" s="73">
        <v>2.3867747826854101E-2</v>
      </c>
      <c r="E95" s="73">
        <v>2.3524161594785199E-2</v>
      </c>
      <c r="F95" s="73" t="s">
        <v>2216</v>
      </c>
      <c r="G95" t="s">
        <v>2123</v>
      </c>
    </row>
    <row r="96" spans="1:7" x14ac:dyDescent="0.3">
      <c r="A96">
        <v>1.7542540867755401E-2</v>
      </c>
      <c r="B96" s="73">
        <v>2.9283418694515902E-2</v>
      </c>
      <c r="C96" s="73">
        <v>1.1469523622669399E-2</v>
      </c>
      <c r="D96" s="73">
        <v>1.3096071782226999E-2</v>
      </c>
      <c r="E96" s="73">
        <v>4.0598599880798903E-3</v>
      </c>
      <c r="F96" s="73" t="s">
        <v>2217</v>
      </c>
      <c r="G96" t="s">
        <v>2123</v>
      </c>
    </row>
    <row r="97" spans="1:7" x14ac:dyDescent="0.3">
      <c r="A97">
        <v>2.3240038949048102E-2</v>
      </c>
      <c r="B97" s="73">
        <v>3.6370296177081797E-2</v>
      </c>
      <c r="C97" s="73">
        <v>2.0341173665225899E-2</v>
      </c>
      <c r="D97" s="73">
        <v>2.0612838101556001E-2</v>
      </c>
      <c r="E97" s="73">
        <v>1.8816279960193898E-2</v>
      </c>
      <c r="F97" s="73" t="s">
        <v>2218</v>
      </c>
      <c r="G97" t="s">
        <v>2123</v>
      </c>
    </row>
    <row r="98" spans="1:7" x14ac:dyDescent="0.3">
      <c r="A98">
        <v>1.4387423449919501E-2</v>
      </c>
      <c r="B98" s="73">
        <v>1.8449816517922799E-2</v>
      </c>
      <c r="C98" s="73">
        <v>3.3070461521807398E-2</v>
      </c>
      <c r="D98" s="73">
        <v>3.3921123111567301E-2</v>
      </c>
      <c r="E98" s="73">
        <v>2.9526755688726598E-2</v>
      </c>
      <c r="F98" s="73" t="s">
        <v>2219</v>
      </c>
      <c r="G98" t="s">
        <v>2123</v>
      </c>
    </row>
    <row r="99" spans="1:7" x14ac:dyDescent="0.3">
      <c r="A99">
        <v>2.2496438657089599E-2</v>
      </c>
      <c r="B99" s="73">
        <v>3.3991498444716703E-2</v>
      </c>
      <c r="C99" s="73">
        <v>2.2445608905782101E-2</v>
      </c>
      <c r="D99" s="73">
        <v>2.3479894269272002E-2</v>
      </c>
      <c r="E99" s="73">
        <v>1.7453105874537699E-2</v>
      </c>
      <c r="F99" s="73" t="s">
        <v>2220</v>
      </c>
      <c r="G99" t="s">
        <v>2123</v>
      </c>
    </row>
    <row r="100" spans="1:7" x14ac:dyDescent="0.3">
      <c r="A100">
        <v>2.90726218207682E-2</v>
      </c>
      <c r="B100" s="73">
        <v>2.3185974053502999E-2</v>
      </c>
      <c r="C100" s="73">
        <v>3.5443622243840803E-2</v>
      </c>
      <c r="D100" s="73">
        <v>3.5391871305663798E-2</v>
      </c>
      <c r="E100" s="73">
        <v>3.5482240520336501E-2</v>
      </c>
      <c r="F100" s="73" t="s">
        <v>2221</v>
      </c>
      <c r="G100" t="s">
        <v>2123</v>
      </c>
    </row>
    <row r="101" spans="1:7" x14ac:dyDescent="0.3">
      <c r="A101">
        <v>1.88663260541506E-2</v>
      </c>
      <c r="B101" s="73">
        <v>3.3254108726641599E-2</v>
      </c>
      <c r="C101" s="73">
        <v>3.4394192726805897E-2</v>
      </c>
      <c r="D101" s="73">
        <v>3.4634574022881899E-2</v>
      </c>
      <c r="E101" s="73">
        <v>3.3748767658719397E-2</v>
      </c>
      <c r="F101" s="73" t="s">
        <v>2222</v>
      </c>
      <c r="G101" t="s">
        <v>2123</v>
      </c>
    </row>
    <row r="102" spans="1:7" x14ac:dyDescent="0.3">
      <c r="A102">
        <v>1.9752209109685798E-2</v>
      </c>
      <c r="B102" s="73">
        <v>3.4122786590531799E-2</v>
      </c>
      <c r="C102" s="73">
        <v>2.2517710999607799E-2</v>
      </c>
      <c r="D102" s="73">
        <v>1.8555272424330301E-2</v>
      </c>
      <c r="E102" s="73">
        <v>4.0528253340275301E-2</v>
      </c>
      <c r="F102" s="73" t="s">
        <v>2223</v>
      </c>
      <c r="G102" t="s">
        <v>2123</v>
      </c>
    </row>
    <row r="103" spans="1:7" x14ac:dyDescent="0.3">
      <c r="A103">
        <v>2.3426148348960799E-2</v>
      </c>
      <c r="B103" s="73">
        <v>2.6924495262994098E-2</v>
      </c>
      <c r="C103" s="73">
        <v>3.0712351155875301E-2</v>
      </c>
      <c r="D103" s="73">
        <v>3.10950653969519E-2</v>
      </c>
      <c r="E103" s="73">
        <v>2.8884969324625399E-2</v>
      </c>
      <c r="F103" s="73" t="s">
        <v>2224</v>
      </c>
      <c r="G103" t="s">
        <v>2123</v>
      </c>
    </row>
    <row r="104" spans="1:7" x14ac:dyDescent="0.3">
      <c r="A104">
        <v>1.6481276503132601E-2</v>
      </c>
      <c r="B104" s="73">
        <v>2.0844963333619401E-2</v>
      </c>
      <c r="C104" s="73">
        <v>1.6578342610262399E-2</v>
      </c>
      <c r="D104" s="73">
        <v>1.5303746558651399E-2</v>
      </c>
      <c r="E104" s="73">
        <v>2.2275298720186399E-2</v>
      </c>
      <c r="F104" s="73" t="s">
        <v>2225</v>
      </c>
      <c r="G104" t="s">
        <v>2123</v>
      </c>
    </row>
    <row r="105" spans="1:7" x14ac:dyDescent="0.3">
      <c r="A105">
        <v>1.77105887350755E-2</v>
      </c>
      <c r="B105" s="73">
        <v>5.6392491810183902E-2</v>
      </c>
      <c r="C105" s="73">
        <v>1.53745683650881E-2</v>
      </c>
      <c r="D105" s="73">
        <v>1.3670147091618101E-2</v>
      </c>
      <c r="E105" s="73">
        <v>2.3245190160411201E-2</v>
      </c>
      <c r="F105" s="73" t="s">
        <v>2226</v>
      </c>
      <c r="G105" t="s">
        <v>2123</v>
      </c>
    </row>
    <row r="106" spans="1:7" x14ac:dyDescent="0.3">
      <c r="A106">
        <v>2.24149830534284E-2</v>
      </c>
      <c r="B106" s="73">
        <v>9.43340099661172E-3</v>
      </c>
      <c r="C106" s="73">
        <v>4.0560107611520499E-2</v>
      </c>
      <c r="D106" s="73">
        <v>4.4785324127958097E-2</v>
      </c>
      <c r="E106" s="73">
        <v>2.1616654614663E-2</v>
      </c>
      <c r="F106" s="73" t="s">
        <v>2227</v>
      </c>
      <c r="G106" t="s">
        <v>2123</v>
      </c>
    </row>
    <row r="107" spans="1:7" x14ac:dyDescent="0.3">
      <c r="A107">
        <v>2.7006131410312901E-2</v>
      </c>
      <c r="B107" s="73">
        <v>-2.1272525988481301E-2</v>
      </c>
      <c r="C107" s="73">
        <v>5.4752144077812002E-3</v>
      </c>
      <c r="D107" s="73">
        <v>5.7381634098421204E-3</v>
      </c>
      <c r="E107" s="73">
        <v>4.4593389946305803E-3</v>
      </c>
      <c r="F107" s="73" t="s">
        <v>2228</v>
      </c>
      <c r="G107" t="s">
        <v>2123</v>
      </c>
    </row>
    <row r="108" spans="1:7" x14ac:dyDescent="0.3">
      <c r="A108">
        <v>1.7195373350960198E-2</v>
      </c>
      <c r="B108" s="73">
        <v>2.3444846886997699E-2</v>
      </c>
      <c r="C108" s="73">
        <v>2.5520395448680702E-2</v>
      </c>
      <c r="D108" s="73">
        <v>2.6760970425558899E-2</v>
      </c>
      <c r="E108" s="73">
        <v>1.9993530620905801E-2</v>
      </c>
      <c r="F108" s="73" t="s">
        <v>2229</v>
      </c>
      <c r="G108" t="s">
        <v>2123</v>
      </c>
    </row>
    <row r="109" spans="1:7" x14ac:dyDescent="0.3">
      <c r="A109">
        <v>2.7544322225657499E-2</v>
      </c>
      <c r="B109" s="73">
        <v>1.3803868113502E-2</v>
      </c>
      <c r="C109" s="73">
        <v>2.9000220413744102E-2</v>
      </c>
      <c r="D109" s="73">
        <v>3.2814056779429501E-2</v>
      </c>
      <c r="E109" s="73">
        <v>1.3007743413415899E-2</v>
      </c>
      <c r="F109" s="73" t="s">
        <v>2230</v>
      </c>
      <c r="G109" t="s">
        <v>2123</v>
      </c>
    </row>
    <row r="110" spans="1:7" x14ac:dyDescent="0.3">
      <c r="A110">
        <v>1.7773223680601899E-2</v>
      </c>
      <c r="B110" s="73">
        <v>1.36962800731413E-2</v>
      </c>
      <c r="C110" s="73">
        <v>2.6774170865188102E-2</v>
      </c>
      <c r="D110" s="73">
        <v>2.76992412803541E-2</v>
      </c>
      <c r="E110" s="73">
        <v>2.2772194889475902E-2</v>
      </c>
      <c r="F110" s="73" t="s">
        <v>2231</v>
      </c>
      <c r="G110" t="s">
        <v>2123</v>
      </c>
    </row>
    <row r="111" spans="1:7" x14ac:dyDescent="0.3">
      <c r="A111">
        <v>1.0067171002752701E-2</v>
      </c>
      <c r="B111" s="73">
        <v>2.65913479501769E-2</v>
      </c>
      <c r="C111" s="73">
        <v>1.29933584708952E-2</v>
      </c>
      <c r="D111" s="73">
        <v>9.5884799897107999E-3</v>
      </c>
      <c r="E111" s="73">
        <v>2.7578432526699701E-2</v>
      </c>
      <c r="F111" s="73" t="s">
        <v>2232</v>
      </c>
      <c r="G111" t="s">
        <v>2123</v>
      </c>
    </row>
    <row r="112" spans="1:7" x14ac:dyDescent="0.3">
      <c r="A112">
        <v>1.05839184448571E-2</v>
      </c>
      <c r="B112" s="73">
        <v>9.2223862003817398E-3</v>
      </c>
      <c r="C112" s="73">
        <v>1.75240784386392E-2</v>
      </c>
      <c r="D112" s="73">
        <v>1.9268623425193102E-2</v>
      </c>
      <c r="E112" s="73">
        <v>1.0181522541022199E-2</v>
      </c>
      <c r="F112" s="73" t="s">
        <v>2233</v>
      </c>
      <c r="G112" t="s">
        <v>2123</v>
      </c>
    </row>
    <row r="113" spans="1:7" x14ac:dyDescent="0.3">
      <c r="A113">
        <v>1.26121897911931E-2</v>
      </c>
      <c r="B113" s="73">
        <v>2.8333969394931401E-2</v>
      </c>
      <c r="C113" s="73">
        <v>3.1679376610520997E-2</v>
      </c>
      <c r="D113" s="73">
        <v>3.3061309623051399E-2</v>
      </c>
      <c r="E113" s="73">
        <v>2.5996696664996499E-2</v>
      </c>
      <c r="F113" s="73" t="s">
        <v>2234</v>
      </c>
      <c r="G113" t="s">
        <v>2123</v>
      </c>
    </row>
    <row r="114" spans="1:7" x14ac:dyDescent="0.3">
      <c r="A114">
        <v>3.2090280398078302E-4</v>
      </c>
      <c r="B114" s="73">
        <v>-1.66473304304918E-2</v>
      </c>
      <c r="C114" s="73">
        <v>5.4109448448214099E-3</v>
      </c>
      <c r="D114" s="73">
        <v>6.3326118015940604E-3</v>
      </c>
      <c r="E114" s="73">
        <v>1.3539104320199301E-3</v>
      </c>
      <c r="F114" s="73" t="s">
        <v>2235</v>
      </c>
      <c r="G114" t="s">
        <v>2123</v>
      </c>
    </row>
    <row r="115" spans="1:7" x14ac:dyDescent="0.3">
      <c r="A115">
        <v>7.2384308298694099E-3</v>
      </c>
      <c r="B115" s="73">
        <v>2.5981704959145799E-2</v>
      </c>
      <c r="C115" s="73">
        <v>1.78273820322872E-2</v>
      </c>
      <c r="D115" s="73">
        <v>2.14418814289523E-2</v>
      </c>
      <c r="E115" s="73">
        <v>2.5146473935451202E-3</v>
      </c>
      <c r="F115" s="73" t="s">
        <v>2236</v>
      </c>
      <c r="G115" t="s">
        <v>2123</v>
      </c>
    </row>
    <row r="116" spans="1:7" x14ac:dyDescent="0.3">
      <c r="A116">
        <v>1.2387156771827E-2</v>
      </c>
      <c r="B116" s="73">
        <v>2.6407820145390601E-2</v>
      </c>
      <c r="C116" s="73">
        <v>3.0298350256599701E-2</v>
      </c>
      <c r="D116" s="73">
        <v>3.1605845001569703E-2</v>
      </c>
      <c r="E116" s="73">
        <v>2.4885302644445099E-2</v>
      </c>
      <c r="F116" s="73" t="s">
        <v>2237</v>
      </c>
      <c r="G116" t="s">
        <v>2123</v>
      </c>
    </row>
    <row r="117" spans="1:7" x14ac:dyDescent="0.3">
      <c r="A117">
        <v>1.0631455336088899E-2</v>
      </c>
      <c r="B117" s="73">
        <v>1.29075602616771E-2</v>
      </c>
      <c r="C117" s="73">
        <v>3.38428167690683E-2</v>
      </c>
      <c r="D117" s="73">
        <v>3.6519198475668799E-2</v>
      </c>
      <c r="E117" s="73">
        <v>2.2777873103542599E-2</v>
      </c>
      <c r="F117" s="73" t="s">
        <v>2238</v>
      </c>
      <c r="G117" t="s">
        <v>2123</v>
      </c>
    </row>
    <row r="118" spans="1:7" x14ac:dyDescent="0.3">
      <c r="A118">
        <v>7.8778546175835001E-3</v>
      </c>
      <c r="B118" s="73">
        <v>1.19346323256166E-2</v>
      </c>
      <c r="C118" s="73">
        <v>3.1086541041110499E-2</v>
      </c>
      <c r="D118" s="73">
        <v>3.4639204699016303E-2</v>
      </c>
      <c r="E118" s="73">
        <v>1.61297394114919E-2</v>
      </c>
      <c r="F118" s="73" t="s">
        <v>2239</v>
      </c>
      <c r="G118" t="s">
        <v>2123</v>
      </c>
    </row>
    <row r="119" spans="1:7" x14ac:dyDescent="0.3">
      <c r="A119">
        <v>2.2971603454798002E-2</v>
      </c>
      <c r="B119" s="73">
        <v>3.4068264295770097E-2</v>
      </c>
      <c r="C119" s="73">
        <v>5.5237990580782499E-2</v>
      </c>
      <c r="D119" s="73">
        <v>6.1370356227924201E-2</v>
      </c>
      <c r="E119" s="73">
        <v>2.99883116478201E-2</v>
      </c>
      <c r="F119" s="73" t="s">
        <v>2240</v>
      </c>
      <c r="G119" t="s">
        <v>2123</v>
      </c>
    </row>
    <row r="120" spans="1:7" x14ac:dyDescent="0.3">
      <c r="A120">
        <v>2.21977740334749E-2</v>
      </c>
      <c r="B120" s="73">
        <v>3.6824162588046098E-2</v>
      </c>
      <c r="C120" s="73">
        <v>4.8912778707565802E-2</v>
      </c>
      <c r="D120" s="73">
        <v>5.6562220210462498E-2</v>
      </c>
      <c r="E120" s="73">
        <v>1.6964868305367399E-2</v>
      </c>
      <c r="F120" s="73" t="s">
        <v>2241</v>
      </c>
      <c r="G120" t="s">
        <v>2123</v>
      </c>
    </row>
    <row r="121" spans="1:7" x14ac:dyDescent="0.3">
      <c r="A121">
        <v>2.4473399596212499E-2</v>
      </c>
      <c r="B121" s="73">
        <v>5.00811045761866E-2</v>
      </c>
      <c r="C121" s="73">
        <v>4.67532839936027E-2</v>
      </c>
      <c r="D121" s="73">
        <v>4.9726482376824199E-2</v>
      </c>
      <c r="E121" s="73">
        <v>3.4513513517111301E-2</v>
      </c>
      <c r="F121" s="73" t="s">
        <v>2242</v>
      </c>
      <c r="G121" t="s">
        <v>2123</v>
      </c>
    </row>
    <row r="122" spans="1:7" x14ac:dyDescent="0.3">
      <c r="A122">
        <v>3.2886107964122897E-2</v>
      </c>
      <c r="B122" s="73">
        <v>3.9540884737924602E-2</v>
      </c>
      <c r="C122" s="73">
        <v>5.2100481054129198E-2</v>
      </c>
      <c r="D122" s="73">
        <v>5.7040318663066601E-2</v>
      </c>
      <c r="E122" s="73">
        <v>3.2054289459933799E-2</v>
      </c>
      <c r="F122" s="73" t="s">
        <v>2243</v>
      </c>
      <c r="G122" t="s">
        <v>2123</v>
      </c>
    </row>
    <row r="123" spans="1:7" x14ac:dyDescent="0.3">
      <c r="A123">
        <v>1.9193585341739101E-2</v>
      </c>
      <c r="B123" s="73">
        <v>1.5459188057563401E-2</v>
      </c>
      <c r="C123" s="73">
        <v>4.3137591071386303E-2</v>
      </c>
      <c r="D123" s="73">
        <v>4.2438786901308999E-2</v>
      </c>
      <c r="E123" s="73">
        <v>4.6322155050911397E-2</v>
      </c>
      <c r="F123" s="73" t="s">
        <v>2244</v>
      </c>
      <c r="G123" t="s">
        <v>2123</v>
      </c>
    </row>
    <row r="124" spans="1:7" x14ac:dyDescent="0.3">
      <c r="A124">
        <v>2.6053548554263901E-2</v>
      </c>
      <c r="B124" s="73">
        <v>2.8949345820011199E-2</v>
      </c>
      <c r="C124" s="73">
        <v>4.3621452355276299E-2</v>
      </c>
      <c r="D124" s="73">
        <v>4.7728620369875199E-2</v>
      </c>
      <c r="E124" s="73">
        <v>2.6457667912965801E-2</v>
      </c>
      <c r="F124" s="73" t="s">
        <v>2245</v>
      </c>
      <c r="G124" t="s">
        <v>2123</v>
      </c>
    </row>
    <row r="125" spans="1:7" x14ac:dyDescent="0.3">
      <c r="A125">
        <v>2.2816932316492001E-2</v>
      </c>
      <c r="B125" s="73">
        <v>1.82242710503548E-2</v>
      </c>
      <c r="C125" s="73">
        <v>5.08936788411576E-2</v>
      </c>
      <c r="D125" s="73">
        <v>5.7499642478727998E-2</v>
      </c>
      <c r="E125" s="73">
        <v>2.3755596803619598E-2</v>
      </c>
      <c r="F125" s="73" t="s">
        <v>2246</v>
      </c>
      <c r="G125" t="s">
        <v>2123</v>
      </c>
    </row>
    <row r="126" spans="1:7" x14ac:dyDescent="0.3">
      <c r="A126">
        <v>2.9937016463394299E-2</v>
      </c>
      <c r="B126" s="73">
        <v>6.8223280329673397E-3</v>
      </c>
      <c r="C126" s="73">
        <v>4.8648145175588901E-2</v>
      </c>
      <c r="D126" s="73">
        <v>5.4456520671492398E-2</v>
      </c>
      <c r="E126" s="73">
        <v>2.4902004743710501E-2</v>
      </c>
      <c r="F126" s="73" t="s">
        <v>2247</v>
      </c>
      <c r="G126" t="s">
        <v>2123</v>
      </c>
    </row>
    <row r="127" spans="1:7" x14ac:dyDescent="0.3">
      <c r="A127">
        <v>1.8884884410707199E-2</v>
      </c>
      <c r="B127" s="73">
        <v>2.1198789662036002E-2</v>
      </c>
      <c r="C127" s="73">
        <v>1.5754024167145698E-2</v>
      </c>
      <c r="D127" s="73">
        <v>1.7060457300781501E-2</v>
      </c>
      <c r="E127" s="73">
        <v>1.0326833438175601E-2</v>
      </c>
      <c r="F127" s="73" t="s">
        <v>2248</v>
      </c>
      <c r="G127" t="s">
        <v>2123</v>
      </c>
    </row>
    <row r="128" spans="1:7" x14ac:dyDescent="0.3">
      <c r="A128">
        <v>2.0085104332627801E-3</v>
      </c>
      <c r="B128" s="73">
        <v>2.5873085754739799E-2</v>
      </c>
      <c r="C128" s="73">
        <v>1.0539628000638001E-2</v>
      </c>
      <c r="D128" s="73">
        <v>1.0084643678167899E-2</v>
      </c>
      <c r="E128" s="73">
        <v>1.25865662000337E-2</v>
      </c>
      <c r="F128" s="73" t="s">
        <v>2249</v>
      </c>
      <c r="G128" t="s">
        <v>2123</v>
      </c>
    </row>
    <row r="129" spans="1:7" x14ac:dyDescent="0.3">
      <c r="A129">
        <v>1.65597149400032E-3</v>
      </c>
      <c r="B129" s="73">
        <v>2.61448943379867E-2</v>
      </c>
      <c r="C129" s="73">
        <v>7.8026661107790697E-3</v>
      </c>
      <c r="D129" s="73">
        <v>4.4939487008062197E-3</v>
      </c>
      <c r="E129" s="73">
        <v>2.16417401943385E-2</v>
      </c>
      <c r="F129" s="73" t="s">
        <v>2250</v>
      </c>
      <c r="G129" t="s">
        <v>2123</v>
      </c>
    </row>
    <row r="130" spans="1:7" x14ac:dyDescent="0.3">
      <c r="A130">
        <v>8.0448095256371293E-3</v>
      </c>
      <c r="B130" s="73">
        <v>2.6192779718551499E-2</v>
      </c>
      <c r="C130" s="73">
        <v>2.4568554219072301E-2</v>
      </c>
      <c r="D130" s="73">
        <v>2.6210777008154801E-2</v>
      </c>
      <c r="E130" s="73">
        <v>1.77439998941584E-2</v>
      </c>
      <c r="F130" s="73" t="s">
        <v>2251</v>
      </c>
      <c r="G130" t="s">
        <v>2123</v>
      </c>
    </row>
    <row r="131" spans="1:7" x14ac:dyDescent="0.3">
      <c r="A131">
        <v>2.9998743908273201E-2</v>
      </c>
      <c r="B131" s="73">
        <v>3.8349371649444103E-2</v>
      </c>
      <c r="C131" s="73">
        <v>3.6466330566627299E-2</v>
      </c>
      <c r="D131" s="73">
        <v>3.99637104830428E-2</v>
      </c>
      <c r="E131" s="73">
        <v>2.19088618142655E-2</v>
      </c>
      <c r="F131" s="73" t="s">
        <v>2252</v>
      </c>
      <c r="G131" t="s">
        <v>2123</v>
      </c>
    </row>
    <row r="132" spans="1:7" x14ac:dyDescent="0.3">
      <c r="A132">
        <v>2.0869776308943801E-2</v>
      </c>
      <c r="B132" s="73">
        <v>3.4801584391165798E-2</v>
      </c>
      <c r="C132" s="73">
        <v>2.9067453466692799E-2</v>
      </c>
      <c r="D132" s="73">
        <v>3.3157579483975103E-2</v>
      </c>
      <c r="E132" s="73">
        <v>1.23573378485025E-2</v>
      </c>
      <c r="F132" s="73" t="s">
        <v>2253</v>
      </c>
      <c r="G132" t="s">
        <v>2123</v>
      </c>
    </row>
    <row r="133" spans="1:7" x14ac:dyDescent="0.3">
      <c r="A133">
        <v>1.8806157080279301E-2</v>
      </c>
      <c r="B133" s="73">
        <v>7.6203068975526894E-2</v>
      </c>
      <c r="C133" s="73">
        <v>3.3825009608851903E-2</v>
      </c>
      <c r="D133" s="73">
        <v>4.04120889716926E-2</v>
      </c>
      <c r="E133" s="73">
        <v>6.9083360828583497E-3</v>
      </c>
      <c r="F133" s="73" t="s">
        <v>2254</v>
      </c>
      <c r="G133" t="s">
        <v>2123</v>
      </c>
    </row>
    <row r="134" spans="1:7" x14ac:dyDescent="0.3">
      <c r="A134">
        <v>3.0939531110064901E-2</v>
      </c>
      <c r="B134" s="73">
        <v>4.5343406532494003E-2</v>
      </c>
      <c r="C134" s="73">
        <v>5.8196726969511198E-2</v>
      </c>
      <c r="D134" s="73">
        <v>6.4192818314913899E-2</v>
      </c>
      <c r="E134" s="73">
        <v>3.35839967225895E-2</v>
      </c>
      <c r="F134" s="73" t="s">
        <v>2255</v>
      </c>
      <c r="G134" t="s">
        <v>2123</v>
      </c>
    </row>
    <row r="135" spans="1:7" x14ac:dyDescent="0.3">
      <c r="A135">
        <v>4.0077661469082298E-3</v>
      </c>
      <c r="B135" s="73">
        <v>2.8726975579467701E-2</v>
      </c>
      <c r="C135" s="73">
        <v>2.9064873808690699E-3</v>
      </c>
      <c r="D135" s="73">
        <v>2.60483280529056E-3</v>
      </c>
      <c r="E135" s="73">
        <v>4.1691340309692997E-3</v>
      </c>
      <c r="F135" s="73" t="s">
        <v>2256</v>
      </c>
      <c r="G135" t="s">
        <v>2123</v>
      </c>
    </row>
    <row r="136" spans="1:7" x14ac:dyDescent="0.3">
      <c r="A136">
        <v>2.6637470683258401E-2</v>
      </c>
      <c r="B136" s="73">
        <v>3.6701160751028999E-2</v>
      </c>
      <c r="C136" s="73">
        <v>2.7107556015981499E-2</v>
      </c>
      <c r="D136" s="73">
        <v>3.2537484109284899E-2</v>
      </c>
      <c r="E136" s="73">
        <v>5.0920666130191998E-3</v>
      </c>
      <c r="F136" s="73" t="s">
        <v>2257</v>
      </c>
      <c r="G136" t="s">
        <v>2123</v>
      </c>
    </row>
    <row r="137" spans="1:7" x14ac:dyDescent="0.3">
      <c r="A137">
        <v>1.9809591582912799E-2</v>
      </c>
      <c r="B137" s="73">
        <v>3.0297839189273201E-2</v>
      </c>
      <c r="C137" s="73">
        <v>3.1739121685169701E-2</v>
      </c>
      <c r="D137" s="73">
        <v>3.6723057880070603E-2</v>
      </c>
      <c r="E137" s="73">
        <v>1.11208187291489E-2</v>
      </c>
      <c r="F137" s="73" t="s">
        <v>2258</v>
      </c>
      <c r="G137" t="s">
        <v>2123</v>
      </c>
    </row>
    <row r="138" spans="1:7" x14ac:dyDescent="0.3">
      <c r="A138">
        <v>3.1204615634115699E-2</v>
      </c>
      <c r="B138" s="73">
        <v>3.4471201135703997E-2</v>
      </c>
      <c r="C138" s="73">
        <v>5.1558341847096401E-2</v>
      </c>
      <c r="D138" s="73">
        <v>5.7672124037001303E-2</v>
      </c>
      <c r="E138" s="73">
        <v>2.6313046913832801E-2</v>
      </c>
      <c r="F138" s="73" t="s">
        <v>2259</v>
      </c>
      <c r="G138" t="s">
        <v>2123</v>
      </c>
    </row>
    <row r="139" spans="1:7" x14ac:dyDescent="0.3">
      <c r="A139">
        <v>2.7200294389546201E-2</v>
      </c>
      <c r="B139" s="73">
        <v>3.5181669062461299E-2</v>
      </c>
      <c r="C139" s="73">
        <v>5.8362051451558601E-2</v>
      </c>
      <c r="D139" s="73">
        <v>5.42271951092188E-2</v>
      </c>
      <c r="E139" s="73">
        <v>7.5544557477534205E-2</v>
      </c>
      <c r="F139" s="73" t="s">
        <v>2260</v>
      </c>
      <c r="G139" t="s">
        <v>2123</v>
      </c>
    </row>
    <row r="140" spans="1:7" x14ac:dyDescent="0.3">
      <c r="A140">
        <v>1.9813936050087699E-2</v>
      </c>
      <c r="B140" s="73">
        <v>3.71188179062025E-2</v>
      </c>
      <c r="C140" s="73">
        <v>6.6372017523847596E-2</v>
      </c>
      <c r="D140" s="73">
        <v>5.5705667373545202E-2</v>
      </c>
      <c r="E140" s="73">
        <v>0.112118604043563</v>
      </c>
      <c r="F140" s="73" t="s">
        <v>2261</v>
      </c>
      <c r="G140" t="s">
        <v>2123</v>
      </c>
    </row>
    <row r="141" spans="1:7" x14ac:dyDescent="0.3">
      <c r="A141">
        <v>3.4620969363609901E-2</v>
      </c>
      <c r="B141" s="73">
        <v>3.9499400752586601E-2</v>
      </c>
      <c r="C141" s="73">
        <v>7.0713285275577201E-2</v>
      </c>
      <c r="D141" s="73">
        <v>6.4048552869122796E-2</v>
      </c>
      <c r="E141" s="73">
        <v>9.9586266592777403E-2</v>
      </c>
      <c r="F141" s="73" t="s">
        <v>2262</v>
      </c>
      <c r="G141" t="s">
        <v>2123</v>
      </c>
    </row>
    <row r="142" spans="1:7" x14ac:dyDescent="0.3">
      <c r="A142">
        <v>2.34535899973984E-2</v>
      </c>
      <c r="B142" s="73">
        <v>5.3706890981395999E-2</v>
      </c>
      <c r="C142" s="73">
        <v>3.6431516961551003E-2</v>
      </c>
      <c r="D142" s="73">
        <v>3.69057460702173E-2</v>
      </c>
      <c r="E142" s="73">
        <v>3.4210597371460802E-2</v>
      </c>
      <c r="F142" s="73" t="s">
        <v>2263</v>
      </c>
      <c r="G142" t="s">
        <v>2123</v>
      </c>
    </row>
    <row r="143" spans="1:7" x14ac:dyDescent="0.3">
      <c r="A143">
        <v>2.5499802950129401E-2</v>
      </c>
      <c r="B143" s="73">
        <v>3.6566859174503898E-2</v>
      </c>
      <c r="C143" s="73">
        <v>5.21679913838453E-2</v>
      </c>
      <c r="D143" s="73">
        <v>4.6392177019789503E-2</v>
      </c>
      <c r="E143" s="73">
        <v>7.7400259900339399E-2</v>
      </c>
      <c r="F143" s="73" t="s">
        <v>2264</v>
      </c>
      <c r="G143" t="s">
        <v>2123</v>
      </c>
    </row>
    <row r="144" spans="1:7" x14ac:dyDescent="0.3">
      <c r="A144">
        <v>4.3914132970667798E-2</v>
      </c>
      <c r="B144" s="73">
        <v>4.2425430776049898E-2</v>
      </c>
      <c r="C144" s="73">
        <v>6.5459325261808296E-2</v>
      </c>
      <c r="D144" s="73">
        <v>5.93159029125543E-2</v>
      </c>
      <c r="E144" s="73">
        <v>9.2099438138909306E-2</v>
      </c>
      <c r="F144" s="73" t="s">
        <v>2265</v>
      </c>
      <c r="G144" t="s">
        <v>2123</v>
      </c>
    </row>
    <row r="145" spans="1:7" x14ac:dyDescent="0.3">
      <c r="A145">
        <v>3.2225013743436802E-2</v>
      </c>
      <c r="B145" s="73">
        <v>2.9052051363888599E-2</v>
      </c>
      <c r="C145" s="73">
        <v>6.6969533653351301E-2</v>
      </c>
      <c r="D145" s="73">
        <v>6.9322056053448003E-2</v>
      </c>
      <c r="E145" s="73">
        <v>5.6967190258747399E-2</v>
      </c>
      <c r="F145" s="73" t="s">
        <v>2266</v>
      </c>
      <c r="G145" t="s">
        <v>2123</v>
      </c>
    </row>
    <row r="146" spans="1:7" x14ac:dyDescent="0.3">
      <c r="A146">
        <v>2.0935342800184199E-2</v>
      </c>
      <c r="B146" s="73">
        <v>3.4093201961780999E-2</v>
      </c>
      <c r="C146" s="73">
        <v>2.8774072598683802E-2</v>
      </c>
      <c r="D146" s="73">
        <v>2.9725271896635399E-2</v>
      </c>
      <c r="E146" s="73">
        <v>2.50876168066392E-2</v>
      </c>
      <c r="F146" s="73" t="s">
        <v>2267</v>
      </c>
      <c r="G146" t="s">
        <v>2123</v>
      </c>
    </row>
    <row r="147" spans="1:7" x14ac:dyDescent="0.3">
      <c r="A147">
        <v>3.5555363218846101E-2</v>
      </c>
      <c r="B147" s="73">
        <v>2.8135458399094499E-2</v>
      </c>
      <c r="C147" s="73">
        <v>6.2837412602848405E-2</v>
      </c>
      <c r="D147" s="73">
        <v>5.61203132204302E-2</v>
      </c>
      <c r="E147" s="73">
        <v>9.1105361450751501E-2</v>
      </c>
      <c r="F147" s="73" t="s">
        <v>2268</v>
      </c>
      <c r="G147" t="s">
        <v>2123</v>
      </c>
    </row>
    <row r="148" spans="1:7" x14ac:dyDescent="0.3">
      <c r="A148">
        <v>2.9090990484891902E-2</v>
      </c>
      <c r="B148" s="73">
        <v>2.9966625510563099E-2</v>
      </c>
      <c r="C148" s="73">
        <v>4.07360601876912E-2</v>
      </c>
      <c r="D148" s="73">
        <v>3.6843754178801799E-2</v>
      </c>
      <c r="E148" s="73">
        <v>5.6869734933791702E-2</v>
      </c>
      <c r="F148" s="73" t="s">
        <v>2269</v>
      </c>
      <c r="G148" t="s">
        <v>2123</v>
      </c>
    </row>
    <row r="149" spans="1:7" x14ac:dyDescent="0.3">
      <c r="A149">
        <v>-6.5707467210734897E-3</v>
      </c>
      <c r="B149" s="73">
        <v>2.09838687014814E-2</v>
      </c>
      <c r="C149" s="73">
        <v>4.2971451015771302E-2</v>
      </c>
      <c r="D149" s="73">
        <v>3.0338463665483501E-2</v>
      </c>
      <c r="E149" s="73">
        <v>9.7213617262259494E-2</v>
      </c>
      <c r="F149" s="73" t="s">
        <v>2270</v>
      </c>
      <c r="G149" t="s">
        <v>2123</v>
      </c>
    </row>
    <row r="150" spans="1:7" x14ac:dyDescent="0.3">
      <c r="A150">
        <v>3.7059917165470399E-2</v>
      </c>
      <c r="B150" s="73">
        <v>3.4651107406359301E-2</v>
      </c>
      <c r="C150" s="73">
        <v>7.8585662480562105E-2</v>
      </c>
      <c r="D150" s="73">
        <v>7.2299496950969405E-2</v>
      </c>
      <c r="E150" s="73">
        <v>0.104792955269219</v>
      </c>
      <c r="F150" s="73" t="s">
        <v>2271</v>
      </c>
      <c r="G150" t="s">
        <v>2123</v>
      </c>
    </row>
    <row r="151" spans="1:7" x14ac:dyDescent="0.3">
      <c r="A151">
        <v>3.4406916686266602E-2</v>
      </c>
      <c r="B151" s="73">
        <v>3.2361806516408201E-2</v>
      </c>
      <c r="C151" s="73">
        <v>4.3801176802868498E-2</v>
      </c>
      <c r="D151" s="73">
        <v>4.4022069506022297E-2</v>
      </c>
      <c r="E151" s="73">
        <v>4.2476788274359099E-2</v>
      </c>
      <c r="F151" s="73" t="s">
        <v>2272</v>
      </c>
      <c r="G151" t="s">
        <v>2123</v>
      </c>
    </row>
    <row r="152" spans="1:7" x14ac:dyDescent="0.3">
      <c r="A152">
        <v>2.2795387185985401E-2</v>
      </c>
      <c r="B152" s="73">
        <v>2.78463672712683E-2</v>
      </c>
      <c r="C152" s="73">
        <v>4.4222539432221097E-2</v>
      </c>
      <c r="D152" s="73">
        <v>4.5480126137950501E-2</v>
      </c>
      <c r="E152" s="73">
        <v>3.9088464000031499E-2</v>
      </c>
      <c r="F152" s="73" t="s">
        <v>2273</v>
      </c>
      <c r="G152" t="s">
        <v>2123</v>
      </c>
    </row>
    <row r="153" spans="1:7" x14ac:dyDescent="0.3">
      <c r="A153">
        <v>4.1308326629664098E-2</v>
      </c>
      <c r="B153" s="73">
        <v>3.2459146974833902E-2</v>
      </c>
      <c r="C153" s="73">
        <v>5.9308398195111703E-2</v>
      </c>
      <c r="D153" s="73">
        <v>6.2039731527971001E-2</v>
      </c>
      <c r="E153" s="73">
        <v>4.7886506250196997E-2</v>
      </c>
      <c r="F153" s="73" t="s">
        <v>2274</v>
      </c>
      <c r="G153" t="s">
        <v>2123</v>
      </c>
    </row>
    <row r="154" spans="1:7" x14ac:dyDescent="0.3">
      <c r="A154">
        <v>3.2954987594988598E-2</v>
      </c>
      <c r="B154" s="73">
        <v>3.4144429632388298E-2</v>
      </c>
      <c r="C154" s="73">
        <v>6.5660768227846694E-2</v>
      </c>
      <c r="D154" s="73">
        <v>7.23147883586404E-2</v>
      </c>
      <c r="E154" s="73">
        <v>3.8436409888859401E-2</v>
      </c>
      <c r="F154" s="73" t="s">
        <v>2275</v>
      </c>
      <c r="G154" t="s">
        <v>2123</v>
      </c>
    </row>
    <row r="155" spans="1:7" x14ac:dyDescent="0.3">
      <c r="A155">
        <v>3.9493950261418401E-2</v>
      </c>
      <c r="B155" s="73">
        <v>4.1602053152730099E-2</v>
      </c>
      <c r="C155" s="73">
        <v>5.6861353066109101E-2</v>
      </c>
      <c r="D155" s="73">
        <v>6.3263019462217004E-2</v>
      </c>
      <c r="E155" s="73">
        <v>3.1126430511134499E-2</v>
      </c>
      <c r="F155" s="73" t="s">
        <v>2276</v>
      </c>
      <c r="G155" t="s">
        <v>2123</v>
      </c>
    </row>
    <row r="156" spans="1:7" x14ac:dyDescent="0.3">
      <c r="A156">
        <v>4.3386852489040402E-2</v>
      </c>
      <c r="B156" s="73">
        <v>3.03408157550791E-2</v>
      </c>
      <c r="C156" s="73">
        <v>5.4759676802432801E-2</v>
      </c>
      <c r="D156" s="73">
        <v>5.52136316684275E-2</v>
      </c>
      <c r="E156" s="73">
        <v>5.2701497522020399E-2</v>
      </c>
      <c r="F156" s="73" t="s">
        <v>2277</v>
      </c>
      <c r="G156" t="s">
        <v>2123</v>
      </c>
    </row>
    <row r="157" spans="1:7" x14ac:dyDescent="0.3">
      <c r="A157">
        <v>-6.2360196436278902E-2</v>
      </c>
      <c r="B157" s="73">
        <v>-1.8917326805224201E-2</v>
      </c>
      <c r="C157" s="73">
        <v>-4.6744094426787702E-2</v>
      </c>
      <c r="D157" s="73">
        <v>-7.4155067193705196E-2</v>
      </c>
      <c r="E157" s="73">
        <v>7.5335045349203197E-2</v>
      </c>
      <c r="F157" s="73" t="s">
        <v>2278</v>
      </c>
      <c r="G157" t="s">
        <v>2123</v>
      </c>
    </row>
    <row r="158" spans="1:7" x14ac:dyDescent="0.3">
      <c r="A158">
        <v>-2.6731212813050201E-2</v>
      </c>
      <c r="B158" s="73">
        <v>-3.3135327897025703E-2</v>
      </c>
      <c r="C158" s="73">
        <v>-5.0828944700739398E-2</v>
      </c>
      <c r="D158" s="73">
        <v>-6.8462037949067106E-2</v>
      </c>
      <c r="E158" s="73">
        <v>2.5185264843212301E-2</v>
      </c>
      <c r="F158" s="73" t="s">
        <v>2279</v>
      </c>
      <c r="G158" t="s">
        <v>2123</v>
      </c>
    </row>
    <row r="159" spans="1:7" x14ac:dyDescent="0.3">
      <c r="A159">
        <v>1.6004255010514602E-2</v>
      </c>
      <c r="B159" s="73">
        <v>7.2471101838833497E-4</v>
      </c>
      <c r="C159" s="73">
        <v>8.8167512561174704E-3</v>
      </c>
      <c r="D159" s="73">
        <v>1.9832196265286098E-2</v>
      </c>
      <c r="E159" s="73">
        <v>-3.4674689642026801E-2</v>
      </c>
      <c r="F159" s="73" t="s">
        <v>2280</v>
      </c>
      <c r="G159" t="s">
        <v>2123</v>
      </c>
    </row>
    <row r="160" spans="1:7" x14ac:dyDescent="0.3">
      <c r="A160">
        <v>2.78350080421834E-2</v>
      </c>
      <c r="B160" s="73">
        <v>1.22854862155337E-2</v>
      </c>
      <c r="C160" s="73">
        <v>2.06173124531559E-2</v>
      </c>
      <c r="D160" s="73">
        <v>3.47933032481611E-2</v>
      </c>
      <c r="E160" s="73">
        <v>-3.55556982427905E-2</v>
      </c>
      <c r="F160" s="73" t="s">
        <v>2281</v>
      </c>
      <c r="G160" t="s">
        <v>2123</v>
      </c>
    </row>
    <row r="161" spans="1:7" x14ac:dyDescent="0.3">
      <c r="A161">
        <v>3.1240948480233E-2</v>
      </c>
      <c r="B161" s="73">
        <v>3.11127095791379E-2</v>
      </c>
      <c r="C161" s="73">
        <v>2.9708718433870501E-2</v>
      </c>
      <c r="D161" s="73">
        <v>3.76238534925952E-2</v>
      </c>
      <c r="E161" s="73">
        <v>-3.0769865450653898E-3</v>
      </c>
      <c r="F161" s="73" t="s">
        <v>2282</v>
      </c>
      <c r="G161" t="s">
        <v>2123</v>
      </c>
    </row>
    <row r="162" spans="1:7" x14ac:dyDescent="0.3">
      <c r="A162">
        <v>1.5538458112328299E-2</v>
      </c>
      <c r="B162" s="73">
        <v>2.5706833981413501E-2</v>
      </c>
      <c r="C162" s="73">
        <v>4.0232060366665899E-2</v>
      </c>
      <c r="D162" s="73">
        <v>4.6975487060338501E-2</v>
      </c>
      <c r="E162" s="73">
        <v>1.13952226394907E-2</v>
      </c>
      <c r="F162" s="73" t="s">
        <v>2283</v>
      </c>
      <c r="G162" t="s">
        <v>2123</v>
      </c>
    </row>
    <row r="163" spans="1:7" x14ac:dyDescent="0.3">
      <c r="A163">
        <v>6.2204942357442202E-3</v>
      </c>
      <c r="B163" s="73">
        <v>3.1017939025557401E-2</v>
      </c>
      <c r="C163" s="73">
        <v>2.693219932312E-2</v>
      </c>
      <c r="D163" s="73">
        <v>2.9062361366274402E-2</v>
      </c>
      <c r="E163" s="73">
        <v>1.7491325837778699E-2</v>
      </c>
      <c r="F163" s="73" t="s">
        <v>2284</v>
      </c>
      <c r="G163" t="s">
        <v>2123</v>
      </c>
    </row>
    <row r="164" spans="1:7" x14ac:dyDescent="0.3">
      <c r="A164">
        <v>7.72594376628044E-3</v>
      </c>
      <c r="B164" s="73">
        <v>1.59750935835106E-2</v>
      </c>
      <c r="C164" s="73">
        <v>2.11009160463198E-2</v>
      </c>
      <c r="D164" s="73">
        <v>2.3067349052007899E-2</v>
      </c>
      <c r="E164" s="73">
        <v>1.2643202128826501E-2</v>
      </c>
      <c r="F164" s="73" t="s">
        <v>2285</v>
      </c>
      <c r="G164" t="s">
        <v>2123</v>
      </c>
    </row>
    <row r="165" spans="1:7" x14ac:dyDescent="0.3">
      <c r="A165">
        <v>2.5862689650447499E-2</v>
      </c>
      <c r="B165" s="73">
        <v>3.29452826155043E-2</v>
      </c>
      <c r="C165" s="73">
        <v>3.4200107003750799E-2</v>
      </c>
      <c r="D165" s="73">
        <v>3.7879756208726099E-2</v>
      </c>
      <c r="E165" s="73">
        <v>1.8090208281751299E-2</v>
      </c>
      <c r="F165" s="73" t="s">
        <v>2286</v>
      </c>
      <c r="G165" t="s">
        <v>2123</v>
      </c>
    </row>
    <row r="166" spans="1:7" x14ac:dyDescent="0.3">
      <c r="A166">
        <v>3.4016266815046298E-2</v>
      </c>
      <c r="B166" s="73">
        <v>3.64259738306612E-2</v>
      </c>
      <c r="C166" s="73">
        <v>4.12597463779956E-2</v>
      </c>
      <c r="D166" s="73">
        <v>4.5137017344844002E-2</v>
      </c>
      <c r="E166" s="73">
        <v>2.4394704867924499E-2</v>
      </c>
      <c r="F166" s="73" t="s">
        <v>2287</v>
      </c>
      <c r="G166" t="s">
        <v>2123</v>
      </c>
    </row>
    <row r="167" spans="1:7" x14ac:dyDescent="0.3">
      <c r="A167">
        <v>3.9906323464895102E-2</v>
      </c>
      <c r="B167" s="73">
        <v>3.6682670107609103E-2</v>
      </c>
      <c r="C167" s="73">
        <v>4.9051100435819797E-2</v>
      </c>
      <c r="D167" s="73">
        <v>5.0829697512543702E-2</v>
      </c>
      <c r="E167" s="73">
        <v>4.1043493786856698E-2</v>
      </c>
      <c r="F167" s="73" t="s">
        <v>2288</v>
      </c>
      <c r="G167" t="s">
        <v>2123</v>
      </c>
    </row>
    <row r="168" spans="1:7" x14ac:dyDescent="0.3">
      <c r="A168">
        <v>1.8640626124373699E-2</v>
      </c>
      <c r="B168" s="73">
        <v>1.39908352832361E-2</v>
      </c>
      <c r="C168" s="73">
        <v>2.0811922414161198E-2</v>
      </c>
      <c r="D168" s="73">
        <v>1.5247657751557699E-2</v>
      </c>
      <c r="E168" s="73">
        <v>4.5983903903995101E-2</v>
      </c>
      <c r="F168" s="73" t="s">
        <v>2289</v>
      </c>
      <c r="G168" t="s">
        <v>2123</v>
      </c>
    </row>
    <row r="169" spans="1:7" x14ac:dyDescent="0.3">
      <c r="A169">
        <v>1.32561299755005E-2</v>
      </c>
      <c r="B169" s="73">
        <v>-5.33618345022691E-3</v>
      </c>
      <c r="C169" s="73">
        <v>-4.6704458177309104E-3</v>
      </c>
      <c r="D169" s="73">
        <v>-1.40950235359611E-2</v>
      </c>
      <c r="E169" s="73">
        <v>3.8137779822804398E-2</v>
      </c>
      <c r="F169" s="73" t="s">
        <v>2290</v>
      </c>
      <c r="G169" t="s">
        <v>2123</v>
      </c>
    </row>
    <row r="170" spans="1:7" x14ac:dyDescent="0.3">
      <c r="A170">
        <v>2.6761481120787502E-2</v>
      </c>
      <c r="B170" s="73">
        <v>1.39201532997375E-2</v>
      </c>
      <c r="C170" s="73">
        <v>4.96543347638621E-2</v>
      </c>
      <c r="D170" s="73">
        <v>5.4116713606157101E-2</v>
      </c>
      <c r="E170" s="73">
        <v>3.0312571909831599E-2</v>
      </c>
      <c r="F170" s="73" t="s">
        <v>2291</v>
      </c>
      <c r="G170" t="s">
        <v>2123</v>
      </c>
    </row>
    <row r="171" spans="1:7" x14ac:dyDescent="0.3">
      <c r="A171">
        <v>9.7203652064314899E-3</v>
      </c>
      <c r="B171" s="73">
        <v>8.8550245823753003E-3</v>
      </c>
      <c r="C171" s="73">
        <v>4.0241651109829101E-5</v>
      </c>
      <c r="D171" s="73">
        <v>-6.9787462524018001E-3</v>
      </c>
      <c r="E171" s="73">
        <v>3.2273930792219303E-2</v>
      </c>
      <c r="F171" s="73" t="s">
        <v>2292</v>
      </c>
      <c r="G171" t="s">
        <v>2123</v>
      </c>
    </row>
    <row r="172" spans="1:7" x14ac:dyDescent="0.3">
      <c r="A172">
        <v>1.1676944984941699E-2</v>
      </c>
      <c r="B172" s="73">
        <v>7.7077122555302396E-3</v>
      </c>
      <c r="C172" s="73">
        <v>2.3872274816542499E-2</v>
      </c>
      <c r="D172" s="73">
        <v>2.44311343320835E-2</v>
      </c>
      <c r="E172" s="73">
        <v>2.17207841742009E-2</v>
      </c>
      <c r="F172" s="73" t="s">
        <v>2293</v>
      </c>
      <c r="G172" t="s">
        <v>2123</v>
      </c>
    </row>
    <row r="173" spans="1:7" x14ac:dyDescent="0.3">
      <c r="A173">
        <v>2.2614716677978E-2</v>
      </c>
      <c r="B173" s="73">
        <v>4.9632662336496196E-3</v>
      </c>
      <c r="C173" s="73">
        <v>4.96224168517563E-2</v>
      </c>
      <c r="D173" s="73">
        <v>5.8918140200379103E-2</v>
      </c>
      <c r="E173" s="73">
        <v>7.9104688711333394E-3</v>
      </c>
      <c r="F173" s="73" t="s">
        <v>2294</v>
      </c>
      <c r="G173" t="s">
        <v>2123</v>
      </c>
    </row>
    <row r="174" spans="1:7" x14ac:dyDescent="0.3">
      <c r="A174">
        <v>1.45079389824292E-2</v>
      </c>
      <c r="B174" s="73">
        <v>-1.9949826125076301E-4</v>
      </c>
      <c r="C174" s="73">
        <v>4.6763117028620897E-2</v>
      </c>
      <c r="D174" s="73">
        <v>5.3376513955371498E-2</v>
      </c>
      <c r="E174" s="73">
        <v>1.6319173615011201E-2</v>
      </c>
      <c r="F174" s="73" t="s">
        <v>2295</v>
      </c>
      <c r="G174" t="s">
        <v>2123</v>
      </c>
    </row>
    <row r="175" spans="1:7" x14ac:dyDescent="0.3">
      <c r="A175">
        <v>2.8548469670495202E-3</v>
      </c>
      <c r="B175" s="73">
        <v>7.9245575399269404E-3</v>
      </c>
      <c r="C175" s="73">
        <v>2.1306958529263599E-2</v>
      </c>
      <c r="D175" s="73">
        <v>2.14833879994034E-2</v>
      </c>
      <c r="E175" s="73">
        <v>2.0547855013869399E-2</v>
      </c>
      <c r="F175" s="73" t="s">
        <v>2296</v>
      </c>
      <c r="G175" t="s">
        <v>2123</v>
      </c>
    </row>
    <row r="176" spans="1:7" x14ac:dyDescent="0.3">
      <c r="A176">
        <v>1.6326843500240801E-2</v>
      </c>
      <c r="B176" s="73">
        <v>1.3006397529373E-2</v>
      </c>
      <c r="C176" s="73">
        <v>3.2055840580270702E-2</v>
      </c>
      <c r="D176" s="73">
        <v>3.4225885044726997E-2</v>
      </c>
      <c r="E176" s="73">
        <v>2.1723337040250802E-2</v>
      </c>
      <c r="F176" s="73" t="s">
        <v>2297</v>
      </c>
      <c r="G176" t="s">
        <v>2123</v>
      </c>
    </row>
    <row r="177" spans="1:7" x14ac:dyDescent="0.3">
      <c r="A177">
        <v>1.6859105016114002E-2</v>
      </c>
      <c r="B177" s="73">
        <v>6.2259222369993199E-2</v>
      </c>
      <c r="C177" s="73">
        <v>2.2986114650760201E-2</v>
      </c>
      <c r="D177" s="73">
        <v>2.1461497744286601E-2</v>
      </c>
      <c r="E177" s="73">
        <v>3.0554089712781E-2</v>
      </c>
      <c r="F177" s="73" t="s">
        <v>2298</v>
      </c>
      <c r="G177" t="s">
        <v>2123</v>
      </c>
    </row>
    <row r="178" spans="1:7" x14ac:dyDescent="0.3">
      <c r="A178">
        <v>1.93744928521071E-2</v>
      </c>
      <c r="B178" s="73">
        <v>-1.02831916231174E-2</v>
      </c>
      <c r="C178" s="73">
        <v>3.2089816475630001E-2</v>
      </c>
      <c r="D178" s="73">
        <v>3.4027993671362999E-2</v>
      </c>
      <c r="E178" s="73">
        <v>2.27077607090642E-2</v>
      </c>
      <c r="F178" s="73" t="s">
        <v>2299</v>
      </c>
      <c r="G178" t="s">
        <v>2123</v>
      </c>
    </row>
    <row r="179" spans="1:7" x14ac:dyDescent="0.3">
      <c r="A179">
        <v>2.0192934056340501E-2</v>
      </c>
      <c r="B179" s="73">
        <v>1.7798477087045E-2</v>
      </c>
      <c r="C179" s="73">
        <v>1.3650570477194099E-2</v>
      </c>
      <c r="D179" s="73">
        <v>1.2683683496116101E-2</v>
      </c>
      <c r="E179" s="73">
        <v>1.8378329285591199E-2</v>
      </c>
      <c r="F179" s="73" t="s">
        <v>2300</v>
      </c>
      <c r="G179" t="s">
        <v>2123</v>
      </c>
    </row>
    <row r="180" spans="1:7" x14ac:dyDescent="0.3">
      <c r="A180">
        <v>1.13601398604235E-2</v>
      </c>
      <c r="B180" s="73">
        <v>1.8827452214838801E-2</v>
      </c>
      <c r="C180" s="73">
        <v>2.2480483340501001E-2</v>
      </c>
      <c r="D180" s="73">
        <v>2.3098181930942801E-2</v>
      </c>
      <c r="E180" s="73">
        <v>1.94654703730235E-2</v>
      </c>
      <c r="F180" s="73" t="s">
        <v>2301</v>
      </c>
      <c r="G180" t="s">
        <v>2123</v>
      </c>
    </row>
    <row r="181" spans="1:7" x14ac:dyDescent="0.3">
      <c r="A181">
        <v>-4.6048768205230201E-3</v>
      </c>
      <c r="B181" s="73">
        <v>5.3720415632923001E-3</v>
      </c>
      <c r="C181" s="73">
        <v>-1.35664737790564E-3</v>
      </c>
      <c r="D181" s="73">
        <v>-3.1150724387948299E-3</v>
      </c>
      <c r="E181" s="73">
        <v>7.0678568534106E-3</v>
      </c>
      <c r="F181" s="73" t="s">
        <v>2302</v>
      </c>
      <c r="G181" t="s">
        <v>2123</v>
      </c>
    </row>
    <row r="182" spans="1:7" x14ac:dyDescent="0.3">
      <c r="A182">
        <v>-1.65067373701384E-2</v>
      </c>
      <c r="B182" s="73">
        <v>-6.4248737444822001E-3</v>
      </c>
      <c r="C182" s="73">
        <v>-3.2706239119787997E-2</v>
      </c>
      <c r="D182" s="73">
        <v>-3.9305105462135198E-2</v>
      </c>
      <c r="E182" s="73">
        <v>-1.18502082280647E-3</v>
      </c>
      <c r="F182" s="73" t="s">
        <v>2303</v>
      </c>
      <c r="G182" t="s">
        <v>2123</v>
      </c>
    </row>
    <row r="183" spans="1:7" x14ac:dyDescent="0.3">
      <c r="A183">
        <v>1.9548766403745001E-2</v>
      </c>
      <c r="B183" s="73">
        <v>7.87290366046434E-3</v>
      </c>
      <c r="C183" s="73">
        <v>2.6384745223831701E-2</v>
      </c>
      <c r="D183" s="73">
        <v>2.82887807392058E-2</v>
      </c>
      <c r="E183" s="73">
        <v>1.76749178700988E-2</v>
      </c>
      <c r="F183" s="73" t="s">
        <v>2304</v>
      </c>
      <c r="G183" t="s">
        <v>2123</v>
      </c>
    </row>
    <row r="184" spans="1:7" x14ac:dyDescent="0.3">
      <c r="A184">
        <v>9.6917092109320997E-3</v>
      </c>
      <c r="B184" s="73">
        <v>6.1419866574232698E-3</v>
      </c>
      <c r="C184" s="73">
        <v>4.0111960578135299E-3</v>
      </c>
      <c r="D184" s="73">
        <v>2.4162101667697402E-3</v>
      </c>
      <c r="E184" s="73">
        <v>1.1398511762960899E-2</v>
      </c>
      <c r="F184" s="73" t="s">
        <v>2305</v>
      </c>
      <c r="G184" t="s">
        <v>2123</v>
      </c>
    </row>
    <row r="185" spans="1:7" x14ac:dyDescent="0.3">
      <c r="A185">
        <v>-3.9403871252573497E-3</v>
      </c>
      <c r="B185" s="73">
        <v>-3.1716537268759999E-3</v>
      </c>
      <c r="C185" s="73">
        <v>-1.32955897973415E-2</v>
      </c>
      <c r="D185" s="73">
        <v>-1.5664221695060501E-2</v>
      </c>
      <c r="E185" s="73">
        <v>-2.2010123911118101E-3</v>
      </c>
      <c r="F185" s="73" t="s">
        <v>2306</v>
      </c>
      <c r="G185" t="s">
        <v>2123</v>
      </c>
    </row>
    <row r="186" spans="1:7" x14ac:dyDescent="0.3">
      <c r="A186">
        <v>2.1316685833889801E-3</v>
      </c>
      <c r="B186" s="73">
        <v>-9.9615046560082004E-3</v>
      </c>
      <c r="C186" s="73">
        <v>-2.9400798500526501E-2</v>
      </c>
      <c r="D186" s="73">
        <v>-3.3665208430493802E-2</v>
      </c>
      <c r="E186" s="73">
        <v>-9.6550430027560995E-3</v>
      </c>
      <c r="F186" s="73" t="s">
        <v>2307</v>
      </c>
      <c r="G186" t="s">
        <v>2123</v>
      </c>
    </row>
    <row r="187" spans="1:7" x14ac:dyDescent="0.3">
      <c r="A187">
        <v>2.5357857709627601E-2</v>
      </c>
      <c r="B187" s="73">
        <v>2.1698746196001199E-2</v>
      </c>
      <c r="C187" s="73">
        <v>3.1150112025238399E-2</v>
      </c>
      <c r="D187" s="73">
        <v>3.0770998377488399E-2</v>
      </c>
      <c r="E187" s="73">
        <v>3.3008554152673703E-2</v>
      </c>
      <c r="F187" s="73" t="s">
        <v>2308</v>
      </c>
      <c r="G187" t="s">
        <v>2123</v>
      </c>
    </row>
    <row r="188" spans="1:7" x14ac:dyDescent="0.3">
      <c r="A188">
        <v>1.5085753101185199E-2</v>
      </c>
      <c r="B188" s="73">
        <v>1.5625918949128799E-2</v>
      </c>
      <c r="C188" s="73">
        <v>1.3242458778771201E-2</v>
      </c>
      <c r="D188" s="73">
        <v>1.5469326265677499E-2</v>
      </c>
      <c r="E188" s="73">
        <v>3.0262315011426702E-3</v>
      </c>
      <c r="F188" s="73" t="s">
        <v>2309</v>
      </c>
      <c r="G188" t="s">
        <v>2123</v>
      </c>
    </row>
    <row r="189" spans="1:7" x14ac:dyDescent="0.3">
      <c r="A189">
        <v>1.9065277405527499E-2</v>
      </c>
      <c r="B189" s="73">
        <v>1.9426037707255001E-2</v>
      </c>
      <c r="C189" s="73">
        <v>1.9732026701747798E-2</v>
      </c>
      <c r="D189" s="73">
        <v>1.98067429774604E-2</v>
      </c>
      <c r="E189" s="73">
        <v>1.9471921944120799E-2</v>
      </c>
      <c r="F189" s="73" t="s">
        <v>2310</v>
      </c>
      <c r="G189" t="s">
        <v>2123</v>
      </c>
    </row>
    <row r="190" spans="1:7" x14ac:dyDescent="0.3">
      <c r="A190">
        <v>2.3896314746341098E-2</v>
      </c>
      <c r="B190" s="73">
        <v>1.9409885132803301E-2</v>
      </c>
      <c r="C190" s="73">
        <v>3.7278658950123902E-2</v>
      </c>
      <c r="D190" s="73">
        <v>3.9514900887574103E-2</v>
      </c>
      <c r="E190" s="73">
        <v>2.7099611156277601E-2</v>
      </c>
      <c r="F190" s="73" t="s">
        <v>2311</v>
      </c>
      <c r="G190" t="s">
        <v>2123</v>
      </c>
    </row>
    <row r="191" spans="1:7" x14ac:dyDescent="0.3">
      <c r="A191">
        <v>9.9328007831764892E-3</v>
      </c>
      <c r="B191" s="73">
        <v>1.3103273651826199E-2</v>
      </c>
      <c r="C191" s="73">
        <v>1.12864434786104E-2</v>
      </c>
      <c r="D191" s="73">
        <v>9.0306358829268501E-3</v>
      </c>
      <c r="E191" s="73">
        <v>2.1521193573355E-2</v>
      </c>
      <c r="F191" s="73" t="s">
        <v>2312</v>
      </c>
      <c r="G191" t="s">
        <v>2123</v>
      </c>
    </row>
    <row r="192" spans="1:7" x14ac:dyDescent="0.3">
      <c r="A192">
        <v>1.4603017582518699E-2</v>
      </c>
      <c r="B192" s="73">
        <v>1.7788818797953999E-2</v>
      </c>
      <c r="C192" s="73">
        <v>3.6562690512580202E-2</v>
      </c>
      <c r="D192" s="73">
        <v>3.6635495652026999E-2</v>
      </c>
      <c r="E192" s="73">
        <v>3.6311211479282998E-2</v>
      </c>
      <c r="F192" s="73" t="s">
        <v>2313</v>
      </c>
      <c r="G192" t="s">
        <v>2123</v>
      </c>
    </row>
    <row r="193" spans="1:7" x14ac:dyDescent="0.3">
      <c r="A193">
        <v>2.5719713356744601E-2</v>
      </c>
      <c r="B193" s="73">
        <v>2.90667642529692E-2</v>
      </c>
      <c r="C193" s="73">
        <v>5.0774987871551797E-2</v>
      </c>
      <c r="D193" s="73">
        <v>5.7042627848445E-2</v>
      </c>
      <c r="E193" s="73">
        <v>2.3197124388088401E-2</v>
      </c>
      <c r="F193" s="73" t="s">
        <v>2314</v>
      </c>
      <c r="G193" t="s">
        <v>2123</v>
      </c>
    </row>
    <row r="194" spans="1:7" x14ac:dyDescent="0.3">
      <c r="A194">
        <v>2.9147369447939799E-2</v>
      </c>
      <c r="B194" s="73">
        <v>4.11537159385129E-2</v>
      </c>
      <c r="C194" s="73">
        <v>4.9648850800065397E-2</v>
      </c>
      <c r="D194" s="73">
        <v>5.2316315130779299E-2</v>
      </c>
      <c r="E194" s="73">
        <v>3.8107075575473298E-2</v>
      </c>
      <c r="F194" s="73" t="s">
        <v>2315</v>
      </c>
      <c r="G194" t="s">
        <v>2123</v>
      </c>
    </row>
    <row r="195" spans="1:7" x14ac:dyDescent="0.3">
      <c r="A195">
        <v>2.1663179127611398E-2</v>
      </c>
      <c r="B195" s="73">
        <v>2.95524402709311E-2</v>
      </c>
      <c r="C195" s="73">
        <v>4.43236674984493E-2</v>
      </c>
      <c r="D195" s="73">
        <v>4.1414814571916599E-2</v>
      </c>
      <c r="E195" s="73">
        <v>5.71493007542314E-2</v>
      </c>
      <c r="F195" s="73" t="s">
        <v>2316</v>
      </c>
      <c r="G195" t="s">
        <v>2123</v>
      </c>
    </row>
    <row r="196" spans="1:7" x14ac:dyDescent="0.3">
      <c r="A196">
        <v>1.4350946991545E-2</v>
      </c>
      <c r="B196" s="73">
        <v>2.3387558006987101E-2</v>
      </c>
      <c r="C196" s="73">
        <v>3.7181249340460402E-2</v>
      </c>
      <c r="D196" s="73">
        <v>3.8836746328921902E-2</v>
      </c>
      <c r="E196" s="73">
        <v>2.9745006586506799E-2</v>
      </c>
      <c r="F196" s="73" t="s">
        <v>2317</v>
      </c>
      <c r="G196" t="s">
        <v>2123</v>
      </c>
    </row>
    <row r="197" spans="1:7" x14ac:dyDescent="0.3">
      <c r="A197">
        <v>1.51565091171486E-2</v>
      </c>
      <c r="B197" s="73">
        <v>2.9652502701153601E-2</v>
      </c>
      <c r="C197" s="73">
        <v>2.0739486303196001E-2</v>
      </c>
      <c r="D197" s="73">
        <v>1.6036274889288799E-2</v>
      </c>
      <c r="E197" s="73">
        <v>4.1912016313216102E-2</v>
      </c>
      <c r="F197" s="73" t="s">
        <v>2318</v>
      </c>
      <c r="G197" t="s">
        <v>2123</v>
      </c>
    </row>
    <row r="198" spans="1:7" x14ac:dyDescent="0.3">
      <c r="A198">
        <v>8.3593342288621492E-3</v>
      </c>
      <c r="B198" s="73">
        <v>4.3357912415273203E-2</v>
      </c>
      <c r="C198" s="73">
        <v>-1.09099553725475E-2</v>
      </c>
      <c r="D198" s="73">
        <v>-1.6750426853228501E-2</v>
      </c>
      <c r="E198" s="73">
        <v>1.5721372171975601E-2</v>
      </c>
      <c r="F198" s="73" t="s">
        <v>2319</v>
      </c>
      <c r="G198" t="s">
        <v>2123</v>
      </c>
    </row>
    <row r="199" spans="1:7" x14ac:dyDescent="0.3">
      <c r="A199">
        <v>2.4734353401226102E-2</v>
      </c>
      <c r="B199" s="73">
        <v>-2.6343933972632301E-2</v>
      </c>
      <c r="C199" s="73">
        <v>2.9915559028399701E-2</v>
      </c>
      <c r="D199" s="73">
        <v>2.5813818283005E-2</v>
      </c>
      <c r="E199" s="73">
        <v>4.8037769815769002E-2</v>
      </c>
      <c r="F199" s="73" t="s">
        <v>2320</v>
      </c>
      <c r="G199" t="s">
        <v>2123</v>
      </c>
    </row>
    <row r="200" spans="1:7" x14ac:dyDescent="0.3">
      <c r="A200">
        <v>1.0490970472330399E-2</v>
      </c>
      <c r="B200" s="73">
        <v>1.0018821110834301E-2</v>
      </c>
      <c r="C200" s="73">
        <v>1.05275597064789E-2</v>
      </c>
      <c r="D200" s="73">
        <v>8.6124156242581903E-3</v>
      </c>
      <c r="E200" s="73">
        <v>1.9083730667159401E-2</v>
      </c>
      <c r="F200" s="73" t="s">
        <v>2321</v>
      </c>
      <c r="G200" t="s">
        <v>2123</v>
      </c>
    </row>
    <row r="201" spans="1:7" x14ac:dyDescent="0.3">
      <c r="A201">
        <v>1.45690487077856E-2</v>
      </c>
      <c r="B201" s="73">
        <v>1.6245763277308499E-2</v>
      </c>
      <c r="C201" s="73">
        <v>1.49197048908958E-2</v>
      </c>
      <c r="D201" s="73">
        <v>1.6996215944869601E-2</v>
      </c>
      <c r="E201" s="73">
        <v>5.8979339636946503E-3</v>
      </c>
      <c r="F201" s="73" t="s">
        <v>2322</v>
      </c>
      <c r="G201" t="s">
        <v>2123</v>
      </c>
    </row>
    <row r="202" spans="1:7" x14ac:dyDescent="0.3">
      <c r="A202">
        <v>1.46624987744557E-2</v>
      </c>
      <c r="B202" s="73">
        <v>1.3591255249432201E-2</v>
      </c>
      <c r="C202" s="73">
        <v>4.3158369252632098E-2</v>
      </c>
      <c r="D202" s="73">
        <v>5.0660572456327199E-2</v>
      </c>
      <c r="E202" s="73">
        <v>1.0418465412080901E-2</v>
      </c>
      <c r="F202" s="73" t="s">
        <v>2323</v>
      </c>
      <c r="G202" t="s">
        <v>2123</v>
      </c>
    </row>
    <row r="203" spans="1:7" x14ac:dyDescent="0.3">
      <c r="A203">
        <v>-1.7940859457881899E-2</v>
      </c>
      <c r="B203" s="73">
        <v>3.31045118831508E-3</v>
      </c>
      <c r="C203" s="73">
        <v>-2.2930962354547101E-3</v>
      </c>
      <c r="D203" s="73">
        <v>-1.06133933402519E-3</v>
      </c>
      <c r="E203" s="73">
        <v>-7.65559802497651E-3</v>
      </c>
      <c r="F203" s="73" t="s">
        <v>2324</v>
      </c>
      <c r="G203" t="s">
        <v>2123</v>
      </c>
    </row>
    <row r="204" spans="1:7" x14ac:dyDescent="0.3">
      <c r="A204">
        <v>3.3775526155126898E-2</v>
      </c>
      <c r="B204" s="73">
        <v>2.5959727144998501E-2</v>
      </c>
      <c r="C204" s="73">
        <v>3.5878370959533598E-2</v>
      </c>
      <c r="D204" s="73">
        <v>3.4596703938155803E-2</v>
      </c>
      <c r="E204" s="73">
        <v>4.1355015452944698E-2</v>
      </c>
      <c r="F204" s="73" t="s">
        <v>2325</v>
      </c>
      <c r="G204" t="s">
        <v>2123</v>
      </c>
    </row>
    <row r="205" spans="1:7" x14ac:dyDescent="0.3">
      <c r="A205">
        <v>1.6442937470855502E-2</v>
      </c>
      <c r="B205" s="73">
        <v>2.4447407360365301E-2</v>
      </c>
      <c r="C205" s="73">
        <v>4.55348943874712E-2</v>
      </c>
      <c r="D205" s="73">
        <v>5.1547958936444697E-2</v>
      </c>
      <c r="E205" s="73">
        <v>1.8415186976738801E-2</v>
      </c>
      <c r="F205" s="73" t="s">
        <v>2326</v>
      </c>
      <c r="G205" t="s">
        <v>2123</v>
      </c>
    </row>
    <row r="206" spans="1:7" x14ac:dyDescent="0.3">
      <c r="A206">
        <v>4.5025943450948999E-2</v>
      </c>
      <c r="B206" s="73">
        <v>4.0827649049089101E-2</v>
      </c>
      <c r="C206" s="73">
        <v>8.7714323909891603E-2</v>
      </c>
      <c r="D206" s="73">
        <v>9.2834286401326696E-2</v>
      </c>
      <c r="E206" s="73">
        <v>6.4160755006020101E-2</v>
      </c>
      <c r="F206" s="73" t="s">
        <v>2327</v>
      </c>
      <c r="G206" t="s">
        <v>2123</v>
      </c>
    </row>
    <row r="207" spans="1:7" x14ac:dyDescent="0.3">
      <c r="A207">
        <v>6.4441802743663304E-2</v>
      </c>
      <c r="B207" s="73">
        <v>4.1247362410053098E-2</v>
      </c>
      <c r="C207" s="73">
        <v>8.4888593948209398E-2</v>
      </c>
      <c r="D207" s="73">
        <v>8.0575514620662397E-2</v>
      </c>
      <c r="E207" s="73">
        <v>0.104589902157439</v>
      </c>
      <c r="F207" s="73" t="s">
        <v>2328</v>
      </c>
      <c r="G207" t="s">
        <v>2123</v>
      </c>
    </row>
    <row r="208" spans="1:7" x14ac:dyDescent="0.3">
      <c r="A208">
        <v>5.5998846943190198E-2</v>
      </c>
      <c r="B208" s="73">
        <v>4.40178580952795E-2</v>
      </c>
      <c r="C208" s="73">
        <v>6.9703587118332494E-2</v>
      </c>
      <c r="D208" s="73">
        <v>6.4680375979367696E-2</v>
      </c>
      <c r="E208" s="73">
        <v>9.3631239224950299E-2</v>
      </c>
      <c r="F208" s="73" t="s">
        <v>2329</v>
      </c>
      <c r="G208" t="s">
        <v>2123</v>
      </c>
    </row>
    <row r="209" spans="1:7" x14ac:dyDescent="0.3">
      <c r="A209">
        <v>6.1859650545573498E-2</v>
      </c>
      <c r="B209" s="73">
        <v>4.34322998250962E-2</v>
      </c>
      <c r="C209" s="73">
        <v>9.0463399615994505E-2</v>
      </c>
      <c r="D209" s="73">
        <v>8.4136934840178798E-2</v>
      </c>
      <c r="E209" s="73">
        <v>0.12124821634027599</v>
      </c>
      <c r="F209" s="73" t="s">
        <v>2330</v>
      </c>
      <c r="G209" t="s">
        <v>2123</v>
      </c>
    </row>
    <row r="210" spans="1:7" x14ac:dyDescent="0.3">
      <c r="A210">
        <v>7.4784916271317198E-2</v>
      </c>
      <c r="B210" s="73">
        <v>5.6798579453040801E-2</v>
      </c>
      <c r="C210" s="73">
        <v>0.10558682780244399</v>
      </c>
      <c r="D210" s="73">
        <v>0.10120576467409099</v>
      </c>
      <c r="E210" s="73">
        <v>0.12687792670398401</v>
      </c>
      <c r="F210" s="73" t="s">
        <v>2331</v>
      </c>
      <c r="G210" t="s">
        <v>2123</v>
      </c>
    </row>
    <row r="211" spans="1:7" x14ac:dyDescent="0.3">
      <c r="A211">
        <v>7.2922192171477093E-2</v>
      </c>
      <c r="B211" s="73">
        <v>5.9959109255099501E-2</v>
      </c>
      <c r="C211" s="73">
        <v>0.149798907045571</v>
      </c>
      <c r="D211" s="73">
        <v>0.15221841372862299</v>
      </c>
      <c r="E211" s="73">
        <v>0.13796693794697101</v>
      </c>
      <c r="F211" s="73" t="s">
        <v>2332</v>
      </c>
      <c r="G211" t="s">
        <v>2123</v>
      </c>
    </row>
    <row r="212" spans="1:7" x14ac:dyDescent="0.3">
      <c r="A212">
        <v>4.26048200328299E-2</v>
      </c>
      <c r="B212" s="73">
        <v>5.1292511520088402E-2</v>
      </c>
      <c r="C212" s="73">
        <v>2.8697836952582101E-2</v>
      </c>
      <c r="D212" s="73">
        <v>1.6037759684283601E-2</v>
      </c>
      <c r="E212" s="73">
        <v>9.3362038055906399E-2</v>
      </c>
      <c r="F212" s="73" t="s">
        <v>2333</v>
      </c>
      <c r="G212" t="s">
        <v>2123</v>
      </c>
    </row>
    <row r="213" spans="1:7" x14ac:dyDescent="0.3">
      <c r="A213">
        <v>2.7447616796656402E-2</v>
      </c>
      <c r="B213" s="73">
        <v>2.3249618404576101E-2</v>
      </c>
      <c r="C213" s="73">
        <v>3.8298767461848897E-2</v>
      </c>
      <c r="D213" s="73">
        <v>3.8298767461848897E-2</v>
      </c>
      <c r="E213" s="73">
        <v>3.8298767461848897E-2</v>
      </c>
      <c r="F213" s="73" t="s">
        <v>2334</v>
      </c>
      <c r="G213" t="s">
        <v>2335</v>
      </c>
    </row>
    <row r="214" spans="1:7" x14ac:dyDescent="0.3">
      <c r="A214">
        <v>2.49173870638888E-2</v>
      </c>
      <c r="B214" s="73">
        <v>2.1715756912072299E-2</v>
      </c>
      <c r="C214" s="73">
        <v>3.6085750781477598E-2</v>
      </c>
      <c r="D214" s="73">
        <v>3.6085750781477598E-2</v>
      </c>
      <c r="E214" s="73">
        <v>3.6085750781477598E-2</v>
      </c>
      <c r="F214" s="73" t="s">
        <v>2336</v>
      </c>
      <c r="G214" t="s">
        <v>2335</v>
      </c>
    </row>
    <row r="215" spans="1:7" x14ac:dyDescent="0.3">
      <c r="A215">
        <v>2.33440010578361E-2</v>
      </c>
      <c r="B215" s="73">
        <v>2.1485909848918801E-2</v>
      </c>
      <c r="C215" s="73">
        <v>3.2005284910624002E-2</v>
      </c>
      <c r="D215" s="73">
        <v>3.2005284910624002E-2</v>
      </c>
      <c r="E215" s="73">
        <v>3.2005284910624002E-2</v>
      </c>
      <c r="F215" s="73" t="s">
        <v>2337</v>
      </c>
      <c r="G215" t="s">
        <v>2335</v>
      </c>
    </row>
    <row r="216" spans="1:7" x14ac:dyDescent="0.3">
      <c r="A216">
        <v>2.2676579457354702E-2</v>
      </c>
      <c r="B216" s="73">
        <v>2.1729771469873E-2</v>
      </c>
      <c r="C216" s="73">
        <v>2.9538555790939999E-2</v>
      </c>
      <c r="D216" s="73">
        <v>2.9538555790939999E-2</v>
      </c>
      <c r="E216" s="73">
        <v>2.9538555790939999E-2</v>
      </c>
      <c r="F216" s="73" t="s">
        <v>2338</v>
      </c>
      <c r="G216" t="s">
        <v>2335</v>
      </c>
    </row>
    <row r="217" spans="1:7" x14ac:dyDescent="0.3">
      <c r="A217">
        <v>2.2178287431426899E-2</v>
      </c>
      <c r="B217" s="73">
        <v>2.22727407121028E-2</v>
      </c>
      <c r="C217" s="73">
        <v>2.8512142036472E-2</v>
      </c>
      <c r="D217" s="73">
        <v>2.8512142036472E-2</v>
      </c>
      <c r="E217" s="73">
        <v>2.8512142036472E-2</v>
      </c>
      <c r="F217" s="73" t="s">
        <v>2339</v>
      </c>
      <c r="G217" t="s">
        <v>2335</v>
      </c>
    </row>
    <row r="218" spans="1:7" x14ac:dyDescent="0.3">
      <c r="A218">
        <v>2.1434276652948898E-2</v>
      </c>
      <c r="B218" s="73">
        <v>2.23623952750127E-2</v>
      </c>
      <c r="C218" s="73">
        <v>2.8283584176253401E-2</v>
      </c>
      <c r="D218" s="73">
        <v>2.8283584176253401E-2</v>
      </c>
      <c r="E218" s="73">
        <v>2.8283584176253401E-2</v>
      </c>
      <c r="F218" s="73" t="s">
        <v>2340</v>
      </c>
      <c r="G218" t="s">
        <v>2335</v>
      </c>
    </row>
    <row r="219" spans="1:7" x14ac:dyDescent="0.3">
      <c r="A219">
        <v>2.10072065089228E-2</v>
      </c>
      <c r="B219" s="73">
        <v>2.2496789219665199E-2</v>
      </c>
      <c r="C219" s="73">
        <v>2.7654852328046001E-2</v>
      </c>
      <c r="D219" s="73">
        <v>2.7654852328046001E-2</v>
      </c>
      <c r="E219" s="73">
        <v>2.7654852328046001E-2</v>
      </c>
      <c r="F219" s="73" t="s">
        <v>2341</v>
      </c>
      <c r="G219" t="s">
        <v>2335</v>
      </c>
    </row>
    <row r="220" spans="1:7" x14ac:dyDescent="0.3">
      <c r="A220">
        <v>2.0591622707038602E-2</v>
      </c>
      <c r="B220" s="73">
        <v>2.25123599902981E-2</v>
      </c>
      <c r="C220" s="73">
        <v>2.7753662335143502E-2</v>
      </c>
      <c r="D220" s="73">
        <v>2.7753662335143502E-2</v>
      </c>
      <c r="E220" s="73">
        <v>2.7753662335143502E-2</v>
      </c>
      <c r="F220" s="73" t="s">
        <v>2342</v>
      </c>
      <c r="G220" t="s">
        <v>2335</v>
      </c>
    </row>
    <row r="221" spans="1:7" x14ac:dyDescent="0.3">
      <c r="A221">
        <v>2.0347186911993099E-2</v>
      </c>
      <c r="B221" s="73">
        <v>2.2891901714989799E-2</v>
      </c>
      <c r="C221" s="73">
        <v>2.8110399323646899E-2</v>
      </c>
      <c r="D221" s="73">
        <v>2.8110399323646899E-2</v>
      </c>
      <c r="E221" s="73">
        <v>2.8110399323646899E-2</v>
      </c>
      <c r="F221" s="73" t="s">
        <v>2343</v>
      </c>
      <c r="G221" t="s">
        <v>2335</v>
      </c>
    </row>
    <row r="222" spans="1:7" x14ac:dyDescent="0.3">
      <c r="A222">
        <v>2.03844462174123E-2</v>
      </c>
      <c r="B222" s="73">
        <v>2.2688598137850801E-2</v>
      </c>
      <c r="C222" s="73">
        <v>2.89673943247446E-2</v>
      </c>
      <c r="D222" s="73">
        <v>2.89673943247446E-2</v>
      </c>
      <c r="E222" s="73">
        <v>2.89673943247446E-2</v>
      </c>
      <c r="F222" s="73" t="s">
        <v>2344</v>
      </c>
      <c r="G222" t="s">
        <v>2335</v>
      </c>
    </row>
    <row r="223" spans="1:7" x14ac:dyDescent="0.3">
      <c r="A223">
        <v>2.02121429685698E-2</v>
      </c>
      <c r="B223" s="73">
        <v>2.2861927422401802E-2</v>
      </c>
      <c r="C223" s="73">
        <v>2.97171972862664E-2</v>
      </c>
      <c r="D223" s="73">
        <v>2.97171972862664E-2</v>
      </c>
      <c r="E223" s="73">
        <v>2.97171972862664E-2</v>
      </c>
      <c r="F223" s="73" t="s">
        <v>2345</v>
      </c>
      <c r="G223" t="s">
        <v>2335</v>
      </c>
    </row>
    <row r="224" spans="1:7" x14ac:dyDescent="0.3">
      <c r="A224">
        <v>2.00951255413373E-2</v>
      </c>
      <c r="B224" s="73">
        <v>2.2789213164977801E-2</v>
      </c>
      <c r="C224" s="73">
        <v>2.9972823640437098E-2</v>
      </c>
      <c r="D224" s="73">
        <v>2.9972823640437098E-2</v>
      </c>
      <c r="E224" s="73">
        <v>2.9972823640437098E-2</v>
      </c>
      <c r="F224" s="73" t="s">
        <v>2346</v>
      </c>
      <c r="G224" t="s">
        <v>2335</v>
      </c>
    </row>
    <row r="225" spans="1:7" x14ac:dyDescent="0.3">
      <c r="A225">
        <v>2.0005533751415599E-2</v>
      </c>
      <c r="B225" s="73">
        <v>2.30067515754304E-2</v>
      </c>
      <c r="C225" s="73">
        <v>3.0378543432117301E-2</v>
      </c>
      <c r="D225" s="73">
        <v>3.0378543432117301E-2</v>
      </c>
      <c r="E225" s="73">
        <v>3.0378543432117301E-2</v>
      </c>
      <c r="F225" s="73" t="s">
        <v>2347</v>
      </c>
      <c r="G225" t="s">
        <v>2335</v>
      </c>
    </row>
    <row r="226" spans="1:7" x14ac:dyDescent="0.3">
      <c r="A226">
        <v>1.9992497685795502E-2</v>
      </c>
      <c r="B226" s="73">
        <v>2.28689196510703E-2</v>
      </c>
      <c r="C226" s="73">
        <v>3.0384347471833498E-2</v>
      </c>
      <c r="D226" s="73">
        <v>3.0384347471833498E-2</v>
      </c>
      <c r="E226" s="73">
        <v>3.0384347471833498E-2</v>
      </c>
      <c r="F226" s="73" t="s">
        <v>2348</v>
      </c>
      <c r="G226" t="s">
        <v>2335</v>
      </c>
    </row>
    <row r="227" spans="1:7" x14ac:dyDescent="0.3">
      <c r="A227">
        <v>1.99491524210023E-2</v>
      </c>
      <c r="B227" s="73">
        <v>2.2952518060170599E-2</v>
      </c>
      <c r="C227" s="73">
        <v>3.0780667439755299E-2</v>
      </c>
      <c r="D227" s="73">
        <v>3.0780667439755299E-2</v>
      </c>
      <c r="E227" s="73">
        <v>3.0780667439755299E-2</v>
      </c>
      <c r="F227" s="73" t="s">
        <v>2349</v>
      </c>
      <c r="G227" t="s">
        <v>2335</v>
      </c>
    </row>
    <row r="228" spans="1:7" x14ac:dyDescent="0.3">
      <c r="A228">
        <v>1.99785657506244E-2</v>
      </c>
      <c r="B228" s="73">
        <v>2.3092018308592099E-2</v>
      </c>
      <c r="C228" s="73">
        <v>3.09234356698747E-2</v>
      </c>
      <c r="D228" s="73">
        <v>3.09234356698747E-2</v>
      </c>
      <c r="E228" s="73">
        <v>3.09234356698747E-2</v>
      </c>
      <c r="F228" s="73" t="s">
        <v>2350</v>
      </c>
      <c r="G228" t="s">
        <v>2335</v>
      </c>
    </row>
    <row r="229" spans="1:7" x14ac:dyDescent="0.3">
      <c r="A229">
        <v>1.9973482507164499E-2</v>
      </c>
      <c r="B229" s="73">
        <v>2.29188557927167E-2</v>
      </c>
      <c r="C229" s="73">
        <v>3.0940126349132901E-2</v>
      </c>
      <c r="D229" s="73">
        <v>3.0940126349132901E-2</v>
      </c>
      <c r="E229" s="73">
        <v>3.0940126349132901E-2</v>
      </c>
      <c r="F229" s="73" t="s">
        <v>2351</v>
      </c>
      <c r="G229" t="s">
        <v>2335</v>
      </c>
    </row>
    <row r="230" spans="1:7" x14ac:dyDescent="0.3">
      <c r="A230">
        <v>2.00262569988248E-2</v>
      </c>
      <c r="B230" s="73">
        <v>2.34219478386497E-2</v>
      </c>
      <c r="C230" s="73">
        <v>3.08963138434795E-2</v>
      </c>
      <c r="D230" s="73">
        <v>3.08963138434795E-2</v>
      </c>
      <c r="E230" s="73">
        <v>3.08963138434795E-2</v>
      </c>
      <c r="F230" s="73" t="s">
        <v>2352</v>
      </c>
      <c r="G230" t="s">
        <v>2335</v>
      </c>
    </row>
    <row r="231" spans="1:7" x14ac:dyDescent="0.3">
      <c r="A231">
        <v>2.0068184200822601E-2</v>
      </c>
      <c r="B231" s="73">
        <v>2.29559923804479E-2</v>
      </c>
      <c r="C231" s="73">
        <v>3.1171169586274899E-2</v>
      </c>
      <c r="D231" s="73">
        <v>3.1171169586274899E-2</v>
      </c>
      <c r="E231" s="73">
        <v>3.1171169586274899E-2</v>
      </c>
      <c r="F231" s="73" t="s">
        <v>2353</v>
      </c>
      <c r="G231" t="s">
        <v>2335</v>
      </c>
    </row>
    <row r="232" spans="1:7" x14ac:dyDescent="0.3">
      <c r="A232">
        <v>2.00733299513789E-2</v>
      </c>
      <c r="B232" s="73">
        <v>2.3089907346120601E-2</v>
      </c>
      <c r="C232" s="73">
        <v>3.11290252355114E-2</v>
      </c>
      <c r="D232" s="73">
        <v>3.11290252355114E-2</v>
      </c>
      <c r="E232" s="73">
        <v>3.11290252355114E-2</v>
      </c>
      <c r="F232" s="73" t="s">
        <v>2354</v>
      </c>
      <c r="G232" t="s">
        <v>2335</v>
      </c>
    </row>
    <row r="233" spans="1:7" x14ac:dyDescent="0.3">
      <c r="A233">
        <v>2.00833471581769E-2</v>
      </c>
      <c r="B233" s="73">
        <v>2.2986135275529802E-2</v>
      </c>
      <c r="C233" s="73">
        <v>3.12799263503531E-2</v>
      </c>
      <c r="D233" s="73">
        <v>3.12799263503531E-2</v>
      </c>
      <c r="E233" s="73">
        <v>3.12799263503531E-2</v>
      </c>
      <c r="F233" s="73" t="s">
        <v>2355</v>
      </c>
      <c r="G233" t="s">
        <v>2335</v>
      </c>
    </row>
    <row r="234" spans="1:7" x14ac:dyDescent="0.3">
      <c r="A234">
        <v>2.0140093939852201E-2</v>
      </c>
      <c r="B234" s="73">
        <v>2.31414769468055E-2</v>
      </c>
      <c r="C234" s="73">
        <v>3.1432246791632999E-2</v>
      </c>
      <c r="D234" s="73">
        <v>3.1432246791632999E-2</v>
      </c>
      <c r="E234" s="73">
        <v>3.1432246791632999E-2</v>
      </c>
      <c r="F234" s="73" t="s">
        <v>2356</v>
      </c>
      <c r="G234" t="s">
        <v>2335</v>
      </c>
    </row>
    <row r="235" spans="1:7" x14ac:dyDescent="0.3">
      <c r="A235">
        <v>2.02021592909249E-2</v>
      </c>
      <c r="B235" s="73">
        <v>2.2984714477401601E-2</v>
      </c>
      <c r="C235" s="73">
        <v>3.1205847095053599E-2</v>
      </c>
      <c r="D235" s="73">
        <v>3.1205847095053599E-2</v>
      </c>
      <c r="E235" s="73">
        <v>3.1205847095053599E-2</v>
      </c>
      <c r="F235" s="73" t="s">
        <v>2357</v>
      </c>
      <c r="G235" t="s">
        <v>2335</v>
      </c>
    </row>
    <row r="236" spans="1:7" x14ac:dyDescent="0.3">
      <c r="A236">
        <v>2.0211898969260102E-2</v>
      </c>
      <c r="B236" s="73">
        <v>2.2913195171825301E-2</v>
      </c>
      <c r="C236" s="73">
        <v>3.14110402970686E-2</v>
      </c>
      <c r="D236" s="73">
        <v>3.14110402970686E-2</v>
      </c>
      <c r="E236" s="73">
        <v>3.14110402970686E-2</v>
      </c>
      <c r="F236" s="73" t="s">
        <v>2358</v>
      </c>
      <c r="G236" t="s">
        <v>2335</v>
      </c>
    </row>
    <row r="237" spans="1:7" x14ac:dyDescent="0.3">
      <c r="A237">
        <v>2.0290430669000999E-2</v>
      </c>
      <c r="B237" s="73">
        <v>2.29758501503456E-2</v>
      </c>
      <c r="C237" s="73">
        <v>3.1565029186180898E-2</v>
      </c>
      <c r="D237" s="73">
        <v>3.1565029186180898E-2</v>
      </c>
      <c r="E237" s="73">
        <v>3.1565029186180898E-2</v>
      </c>
      <c r="F237" s="73" t="s">
        <v>2359</v>
      </c>
      <c r="G237" t="s">
        <v>2335</v>
      </c>
    </row>
    <row r="238" spans="1:7" x14ac:dyDescent="0.3">
      <c r="A238">
        <v>2.0308808571870299E-2</v>
      </c>
      <c r="B238" s="73">
        <v>2.2824531954790599E-2</v>
      </c>
      <c r="C238" s="73">
        <v>3.1531274423854297E-2</v>
      </c>
      <c r="D238" s="73">
        <v>3.1531274423854297E-2</v>
      </c>
      <c r="E238" s="73">
        <v>3.1531274423854297E-2</v>
      </c>
      <c r="F238" s="73" t="s">
        <v>2360</v>
      </c>
      <c r="G238" t="s">
        <v>2335</v>
      </c>
    </row>
    <row r="239" spans="1:7" x14ac:dyDescent="0.3">
      <c r="A239">
        <v>2.03080060292413E-2</v>
      </c>
      <c r="B239" s="73">
        <v>2.2972481063801901E-2</v>
      </c>
      <c r="C239" s="73">
        <v>3.1542996473644003E-2</v>
      </c>
      <c r="D239" s="73">
        <v>3.1542996473644003E-2</v>
      </c>
      <c r="E239" s="73">
        <v>3.1542996473644003E-2</v>
      </c>
      <c r="F239" s="73" t="s">
        <v>2361</v>
      </c>
      <c r="G239" t="s">
        <v>2335</v>
      </c>
    </row>
    <row r="240" spans="1:7" x14ac:dyDescent="0.3">
      <c r="A240">
        <v>2.0323983720006399E-2</v>
      </c>
      <c r="B240" s="73">
        <v>2.2824566637221998E-2</v>
      </c>
      <c r="C240" s="73">
        <v>3.1855243350590097E-2</v>
      </c>
      <c r="D240" s="73">
        <v>3.1855243350590097E-2</v>
      </c>
      <c r="E240" s="73">
        <v>3.1855243350590097E-2</v>
      </c>
      <c r="F240" s="73" t="s">
        <v>2362</v>
      </c>
      <c r="G240" t="s">
        <v>2335</v>
      </c>
    </row>
    <row r="241" spans="1:7" x14ac:dyDescent="0.3">
      <c r="A241">
        <v>2.0325704902500501E-2</v>
      </c>
      <c r="B241" s="73">
        <v>2.2886555231629101E-2</v>
      </c>
      <c r="C241" s="73">
        <v>3.1708818720508798E-2</v>
      </c>
      <c r="D241" s="73">
        <v>3.1708818720508798E-2</v>
      </c>
      <c r="E241" s="73">
        <v>3.1708818720508798E-2</v>
      </c>
      <c r="F241" s="73" t="s">
        <v>2363</v>
      </c>
      <c r="G241" t="s">
        <v>2335</v>
      </c>
    </row>
    <row r="242" spans="1:7" x14ac:dyDescent="0.3">
      <c r="A242">
        <v>2.0305041683886599E-2</v>
      </c>
      <c r="B242" s="73">
        <v>2.29465623765257E-2</v>
      </c>
      <c r="C242" s="73">
        <v>3.1893508731351002E-2</v>
      </c>
      <c r="D242" s="73">
        <v>3.1893508731351002E-2</v>
      </c>
      <c r="E242" s="73">
        <v>3.1893508731351002E-2</v>
      </c>
      <c r="F242" s="73" t="s">
        <v>2364</v>
      </c>
      <c r="G242" t="s">
        <v>2335</v>
      </c>
    </row>
    <row r="243" spans="1:7" x14ac:dyDescent="0.3">
      <c r="A243">
        <v>2.0287096358251301E-2</v>
      </c>
      <c r="B243" s="73">
        <v>2.2798980065175601E-2</v>
      </c>
      <c r="C243" s="73">
        <v>3.1810408581062898E-2</v>
      </c>
      <c r="D243" s="73">
        <v>3.1810408581062898E-2</v>
      </c>
      <c r="E243" s="73">
        <v>3.1810408581062898E-2</v>
      </c>
      <c r="F243" s="73" t="s">
        <v>2365</v>
      </c>
      <c r="G243" t="s">
        <v>2335</v>
      </c>
    </row>
    <row r="244" spans="1:7" x14ac:dyDescent="0.3">
      <c r="A244">
        <v>2.0271579331879098E-2</v>
      </c>
      <c r="B244" s="73">
        <v>2.2857567238674801E-2</v>
      </c>
      <c r="C244" s="73">
        <v>3.1611362599311098E-2</v>
      </c>
      <c r="D244" s="73">
        <v>3.1611362599311098E-2</v>
      </c>
      <c r="E244" s="73">
        <v>3.1611362599311098E-2</v>
      </c>
      <c r="F244" s="73" t="s">
        <v>2366</v>
      </c>
      <c r="G244" t="s">
        <v>2335</v>
      </c>
    </row>
    <row r="245" spans="1:7" x14ac:dyDescent="0.3">
      <c r="A245">
        <v>2.0226750918557398E-2</v>
      </c>
      <c r="B245" s="73">
        <v>2.30078651102898E-2</v>
      </c>
      <c r="C245" s="73">
        <v>3.1895036638032601E-2</v>
      </c>
      <c r="D245" s="73">
        <v>3.1895036638032601E-2</v>
      </c>
      <c r="E245" s="73">
        <v>3.1895036638032601E-2</v>
      </c>
      <c r="F245" s="73" t="s">
        <v>2367</v>
      </c>
      <c r="G245" t="s">
        <v>2335</v>
      </c>
    </row>
    <row r="246" spans="1:7" x14ac:dyDescent="0.3">
      <c r="A246">
        <v>2.0229639632362201E-2</v>
      </c>
      <c r="B246" s="73">
        <v>2.2755662461575201E-2</v>
      </c>
      <c r="C246" s="73">
        <v>3.1906732152356301E-2</v>
      </c>
      <c r="D246" s="73">
        <v>3.1906732152356301E-2</v>
      </c>
      <c r="E246" s="73">
        <v>3.1906732152356301E-2</v>
      </c>
      <c r="F246" s="73" t="s">
        <v>2368</v>
      </c>
      <c r="G246" t="s">
        <v>2335</v>
      </c>
    </row>
    <row r="247" spans="1:7" x14ac:dyDescent="0.3">
      <c r="A247">
        <v>2.0196749252488402E-2</v>
      </c>
      <c r="B247" s="73">
        <v>2.2817811468051102E-2</v>
      </c>
      <c r="C247" s="73">
        <v>3.1666344390047098E-2</v>
      </c>
      <c r="D247" s="73">
        <v>3.1666344390047098E-2</v>
      </c>
      <c r="E247" s="73">
        <v>3.1666344390047098E-2</v>
      </c>
      <c r="F247" s="73" t="s">
        <v>2369</v>
      </c>
      <c r="G247" t="s">
        <v>2335</v>
      </c>
    </row>
    <row r="248" spans="1:7" x14ac:dyDescent="0.3">
      <c r="A248">
        <v>2.0138226913895701E-2</v>
      </c>
      <c r="B248" s="73">
        <v>2.3174738681931199E-2</v>
      </c>
      <c r="C248" s="73">
        <v>3.1749922428638201E-2</v>
      </c>
      <c r="D248" s="73">
        <v>3.1749922428638201E-2</v>
      </c>
      <c r="E248" s="73">
        <v>3.1749922428638201E-2</v>
      </c>
      <c r="F248" s="73" t="s">
        <v>2370</v>
      </c>
      <c r="G248" t="s">
        <v>2335</v>
      </c>
    </row>
    <row r="249" spans="1:7" x14ac:dyDescent="0.3">
      <c r="A249">
        <v>2.0129535533826501E-2</v>
      </c>
      <c r="B249" s="73">
        <v>2.27379267080541E-2</v>
      </c>
      <c r="C249" s="73">
        <v>3.1908648163189397E-2</v>
      </c>
      <c r="D249" s="73">
        <v>3.1908648163189397E-2</v>
      </c>
      <c r="E249" s="73">
        <v>3.1908648163189397E-2</v>
      </c>
      <c r="F249" s="73" t="s">
        <v>2371</v>
      </c>
      <c r="G249" t="s">
        <v>2335</v>
      </c>
    </row>
    <row r="250" spans="1:7" x14ac:dyDescent="0.3">
      <c r="A250">
        <v>2.0106884793451098E-2</v>
      </c>
      <c r="B250" s="73">
        <v>2.3093327603912001E-2</v>
      </c>
      <c r="C250" s="73">
        <v>3.1692204125751702E-2</v>
      </c>
      <c r="D250" s="73">
        <v>3.1692204125751702E-2</v>
      </c>
      <c r="E250" s="73">
        <v>3.1692204125751702E-2</v>
      </c>
      <c r="F250" s="73" t="s">
        <v>2372</v>
      </c>
      <c r="G250" t="s">
        <v>2335</v>
      </c>
    </row>
    <row r="251" spans="1:7" x14ac:dyDescent="0.3">
      <c r="A251">
        <v>2.0037252982960399E-2</v>
      </c>
      <c r="B251" s="73">
        <v>2.2853757020905099E-2</v>
      </c>
      <c r="C251" s="73">
        <v>3.1763978164364597E-2</v>
      </c>
      <c r="D251" s="73">
        <v>3.1763978164364597E-2</v>
      </c>
      <c r="E251" s="73">
        <v>3.1763978164364597E-2</v>
      </c>
      <c r="F251" s="73" t="s">
        <v>2373</v>
      </c>
      <c r="G251" t="s">
        <v>2335</v>
      </c>
    </row>
    <row r="252" spans="1:7" x14ac:dyDescent="0.3">
      <c r="A252">
        <v>2.0056022895238401E-2</v>
      </c>
      <c r="B252" s="73">
        <v>2.2713969923905002E-2</v>
      </c>
      <c r="C252" s="73">
        <v>3.17278315390737E-2</v>
      </c>
      <c r="D252" s="73">
        <v>3.17278315390737E-2</v>
      </c>
      <c r="E252" s="73">
        <v>3.17278315390737E-2</v>
      </c>
      <c r="F252" s="73" t="s">
        <v>2374</v>
      </c>
      <c r="G252" t="s">
        <v>2335</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I442"/>
  <sheetViews>
    <sheetView workbookViewId="0">
      <selection activeCell="L22" sqref="L22"/>
    </sheetView>
  </sheetViews>
  <sheetFormatPr defaultColWidth="11.5546875" defaultRowHeight="14.4" x14ac:dyDescent="0.3"/>
  <sheetData>
    <row r="1" spans="1:9" x14ac:dyDescent="0.3">
      <c r="A1" t="str">
        <f>deflators_raw!A1</f>
        <v>consumption_deflator_growth_ann</v>
      </c>
      <c r="B1" s="36" t="str">
        <f>deflators_raw!B1</f>
        <v>federal_purchases_deflator_growth_ann</v>
      </c>
      <c r="C1" s="36" t="str">
        <f>deflators_raw!C1</f>
        <v>state_purchases_deflator_growth_ann</v>
      </c>
      <c r="D1" s="36" t="str">
        <f>deflators_raw!D1</f>
        <v>consumption_grants_deflator_growth_ann</v>
      </c>
      <c r="E1" s="36" t="str">
        <f>deflators_raw!E1</f>
        <v>investment_grants_deflator_growth_ann</v>
      </c>
      <c r="F1" s="36" t="str">
        <f>deflators_raw!F1</f>
        <v>date</v>
      </c>
      <c r="G1" s="36" t="str">
        <f>deflators_raw!G1</f>
        <v>id</v>
      </c>
      <c r="H1" s="36"/>
      <c r="I1" s="36"/>
    </row>
    <row r="2" spans="1:9" x14ac:dyDescent="0.3">
      <c r="A2" s="36">
        <f>deflators_raw!A2</f>
        <v>4.5079018442711401E-2</v>
      </c>
      <c r="B2" s="36">
        <f>deflators_raw!B2</f>
        <v>5.3878515900577198E-2</v>
      </c>
      <c r="C2" s="36">
        <f>deflators_raw!C2</f>
        <v>8.7669475195773797E-2</v>
      </c>
      <c r="D2" s="36">
        <f>deflators_raw!D2</f>
        <v>8.2063006909154398E-2</v>
      </c>
      <c r="E2" s="36">
        <f>deflators_raw!E2</f>
        <v>0.104421067414309</v>
      </c>
      <c r="F2" s="36" t="str">
        <f>deflators_raw!F2</f>
        <v>1970 Q1</v>
      </c>
      <c r="G2" s="36" t="str">
        <f>deflators_raw!G2</f>
        <v>historical</v>
      </c>
    </row>
    <row r="3" spans="1:9" x14ac:dyDescent="0.3">
      <c r="A3" s="36">
        <f>deflators_raw!A3</f>
        <v>4.5079018442711401E-2</v>
      </c>
      <c r="B3" s="36">
        <f>deflators_raw!B3</f>
        <v>5.3878515900577198E-2</v>
      </c>
      <c r="C3" s="36">
        <f>deflators_raw!C3</f>
        <v>8.7669475195773797E-2</v>
      </c>
      <c r="D3" s="36">
        <f>deflators_raw!D3</f>
        <v>8.2063006909154398E-2</v>
      </c>
      <c r="E3" s="36">
        <f>deflators_raw!E3</f>
        <v>0.104421067414309</v>
      </c>
      <c r="F3" s="36" t="str">
        <f>deflators_raw!F3</f>
        <v>1970 Q2</v>
      </c>
      <c r="G3" s="36" t="str">
        <f>deflators_raw!G3</f>
        <v>historical</v>
      </c>
    </row>
    <row r="4" spans="1:9" x14ac:dyDescent="0.3">
      <c r="A4" s="36">
        <f>deflators_raw!A4</f>
        <v>3.9419555818651898E-2</v>
      </c>
      <c r="B4" s="36">
        <f>deflators_raw!B4</f>
        <v>6.9938689583740596E-2</v>
      </c>
      <c r="C4" s="36">
        <f>deflators_raw!C4</f>
        <v>7.4285235367281197E-2</v>
      </c>
      <c r="D4" s="36">
        <f>deflators_raw!D4</f>
        <v>7.2508506661211405E-2</v>
      </c>
      <c r="E4" s="36">
        <f>deflators_raw!E4</f>
        <v>7.9737360467493398E-2</v>
      </c>
      <c r="F4" s="36" t="str">
        <f>deflators_raw!F4</f>
        <v>1970 Q3</v>
      </c>
      <c r="G4" s="36" t="str">
        <f>deflators_raw!G4</f>
        <v>historical</v>
      </c>
    </row>
    <row r="5" spans="1:9" x14ac:dyDescent="0.3">
      <c r="A5" s="36">
        <f>deflators_raw!A5</f>
        <v>5.2824828770235303E-2</v>
      </c>
      <c r="B5" s="36">
        <f>deflators_raw!B5</f>
        <v>5.1823422551402501E-2</v>
      </c>
      <c r="C5" s="36">
        <f>deflators_raw!C5</f>
        <v>7.7970827818693703E-2</v>
      </c>
      <c r="D5" s="36">
        <f>deflators_raw!D5</f>
        <v>6.9052453854286294E-2</v>
      </c>
      <c r="E5" s="36">
        <f>deflators_raw!E5</f>
        <v>0.10539397910227</v>
      </c>
      <c r="F5" s="36" t="str">
        <f>deflators_raw!F5</f>
        <v>1970 Q4</v>
      </c>
      <c r="G5" s="36" t="str">
        <f>deflators_raw!G5</f>
        <v>historical</v>
      </c>
    </row>
    <row r="6" spans="1:9" x14ac:dyDescent="0.3">
      <c r="A6" s="36">
        <f>deflators_raw!A6</f>
        <v>3.85286878692137E-2</v>
      </c>
      <c r="B6" s="36">
        <f>deflators_raw!B6</f>
        <v>0.132788480581229</v>
      </c>
      <c r="C6" s="36">
        <f>deflators_raw!C6</f>
        <v>9.3760823124779499E-2</v>
      </c>
      <c r="D6" s="36">
        <f>deflators_raw!D6</f>
        <v>0.10231116414477499</v>
      </c>
      <c r="E6" s="36">
        <f>deflators_raw!E6</f>
        <v>6.9175988166702701E-2</v>
      </c>
      <c r="F6" s="36" t="str">
        <f>deflators_raw!F6</f>
        <v>1971 Q1</v>
      </c>
      <c r="G6" s="36" t="str">
        <f>deflators_raw!G6</f>
        <v>historical</v>
      </c>
    </row>
    <row r="7" spans="1:9" x14ac:dyDescent="0.3">
      <c r="A7" s="36">
        <f>deflators_raw!A7</f>
        <v>4.6230845754161802E-2</v>
      </c>
      <c r="B7" s="36">
        <f>deflators_raw!B7</f>
        <v>7.6806429060699302E-2</v>
      </c>
      <c r="C7" s="36">
        <f>deflators_raw!C7</f>
        <v>7.4455751629846495E-2</v>
      </c>
      <c r="D7" s="36">
        <f>deflators_raw!D7</f>
        <v>7.6908368677740299E-2</v>
      </c>
      <c r="E7" s="36">
        <f>deflators_raw!E7</f>
        <v>6.5481053360561203E-2</v>
      </c>
      <c r="F7" s="36" t="str">
        <f>deflators_raw!F7</f>
        <v>1971 Q2</v>
      </c>
      <c r="G7" s="36" t="str">
        <f>deflators_raw!G7</f>
        <v>historical</v>
      </c>
    </row>
    <row r="8" spans="1:9" x14ac:dyDescent="0.3">
      <c r="A8" s="36">
        <f>deflators_raw!A8</f>
        <v>4.0000704948734103E-2</v>
      </c>
      <c r="B8" s="36">
        <f>deflators_raw!B8</f>
        <v>5.9184461037305798E-2</v>
      </c>
      <c r="C8" s="36">
        <f>deflators_raw!C8</f>
        <v>5.75589148550519E-2</v>
      </c>
      <c r="D8" s="36">
        <f>deflators_raw!D8</f>
        <v>6.1773509542664397E-2</v>
      </c>
      <c r="E8" s="36">
        <f>deflators_raw!E8</f>
        <v>4.4315280925248897E-2</v>
      </c>
      <c r="F8" s="36" t="str">
        <f>deflators_raw!F8</f>
        <v>1971 Q3</v>
      </c>
      <c r="G8" s="36" t="str">
        <f>deflators_raw!G8</f>
        <v>historical</v>
      </c>
    </row>
    <row r="9" spans="1:9" x14ac:dyDescent="0.3">
      <c r="A9" s="36">
        <f>deflators_raw!A9</f>
        <v>2.5035607973723999E-2</v>
      </c>
      <c r="B9" s="36">
        <f>deflators_raw!B9</f>
        <v>8.3819893360376693E-2</v>
      </c>
      <c r="C9" s="36">
        <f>deflators_raw!C9</f>
        <v>4.4288971780713303E-2</v>
      </c>
      <c r="D9" s="36">
        <f>deflators_raw!D9</f>
        <v>3.6793688078589702E-2</v>
      </c>
      <c r="E9" s="36">
        <f>deflators_raw!E9</f>
        <v>7.0854524877743894E-2</v>
      </c>
      <c r="F9" s="36" t="str">
        <f>deflators_raw!F9</f>
        <v>1971 Q4</v>
      </c>
      <c r="G9" s="36" t="str">
        <f>deflators_raw!G9</f>
        <v>historical</v>
      </c>
    </row>
    <row r="10" spans="1:9" x14ac:dyDescent="0.3">
      <c r="A10" s="36">
        <f>deflators_raw!A10</f>
        <v>4.2906681103859E-2</v>
      </c>
      <c r="B10" s="36">
        <f>deflators_raw!B10</f>
        <v>0.175097239288524</v>
      </c>
      <c r="C10" s="36">
        <f>deflators_raw!C10</f>
        <v>9.26129607439308E-2</v>
      </c>
      <c r="D10" s="36">
        <f>deflators_raw!D10</f>
        <v>0.10446834522691199</v>
      </c>
      <c r="E10" s="36">
        <f>deflators_raw!E10</f>
        <v>5.2157088254066501E-2</v>
      </c>
      <c r="F10" s="36" t="str">
        <f>deflators_raw!F10</f>
        <v>1972 Q1</v>
      </c>
      <c r="G10" s="36" t="str">
        <f>deflators_raw!G10</f>
        <v>historical</v>
      </c>
    </row>
    <row r="11" spans="1:9" x14ac:dyDescent="0.3">
      <c r="A11" s="36">
        <f>deflators_raw!A11</f>
        <v>2.3157030840978501E-2</v>
      </c>
      <c r="B11" s="36">
        <f>deflators_raw!B11</f>
        <v>4.0963848741786497E-2</v>
      </c>
      <c r="C11" s="36">
        <f>deflators_raw!C11</f>
        <v>4.8049614688522098E-2</v>
      </c>
      <c r="D11" s="36">
        <f>deflators_raw!D11</f>
        <v>5.35423244430666E-2</v>
      </c>
      <c r="E11" s="36">
        <f>deflators_raw!E11</f>
        <v>2.83404365976123E-2</v>
      </c>
      <c r="F11" s="36" t="str">
        <f>deflators_raw!F11</f>
        <v>1972 Q2</v>
      </c>
      <c r="G11" s="36" t="str">
        <f>deflators_raw!G11</f>
        <v>historical</v>
      </c>
    </row>
    <row r="12" spans="1:9" x14ac:dyDescent="0.3">
      <c r="A12" s="36">
        <f>deflators_raw!A12</f>
        <v>3.55986781186481E-2</v>
      </c>
      <c r="B12" s="36">
        <f>deflators_raw!B12</f>
        <v>3.3186191278740597E-2</v>
      </c>
      <c r="C12" s="36">
        <f>deflators_raw!C12</f>
        <v>6.2282208901687001E-2</v>
      </c>
      <c r="D12" s="36">
        <f>deflators_raw!D12</f>
        <v>6.3703129067968198E-2</v>
      </c>
      <c r="E12" s="36">
        <f>deflators_raw!E12</f>
        <v>5.6658506033298299E-2</v>
      </c>
      <c r="F12" s="36" t="str">
        <f>deflators_raw!F12</f>
        <v>1972 Q3</v>
      </c>
      <c r="G12" s="36" t="str">
        <f>deflators_raw!G12</f>
        <v>historical</v>
      </c>
    </row>
    <row r="13" spans="1:9" x14ac:dyDescent="0.3">
      <c r="A13" s="36">
        <f>deflators_raw!A13</f>
        <v>3.3109052200751603E-2</v>
      </c>
      <c r="B13" s="36">
        <f>deflators_raw!B13</f>
        <v>8.9944620716435594E-2</v>
      </c>
      <c r="C13" s="36">
        <f>deflators_raw!C13</f>
        <v>5.6197298009031102E-2</v>
      </c>
      <c r="D13" s="36">
        <f>deflators_raw!D13</f>
        <v>5.0679215853917103E-2</v>
      </c>
      <c r="E13" s="36">
        <f>deflators_raw!E13</f>
        <v>7.6848944278385095E-2</v>
      </c>
      <c r="F13" s="36" t="str">
        <f>deflators_raw!F13</f>
        <v>1972 Q4</v>
      </c>
      <c r="G13" s="36" t="str">
        <f>deflators_raw!G13</f>
        <v>historical</v>
      </c>
    </row>
    <row r="14" spans="1:9" x14ac:dyDescent="0.3">
      <c r="A14" s="36">
        <f>deflators_raw!A14</f>
        <v>4.91014015888558E-2</v>
      </c>
      <c r="B14" s="36">
        <f>deflators_raw!B14</f>
        <v>6.5908483031781095E-2</v>
      </c>
      <c r="C14" s="36">
        <f>deflators_raw!C14</f>
        <v>8.1146420382343501E-2</v>
      </c>
      <c r="D14" s="36">
        <f>deflators_raw!D14</f>
        <v>8.1389738888574495E-2</v>
      </c>
      <c r="E14" s="36">
        <f>deflators_raw!E14</f>
        <v>7.93845743471608E-2</v>
      </c>
      <c r="F14" s="36" t="str">
        <f>deflators_raw!F14</f>
        <v>1973 Q1</v>
      </c>
      <c r="G14" s="36" t="str">
        <f>deflators_raw!G14</f>
        <v>historical</v>
      </c>
    </row>
    <row r="15" spans="1:9" x14ac:dyDescent="0.3">
      <c r="A15" s="36">
        <f>deflators_raw!A15</f>
        <v>7.9177652454341899E-2</v>
      </c>
      <c r="B15" s="36">
        <f>deflators_raw!B15</f>
        <v>7.1493559288280994E-2</v>
      </c>
      <c r="C15" s="36">
        <f>deflators_raw!C15</f>
        <v>7.3002132438402506E-2</v>
      </c>
      <c r="D15" s="36">
        <f>deflators_raw!D15</f>
        <v>6.9283063617710403E-2</v>
      </c>
      <c r="E15" s="36">
        <f>deflators_raw!E15</f>
        <v>8.6922582910256702E-2</v>
      </c>
      <c r="F15" s="36" t="str">
        <f>deflators_raw!F15</f>
        <v>1973 Q2</v>
      </c>
      <c r="G15" s="36" t="str">
        <f>deflators_raw!G15</f>
        <v>historical</v>
      </c>
    </row>
    <row r="16" spans="1:9" x14ac:dyDescent="0.3">
      <c r="A16" s="36">
        <f>deflators_raw!A16</f>
        <v>7.4767520593947104E-2</v>
      </c>
      <c r="B16" s="36">
        <f>deflators_raw!B16</f>
        <v>8.5362600720222198E-2</v>
      </c>
      <c r="C16" s="36">
        <f>deflators_raw!C16</f>
        <v>5.48179115604608E-2</v>
      </c>
      <c r="D16" s="36">
        <f>deflators_raw!D16</f>
        <v>4.7217464684975501E-2</v>
      </c>
      <c r="E16" s="36">
        <f>deflators_raw!E16</f>
        <v>8.4062519785650797E-2</v>
      </c>
      <c r="F16" s="36" t="str">
        <f>deflators_raw!F16</f>
        <v>1973 Q3</v>
      </c>
      <c r="G16" s="36" t="str">
        <f>deflators_raw!G16</f>
        <v>historical</v>
      </c>
    </row>
    <row r="17" spans="1:7" x14ac:dyDescent="0.3">
      <c r="A17" s="36">
        <f>deflators_raw!A17</f>
        <v>8.4354048501589896E-2</v>
      </c>
      <c r="B17" s="36">
        <f>deflators_raw!B17</f>
        <v>8.8313277531109999E-2</v>
      </c>
      <c r="C17" s="36">
        <f>deflators_raw!C17</f>
        <v>7.8016517586817699E-2</v>
      </c>
      <c r="D17" s="36">
        <f>deflators_raw!D17</f>
        <v>6.8825586736247696E-2</v>
      </c>
      <c r="E17" s="36">
        <f>deflators_raw!E17</f>
        <v>0.111750672708145</v>
      </c>
      <c r="F17" s="36" t="str">
        <f>deflators_raw!F17</f>
        <v>1973 Q4</v>
      </c>
      <c r="G17" s="36" t="str">
        <f>deflators_raw!G17</f>
        <v>historical</v>
      </c>
    </row>
    <row r="18" spans="1:7" x14ac:dyDescent="0.3">
      <c r="A18" s="36">
        <f>deflators_raw!A18</f>
        <v>0.124536540877934</v>
      </c>
      <c r="B18" s="36">
        <f>deflators_raw!B18</f>
        <v>4.1616768277239702E-2</v>
      </c>
      <c r="C18" s="36">
        <f>deflators_raw!C18</f>
        <v>0.121191831225751</v>
      </c>
      <c r="D18" s="36">
        <f>deflators_raw!D18</f>
        <v>0.100709384145876</v>
      </c>
      <c r="E18" s="36">
        <f>deflators_raw!E18</f>
        <v>0.19875533747763099</v>
      </c>
      <c r="F18" s="36" t="str">
        <f>deflators_raw!F18</f>
        <v>1974 Q1</v>
      </c>
      <c r="G18" s="36" t="str">
        <f>deflators_raw!G18</f>
        <v>historical</v>
      </c>
    </row>
    <row r="19" spans="1:7" x14ac:dyDescent="0.3">
      <c r="A19" s="36">
        <f>deflators_raw!A19</f>
        <v>0.118186339709689</v>
      </c>
      <c r="B19" s="36">
        <f>deflators_raw!B19</f>
        <v>7.4336480554695494E-2</v>
      </c>
      <c r="C19" s="36">
        <f>deflators_raw!C19</f>
        <v>0.14658250041933499</v>
      </c>
      <c r="D19" s="36">
        <f>deflators_raw!D19</f>
        <v>0.111980004946894</v>
      </c>
      <c r="E19" s="36">
        <f>deflators_raw!E19</f>
        <v>0.27614966476000502</v>
      </c>
      <c r="F19" s="36" t="str">
        <f>deflators_raw!F19</f>
        <v>1974 Q2</v>
      </c>
      <c r="G19" s="36" t="str">
        <f>deflators_raw!G19</f>
        <v>historical</v>
      </c>
    </row>
    <row r="20" spans="1:7" x14ac:dyDescent="0.3">
      <c r="A20" s="36">
        <f>deflators_raw!A20</f>
        <v>0.112285409166716</v>
      </c>
      <c r="B20" s="36">
        <f>deflators_raw!B20</f>
        <v>0.121923532437656</v>
      </c>
      <c r="C20" s="36">
        <f>deflators_raw!C20</f>
        <v>0.154128633937411</v>
      </c>
      <c r="D20" s="36">
        <f>deflators_raw!D20</f>
        <v>0.119951580753957</v>
      </c>
      <c r="E20" s="36">
        <f>deflators_raw!E20</f>
        <v>0.28126959643585903</v>
      </c>
      <c r="F20" s="36" t="str">
        <f>deflators_raw!F20</f>
        <v>1974 Q3</v>
      </c>
      <c r="G20" s="36" t="str">
        <f>deflators_raw!G20</f>
        <v>historical</v>
      </c>
    </row>
    <row r="21" spans="1:7" x14ac:dyDescent="0.3">
      <c r="A21" s="36">
        <f>deflators_raw!A21</f>
        <v>0.10564888426900799</v>
      </c>
      <c r="B21" s="36">
        <f>deflators_raw!B21</f>
        <v>0.139689749601554</v>
      </c>
      <c r="C21" s="36">
        <f>deflators_raw!C21</f>
        <v>0.12293988936914101</v>
      </c>
      <c r="D21" s="36">
        <f>deflators_raw!D21</f>
        <v>0.10861792322335199</v>
      </c>
      <c r="E21" s="36">
        <f>deflators_raw!E21</f>
        <v>0.17691984955710299</v>
      </c>
      <c r="F21" s="36" t="str">
        <f>deflators_raw!F21</f>
        <v>1974 Q4</v>
      </c>
      <c r="G21" s="36" t="str">
        <f>deflators_raw!G21</f>
        <v>historical</v>
      </c>
    </row>
    <row r="22" spans="1:7" x14ac:dyDescent="0.3">
      <c r="A22" s="36">
        <f>deflators_raw!A22</f>
        <v>7.7418031911128199E-2</v>
      </c>
      <c r="B22" s="36">
        <f>deflators_raw!B22</f>
        <v>7.47377264200315E-2</v>
      </c>
      <c r="C22" s="36">
        <f>deflators_raw!C22</f>
        <v>8.2897074604326895E-2</v>
      </c>
      <c r="D22" s="36">
        <f>deflators_raw!D22</f>
        <v>8.2414004288707196E-2</v>
      </c>
      <c r="E22" s="36">
        <f>deflators_raw!E22</f>
        <v>8.77241949354641E-2</v>
      </c>
      <c r="F22" s="36" t="str">
        <f>deflators_raw!F22</f>
        <v>1975 Q1</v>
      </c>
      <c r="G22" s="36" t="str">
        <f>deflators_raw!G22</f>
        <v>historical</v>
      </c>
    </row>
    <row r="23" spans="1:7" x14ac:dyDescent="0.3">
      <c r="A23" s="36">
        <f>deflators_raw!A23</f>
        <v>5.00188837807687E-2</v>
      </c>
      <c r="B23" s="36">
        <f>deflators_raw!B23</f>
        <v>5.9076854521070303E-2</v>
      </c>
      <c r="C23" s="36">
        <f>deflators_raw!C23</f>
        <v>8.1628736402345095E-2</v>
      </c>
      <c r="D23" s="36">
        <f>deflators_raw!D23</f>
        <v>9.99907756879512E-2</v>
      </c>
      <c r="E23" s="36">
        <f>deflators_raw!E23</f>
        <v>1.9938623083631101E-2</v>
      </c>
      <c r="F23" s="36" t="str">
        <f>deflators_raw!F23</f>
        <v>1975 Q2</v>
      </c>
      <c r="G23" s="36" t="str">
        <f>deflators_raw!G23</f>
        <v>historical</v>
      </c>
    </row>
    <row r="24" spans="1:7" x14ac:dyDescent="0.3">
      <c r="A24" s="36">
        <f>deflators_raw!A24</f>
        <v>7.6956317974106001E-2</v>
      </c>
      <c r="B24" s="36">
        <f>deflators_raw!B24</f>
        <v>5.5091330920863602E-2</v>
      </c>
      <c r="C24" s="36">
        <f>deflators_raw!C24</f>
        <v>5.2088066977946899E-2</v>
      </c>
      <c r="D24" s="36">
        <f>deflators_raw!D24</f>
        <v>6.2847909413525901E-2</v>
      </c>
      <c r="E24" s="36">
        <f>deflators_raw!E24</f>
        <v>1.2710174962932599E-2</v>
      </c>
      <c r="F24" s="36" t="str">
        <f>deflators_raw!F24</f>
        <v>1975 Q3</v>
      </c>
      <c r="G24" s="36" t="str">
        <f>deflators_raw!G24</f>
        <v>historical</v>
      </c>
    </row>
    <row r="25" spans="1:7" x14ac:dyDescent="0.3">
      <c r="A25" s="36">
        <f>deflators_raw!A25</f>
        <v>6.8882772668885706E-2</v>
      </c>
      <c r="B25" s="36">
        <f>deflators_raw!B25</f>
        <v>9.5097426388938394E-2</v>
      </c>
      <c r="C25" s="36">
        <f>deflators_raw!C25</f>
        <v>5.2203706076527197E-2</v>
      </c>
      <c r="D25" s="36">
        <f>deflators_raw!D25</f>
        <v>5.9557775023163499E-2</v>
      </c>
      <c r="E25" s="36">
        <f>deflators_raw!E25</f>
        <v>2.4583979224767301E-2</v>
      </c>
      <c r="F25" s="36" t="str">
        <f>deflators_raw!F25</f>
        <v>1975 Q4</v>
      </c>
      <c r="G25" s="36" t="str">
        <f>deflators_raw!G25</f>
        <v>historical</v>
      </c>
    </row>
    <row r="26" spans="1:7" x14ac:dyDescent="0.3">
      <c r="A26" s="36">
        <f>deflators_raw!A26</f>
        <v>4.46796784787249E-2</v>
      </c>
      <c r="B26" s="36">
        <f>deflators_raw!B26</f>
        <v>5.9702158874865199E-2</v>
      </c>
      <c r="C26" s="36">
        <f>deflators_raw!C26</f>
        <v>4.59237991295069E-2</v>
      </c>
      <c r="D26" s="36">
        <f>deflators_raw!D26</f>
        <v>5.3094918319799497E-2</v>
      </c>
      <c r="E26" s="36">
        <f>deflators_raw!E26</f>
        <v>1.9800669277978002E-2</v>
      </c>
      <c r="F26" s="36" t="str">
        <f>deflators_raw!F26</f>
        <v>1976 Q1</v>
      </c>
      <c r="G26" s="36" t="str">
        <f>deflators_raw!G26</f>
        <v>historical</v>
      </c>
    </row>
    <row r="27" spans="1:7" x14ac:dyDescent="0.3">
      <c r="A27" s="36">
        <f>deflators_raw!A27</f>
        <v>3.3979822161052303E-2</v>
      </c>
      <c r="B27" s="36">
        <f>deflators_raw!B27</f>
        <v>3.3961135638896502E-2</v>
      </c>
      <c r="C27" s="36">
        <f>deflators_raw!C27</f>
        <v>4.9414114166727703E-2</v>
      </c>
      <c r="D27" s="36">
        <f>deflators_raw!D27</f>
        <v>5.3215140717762302E-2</v>
      </c>
      <c r="E27" s="36">
        <f>deflators_raw!E27</f>
        <v>3.4743180507705002E-2</v>
      </c>
      <c r="F27" s="36" t="str">
        <f>deflators_raw!F27</f>
        <v>1976 Q2</v>
      </c>
      <c r="G27" s="36" t="str">
        <f>deflators_raw!G27</f>
        <v>historical</v>
      </c>
    </row>
    <row r="28" spans="1:7" x14ac:dyDescent="0.3">
      <c r="A28" s="36">
        <f>deflators_raw!A28</f>
        <v>6.2157602764701697E-2</v>
      </c>
      <c r="B28" s="36">
        <f>deflators_raw!B28</f>
        <v>4.6572413553721298E-2</v>
      </c>
      <c r="C28" s="36">
        <f>deflators_raw!C28</f>
        <v>3.0046072001909799E-2</v>
      </c>
      <c r="D28" s="36">
        <f>deflators_raw!D28</f>
        <v>3.5515485276211803E-2</v>
      </c>
      <c r="E28" s="36">
        <f>deflators_raw!E28</f>
        <v>8.7412684077270396E-3</v>
      </c>
      <c r="F28" s="36" t="str">
        <f>deflators_raw!F28</f>
        <v>1976 Q3</v>
      </c>
      <c r="G28" s="36" t="str">
        <f>deflators_raw!G28</f>
        <v>historical</v>
      </c>
    </row>
    <row r="29" spans="1:7" x14ac:dyDescent="0.3">
      <c r="A29" s="36">
        <f>deflators_raw!A29</f>
        <v>6.4679796349943294E-2</v>
      </c>
      <c r="B29" s="36">
        <f>deflators_raw!B29</f>
        <v>0.11140543202132699</v>
      </c>
      <c r="C29" s="36">
        <f>deflators_raw!C29</f>
        <v>4.8632403600481003E-2</v>
      </c>
      <c r="D29" s="36">
        <f>deflators_raw!D29</f>
        <v>5.3847641567893498E-2</v>
      </c>
      <c r="E29" s="36">
        <f>deflators_raw!E29</f>
        <v>2.7482019859727602E-2</v>
      </c>
      <c r="F29" s="36" t="str">
        <f>deflators_raw!F29</f>
        <v>1976 Q4</v>
      </c>
      <c r="G29" s="36" t="str">
        <f>deflators_raw!G29</f>
        <v>historical</v>
      </c>
    </row>
    <row r="30" spans="1:7" x14ac:dyDescent="0.3">
      <c r="A30" s="36">
        <f>deflators_raw!A30</f>
        <v>7.4088172350420103E-2</v>
      </c>
      <c r="B30" s="36">
        <f>deflators_raw!B30</f>
        <v>5.7739458159661701E-2</v>
      </c>
      <c r="C30" s="36">
        <f>deflators_raw!C30</f>
        <v>7.7620410648789898E-2</v>
      </c>
      <c r="D30" s="36">
        <f>deflators_raw!D30</f>
        <v>8.3796072481744796E-2</v>
      </c>
      <c r="E30" s="36">
        <f>deflators_raw!E30</f>
        <v>5.2825931688943499E-2</v>
      </c>
      <c r="F30" s="36" t="str">
        <f>deflators_raw!F30</f>
        <v>1977 Q1</v>
      </c>
      <c r="G30" s="36" t="str">
        <f>deflators_raw!G30</f>
        <v>historical</v>
      </c>
    </row>
    <row r="31" spans="1:7" x14ac:dyDescent="0.3">
      <c r="A31" s="36">
        <f>deflators_raw!A31</f>
        <v>7.0308632461715301E-2</v>
      </c>
      <c r="B31" s="36">
        <f>deflators_raw!B31</f>
        <v>4.6296846180206901E-2</v>
      </c>
      <c r="C31" s="36">
        <f>deflators_raw!C31</f>
        <v>7.3549798211318906E-2</v>
      </c>
      <c r="D31" s="36">
        <f>deflators_raw!D31</f>
        <v>8.1880476726010801E-2</v>
      </c>
      <c r="E31" s="36">
        <f>deflators_raw!E31</f>
        <v>4.0048809702137603E-2</v>
      </c>
      <c r="F31" s="36" t="str">
        <f>deflators_raw!F31</f>
        <v>1977 Q2</v>
      </c>
      <c r="G31" s="36" t="str">
        <f>deflators_raw!G31</f>
        <v>historical</v>
      </c>
    </row>
    <row r="32" spans="1:7" x14ac:dyDescent="0.3">
      <c r="A32" s="36">
        <f>deflators_raw!A32</f>
        <v>6.1553542794543503E-2</v>
      </c>
      <c r="B32" s="36">
        <f>deflators_raw!B32</f>
        <v>1.98663105662467E-2</v>
      </c>
      <c r="C32" s="36">
        <f>deflators_raw!C32</f>
        <v>6.9862554007581706E-2</v>
      </c>
      <c r="D32" s="36">
        <f>deflators_raw!D32</f>
        <v>7.3501873886998997E-2</v>
      </c>
      <c r="E32" s="36">
        <f>deflators_raw!E32</f>
        <v>5.4874269706492597E-2</v>
      </c>
      <c r="F32" s="36" t="str">
        <f>deflators_raw!F32</f>
        <v>1977 Q3</v>
      </c>
      <c r="G32" s="36" t="str">
        <f>deflators_raw!G32</f>
        <v>historical</v>
      </c>
    </row>
    <row r="33" spans="1:7" x14ac:dyDescent="0.3">
      <c r="A33" s="36">
        <f>deflators_raw!A33</f>
        <v>5.8025197908700303E-2</v>
      </c>
      <c r="B33" s="36">
        <f>deflators_raw!B33</f>
        <v>0.12112082718011299</v>
      </c>
      <c r="C33" s="36">
        <f>deflators_raw!C33</f>
        <v>6.91983732744961E-2</v>
      </c>
      <c r="D33" s="36">
        <f>deflators_raw!D33</f>
        <v>7.5383891455237398E-2</v>
      </c>
      <c r="E33" s="36">
        <f>deflators_raw!E33</f>
        <v>4.34111575180351E-2</v>
      </c>
      <c r="F33" s="36" t="str">
        <f>deflators_raw!F33</f>
        <v>1977 Q4</v>
      </c>
      <c r="G33" s="36" t="str">
        <f>deflators_raw!G33</f>
        <v>historical</v>
      </c>
    </row>
    <row r="34" spans="1:7" x14ac:dyDescent="0.3">
      <c r="A34" s="36">
        <f>deflators_raw!A34</f>
        <v>6.7326294927223501E-2</v>
      </c>
      <c r="B34" s="36">
        <f>deflators_raw!B34</f>
        <v>4.65097292728067E-2</v>
      </c>
      <c r="C34" s="36">
        <f>deflators_raw!C34</f>
        <v>5.7725598689889503E-2</v>
      </c>
      <c r="D34" s="36">
        <f>deflators_raw!D34</f>
        <v>5.9424238450433299E-2</v>
      </c>
      <c r="E34" s="36">
        <f>deflators_raw!E34</f>
        <v>5.0510789433123801E-2</v>
      </c>
      <c r="F34" s="36" t="str">
        <f>deflators_raw!F34</f>
        <v>1978 Q1</v>
      </c>
      <c r="G34" s="36" t="str">
        <f>deflators_raw!G34</f>
        <v>historical</v>
      </c>
    </row>
    <row r="35" spans="1:7" x14ac:dyDescent="0.3">
      <c r="A35" s="36">
        <f>deflators_raw!A35</f>
        <v>8.4675701203493298E-2</v>
      </c>
      <c r="B35" s="36">
        <f>deflators_raw!B35</f>
        <v>8.09066486989478E-2</v>
      </c>
      <c r="C35" s="36">
        <f>deflators_raw!C35</f>
        <v>6.8432547938236193E-2</v>
      </c>
      <c r="D35" s="36">
        <f>deflators_raw!D35</f>
        <v>6.5619276167123694E-2</v>
      </c>
      <c r="E35" s="36">
        <f>deflators_raw!E35</f>
        <v>8.0997725857898203E-2</v>
      </c>
      <c r="F35" s="36" t="str">
        <f>deflators_raw!F35</f>
        <v>1978 Q2</v>
      </c>
      <c r="G35" s="36" t="str">
        <f>deflators_raw!G35</f>
        <v>historical</v>
      </c>
    </row>
    <row r="36" spans="1:7" x14ac:dyDescent="0.3">
      <c r="A36" s="36">
        <f>deflators_raw!A36</f>
        <v>7.2050406034996906E-2</v>
      </c>
      <c r="B36" s="36">
        <f>deflators_raw!B36</f>
        <v>6.8549166168664605E-2</v>
      </c>
      <c r="C36" s="36">
        <f>deflators_raw!C36</f>
        <v>6.2366553260047697E-2</v>
      </c>
      <c r="D36" s="36">
        <f>deflators_raw!D36</f>
        <v>5.8500992246239197E-2</v>
      </c>
      <c r="E36" s="36">
        <f>deflators_raw!E36</f>
        <v>7.8709215306017405E-2</v>
      </c>
      <c r="F36" s="36" t="str">
        <f>deflators_raw!F36</f>
        <v>1978 Q3</v>
      </c>
      <c r="G36" s="36" t="str">
        <f>deflators_raw!G36</f>
        <v>historical</v>
      </c>
    </row>
    <row r="37" spans="1:7" x14ac:dyDescent="0.3">
      <c r="A37" s="36">
        <f>deflators_raw!A37</f>
        <v>7.7759817693589403E-2</v>
      </c>
      <c r="B37" s="36">
        <f>deflators_raw!B37</f>
        <v>7.0826828171957498E-2</v>
      </c>
      <c r="C37" s="36">
        <f>deflators_raw!C37</f>
        <v>5.8580868291317999E-2</v>
      </c>
      <c r="D37" s="36">
        <f>deflators_raw!D37</f>
        <v>5.4682260590980698E-2</v>
      </c>
      <c r="E37" s="36">
        <f>deflators_raw!E37</f>
        <v>7.3455131593814296E-2</v>
      </c>
      <c r="F37" s="36" t="str">
        <f>deflators_raw!F37</f>
        <v>1978 Q4</v>
      </c>
      <c r="G37" s="36" t="str">
        <f>deflators_raw!G37</f>
        <v>historical</v>
      </c>
    </row>
    <row r="38" spans="1:7" x14ac:dyDescent="0.3">
      <c r="A38" s="36">
        <f>deflators_raw!A38</f>
        <v>7.7602845525897898E-2</v>
      </c>
      <c r="B38" s="36">
        <f>deflators_raw!B38</f>
        <v>7.5755853629737399E-2</v>
      </c>
      <c r="C38" s="36">
        <f>deflators_raw!C38</f>
        <v>9.8601495376907003E-2</v>
      </c>
      <c r="D38" s="36">
        <f>deflators_raw!D38</f>
        <v>0.101819091447914</v>
      </c>
      <c r="E38" s="36">
        <f>deflators_raw!E38</f>
        <v>8.5137769356933707E-2</v>
      </c>
      <c r="F38" s="36" t="str">
        <f>deflators_raw!F38</f>
        <v>1979 Q1</v>
      </c>
      <c r="G38" s="36" t="str">
        <f>deflators_raw!G38</f>
        <v>historical</v>
      </c>
    </row>
    <row r="39" spans="1:7" x14ac:dyDescent="0.3">
      <c r="A39" s="36">
        <f>deflators_raw!A39</f>
        <v>0.113838252689951</v>
      </c>
      <c r="B39" s="36">
        <f>deflators_raw!B39</f>
        <v>6.1815502695247999E-2</v>
      </c>
      <c r="C39" s="36">
        <f>deflators_raw!C39</f>
        <v>9.47529302659431E-2</v>
      </c>
      <c r="D39" s="36">
        <f>deflators_raw!D39</f>
        <v>9.0287471336475605E-2</v>
      </c>
      <c r="E39" s="36">
        <f>deflators_raw!E39</f>
        <v>0.11311171886032199</v>
      </c>
      <c r="F39" s="36" t="str">
        <f>deflators_raw!F39</f>
        <v>1979 Q2</v>
      </c>
      <c r="G39" s="36" t="str">
        <f>deflators_raw!G39</f>
        <v>historical</v>
      </c>
    </row>
    <row r="40" spans="1:7" x14ac:dyDescent="0.3">
      <c r="A40" s="36">
        <f>deflators_raw!A40</f>
        <v>0.10293672514128201</v>
      </c>
      <c r="B40" s="36">
        <f>deflators_raw!B40</f>
        <v>9.6664179784869297E-2</v>
      </c>
      <c r="C40" s="36">
        <f>deflators_raw!C40</f>
        <v>0.14258875004429</v>
      </c>
      <c r="D40" s="36">
        <f>deflators_raw!D40</f>
        <v>0.148038402658868</v>
      </c>
      <c r="E40" s="36">
        <f>deflators_raw!E40</f>
        <v>0.121960082107911</v>
      </c>
      <c r="F40" s="36" t="str">
        <f>deflators_raw!F40</f>
        <v>1979 Q3</v>
      </c>
      <c r="G40" s="36" t="str">
        <f>deflators_raw!G40</f>
        <v>historical</v>
      </c>
    </row>
    <row r="41" spans="1:7" x14ac:dyDescent="0.3">
      <c r="A41" s="36">
        <f>deflators_raw!A41</f>
        <v>0.100470180706661</v>
      </c>
      <c r="B41" s="36">
        <f>deflators_raw!B41</f>
        <v>9.1027084037313494E-2</v>
      </c>
      <c r="C41" s="36">
        <f>deflators_raw!C41</f>
        <v>8.0488191904446393E-2</v>
      </c>
      <c r="D41" s="36">
        <f>deflators_raw!D41</f>
        <v>7.0641984000731503E-2</v>
      </c>
      <c r="E41" s="36">
        <f>deflators_raw!E41</f>
        <v>0.118355060703055</v>
      </c>
      <c r="F41" s="36" t="str">
        <f>deflators_raw!F41</f>
        <v>1979 Q4</v>
      </c>
      <c r="G41" s="36" t="str">
        <f>deflators_raw!G41</f>
        <v>historical</v>
      </c>
    </row>
    <row r="42" spans="1:7" x14ac:dyDescent="0.3">
      <c r="A42" s="36">
        <f>deflators_raw!A42</f>
        <v>0.12552467874009099</v>
      </c>
      <c r="B42" s="36">
        <f>deflators_raw!B42</f>
        <v>8.1451601423466094E-2</v>
      </c>
      <c r="C42" s="36">
        <f>deflators_raw!C42</f>
        <v>0.10825796539608799</v>
      </c>
      <c r="D42" s="36">
        <f>deflators_raw!D42</f>
        <v>0.106909632651843</v>
      </c>
      <c r="E42" s="36">
        <f>deflators_raw!E42</f>
        <v>0.113864763230328</v>
      </c>
      <c r="F42" s="36" t="str">
        <f>deflators_raw!F42</f>
        <v>1980 Q1</v>
      </c>
      <c r="G42" s="36" t="str">
        <f>deflators_raw!G42</f>
        <v>historical</v>
      </c>
    </row>
    <row r="43" spans="1:7" x14ac:dyDescent="0.3">
      <c r="A43" s="36">
        <f>deflators_raw!A43</f>
        <v>0.101539889707692</v>
      </c>
      <c r="B43" s="36">
        <f>deflators_raw!B43</f>
        <v>0.163874229132176</v>
      </c>
      <c r="C43" s="36">
        <f>deflators_raw!C43</f>
        <v>0.11440208439959799</v>
      </c>
      <c r="D43" s="36">
        <f>deflators_raw!D43</f>
        <v>0.11299973225785501</v>
      </c>
      <c r="E43" s="36">
        <f>deflators_raw!E43</f>
        <v>0.119816075191493</v>
      </c>
      <c r="F43" s="36" t="str">
        <f>deflators_raw!F43</f>
        <v>1980 Q2</v>
      </c>
      <c r="G43" s="36" t="str">
        <f>deflators_raw!G43</f>
        <v>historical</v>
      </c>
    </row>
    <row r="44" spans="1:7" x14ac:dyDescent="0.3">
      <c r="A44" s="36">
        <f>deflators_raw!A44</f>
        <v>9.6919062654431398E-2</v>
      </c>
      <c r="B44" s="36">
        <f>deflators_raw!B44</f>
        <v>4.1150587007602997E-2</v>
      </c>
      <c r="C44" s="36">
        <f>deflators_raw!C44</f>
        <v>0.12045272884710399</v>
      </c>
      <c r="D44" s="36">
        <f>deflators_raw!D44</f>
        <v>0.115930396885483</v>
      </c>
      <c r="E44" s="36">
        <f>deflators_raw!E44</f>
        <v>0.138106666956619</v>
      </c>
      <c r="F44" s="36" t="str">
        <f>deflators_raw!F44</f>
        <v>1980 Q3</v>
      </c>
      <c r="G44" s="36" t="str">
        <f>deflators_raw!G44</f>
        <v>historical</v>
      </c>
    </row>
    <row r="45" spans="1:7" x14ac:dyDescent="0.3">
      <c r="A45" s="36">
        <f>deflators_raw!A45</f>
        <v>0.102667735598145</v>
      </c>
      <c r="B45" s="36">
        <f>deflators_raw!B45</f>
        <v>0.12591483160208999</v>
      </c>
      <c r="C45" s="36">
        <f>deflators_raw!C45</f>
        <v>0.11337694020575299</v>
      </c>
      <c r="D45" s="36">
        <f>deflators_raw!D45</f>
        <v>0.11071312036879399</v>
      </c>
      <c r="E45" s="36">
        <f>deflators_raw!E45</f>
        <v>0.12373918134004901</v>
      </c>
      <c r="F45" s="36" t="str">
        <f>deflators_raw!F45</f>
        <v>1980 Q4</v>
      </c>
      <c r="G45" s="36" t="str">
        <f>deflators_raw!G45</f>
        <v>historical</v>
      </c>
    </row>
    <row r="46" spans="1:7" x14ac:dyDescent="0.3">
      <c r="A46" s="36">
        <f>deflators_raw!A46</f>
        <v>0.107873886984393</v>
      </c>
      <c r="B46" s="36">
        <f>deflators_raw!B46</f>
        <v>8.2350511297398302E-2</v>
      </c>
      <c r="C46" s="36">
        <f>deflators_raw!C46</f>
        <v>0.13658484301142401</v>
      </c>
      <c r="D46" s="36">
        <f>deflators_raw!D46</f>
        <v>0.14097064786198199</v>
      </c>
      <c r="E46" s="36">
        <f>deflators_raw!E46</f>
        <v>0.118188584098933</v>
      </c>
      <c r="F46" s="36" t="str">
        <f>deflators_raw!F46</f>
        <v>1981 Q1</v>
      </c>
      <c r="G46" s="36" t="str">
        <f>deflators_raw!G46</f>
        <v>historical</v>
      </c>
    </row>
    <row r="47" spans="1:7" x14ac:dyDescent="0.3">
      <c r="A47" s="36">
        <f>deflators_raw!A47</f>
        <v>6.8864078536554199E-2</v>
      </c>
      <c r="B47" s="36">
        <f>deflators_raw!B47</f>
        <v>9.6264819656522296E-2</v>
      </c>
      <c r="C47" s="36">
        <f>deflators_raw!C47</f>
        <v>8.8878907174233704E-2</v>
      </c>
      <c r="D47" s="36">
        <f>deflators_raw!D47</f>
        <v>8.6310442735713797E-2</v>
      </c>
      <c r="E47" s="36">
        <f>deflators_raw!E47</f>
        <v>9.9129163647753094E-2</v>
      </c>
      <c r="F47" s="36" t="str">
        <f>deflators_raw!F47</f>
        <v>1981 Q2</v>
      </c>
      <c r="G47" s="36" t="str">
        <f>deflators_raw!G47</f>
        <v>historical</v>
      </c>
    </row>
    <row r="48" spans="1:7" x14ac:dyDescent="0.3">
      <c r="A48" s="36">
        <f>deflators_raw!A48</f>
        <v>6.7510216956085903E-2</v>
      </c>
      <c r="B48" s="36">
        <f>deflators_raw!B48</f>
        <v>9.0754628296435505E-2</v>
      </c>
      <c r="C48" s="36">
        <f>deflators_raw!C48</f>
        <v>5.5467923054221401E-2</v>
      </c>
      <c r="D48" s="36">
        <f>deflators_raw!D48</f>
        <v>4.8692861535788202E-2</v>
      </c>
      <c r="E48" s="36">
        <f>deflators_raw!E48</f>
        <v>8.4524586959714404E-2</v>
      </c>
      <c r="F48" s="36" t="str">
        <f>deflators_raw!F48</f>
        <v>1981 Q3</v>
      </c>
      <c r="G48" s="36" t="str">
        <f>deflators_raw!G48</f>
        <v>historical</v>
      </c>
    </row>
    <row r="49" spans="1:7" x14ac:dyDescent="0.3">
      <c r="A49" s="36">
        <f>deflators_raw!A49</f>
        <v>6.2684205945477106E-2</v>
      </c>
      <c r="B49" s="36">
        <f>deflators_raw!B49</f>
        <v>7.8781408158281802E-2</v>
      </c>
      <c r="C49" s="36">
        <f>deflators_raw!C49</f>
        <v>6.4687993890459206E-2</v>
      </c>
      <c r="D49" s="36">
        <f>deflators_raw!D49</f>
        <v>6.2752816594642893E-2</v>
      </c>
      <c r="E49" s="36">
        <f>deflators_raw!E49</f>
        <v>7.3171075998094998E-2</v>
      </c>
      <c r="F49" s="36" t="str">
        <f>deflators_raw!F49</f>
        <v>1981 Q4</v>
      </c>
      <c r="G49" s="36" t="str">
        <f>deflators_raw!G49</f>
        <v>historical</v>
      </c>
    </row>
    <row r="50" spans="1:7" x14ac:dyDescent="0.3">
      <c r="A50" s="36">
        <f>deflators_raw!A50</f>
        <v>5.1825632418063497E-2</v>
      </c>
      <c r="B50" s="36">
        <f>deflators_raw!B50</f>
        <v>6.5520529029189395E-2</v>
      </c>
      <c r="C50" s="36">
        <f>deflators_raw!C50</f>
        <v>6.9087208011217496E-2</v>
      </c>
      <c r="D50" s="36">
        <f>deflators_raw!D50</f>
        <v>7.2002334651775995E-2</v>
      </c>
      <c r="E50" s="36">
        <f>deflators_raw!E50</f>
        <v>5.7261419360111997E-2</v>
      </c>
      <c r="F50" s="36" t="str">
        <f>deflators_raw!F50</f>
        <v>1982 Q1</v>
      </c>
      <c r="G50" s="36" t="str">
        <f>deflators_raw!G50</f>
        <v>historical</v>
      </c>
    </row>
    <row r="51" spans="1:7" x14ac:dyDescent="0.3">
      <c r="A51" s="36">
        <f>deflators_raw!A51</f>
        <v>3.9076838958162399E-2</v>
      </c>
      <c r="B51" s="36">
        <f>deflators_raw!B51</f>
        <v>8.1541548822787496E-2</v>
      </c>
      <c r="C51" s="36">
        <f>deflators_raw!C51</f>
        <v>6.5851263986817399E-2</v>
      </c>
      <c r="D51" s="36">
        <f>deflators_raw!D51</f>
        <v>6.5317850608274997E-2</v>
      </c>
      <c r="E51" s="36">
        <f>deflators_raw!E51</f>
        <v>6.8572049720328196E-2</v>
      </c>
      <c r="F51" s="36" t="str">
        <f>deflators_raw!F51</f>
        <v>1982 Q2</v>
      </c>
      <c r="G51" s="36" t="str">
        <f>deflators_raw!G51</f>
        <v>historical</v>
      </c>
    </row>
    <row r="52" spans="1:7" x14ac:dyDescent="0.3">
      <c r="A52" s="36">
        <f>deflators_raw!A52</f>
        <v>6.4698202701339205E-2</v>
      </c>
      <c r="B52" s="36">
        <f>deflators_raw!B52</f>
        <v>3.4072636599968002E-2</v>
      </c>
      <c r="C52" s="36">
        <f>deflators_raw!C52</f>
        <v>6.4308025569593405E-2</v>
      </c>
      <c r="D52" s="36">
        <f>deflators_raw!D52</f>
        <v>6.8068638365729198E-2</v>
      </c>
      <c r="E52" s="36">
        <f>deflators_raw!E52</f>
        <v>4.8078704643683703E-2</v>
      </c>
      <c r="F52" s="36" t="str">
        <f>deflators_raw!F52</f>
        <v>1982 Q3</v>
      </c>
      <c r="G52" s="36" t="str">
        <f>deflators_raw!G52</f>
        <v>historical</v>
      </c>
    </row>
    <row r="53" spans="1:7" x14ac:dyDescent="0.3">
      <c r="A53" s="36">
        <f>deflators_raw!A53</f>
        <v>4.4829664945906803E-2</v>
      </c>
      <c r="B53" s="36">
        <f>deflators_raw!B53</f>
        <v>4.8009313734526098E-2</v>
      </c>
      <c r="C53" s="36">
        <f>deflators_raw!C53</f>
        <v>5.1841026846361597E-2</v>
      </c>
      <c r="D53" s="36">
        <f>deflators_raw!D53</f>
        <v>6.1455443169872802E-2</v>
      </c>
      <c r="E53" s="36">
        <f>deflators_raw!E53</f>
        <v>1.01606507354322E-2</v>
      </c>
      <c r="F53" s="36" t="str">
        <f>deflators_raw!F53</f>
        <v>1982 Q4</v>
      </c>
      <c r="G53" s="36" t="str">
        <f>deflators_raw!G53</f>
        <v>historical</v>
      </c>
    </row>
    <row r="54" spans="1:7" x14ac:dyDescent="0.3">
      <c r="A54" s="36">
        <f>deflators_raw!A54</f>
        <v>3.3496613159939903E-2</v>
      </c>
      <c r="B54" s="36">
        <f>deflators_raw!B54</f>
        <v>7.5539459294806698E-3</v>
      </c>
      <c r="C54" s="36">
        <f>deflators_raw!C54</f>
        <v>2.90743764899275E-2</v>
      </c>
      <c r="D54" s="36">
        <f>deflators_raw!D54</f>
        <v>3.4722196261408399E-2</v>
      </c>
      <c r="E54" s="36">
        <f>deflators_raw!E54</f>
        <v>3.7479666516224701E-3</v>
      </c>
      <c r="F54" s="36" t="str">
        <f>deflators_raw!F54</f>
        <v>1983 Q1</v>
      </c>
      <c r="G54" s="36" t="str">
        <f>deflators_raw!G54</f>
        <v>historical</v>
      </c>
    </row>
    <row r="55" spans="1:7" x14ac:dyDescent="0.3">
      <c r="A55" s="36">
        <f>deflators_raw!A55</f>
        <v>3.7100673423204902E-2</v>
      </c>
      <c r="B55" s="36">
        <f>deflators_raw!B55</f>
        <v>3.1269437697415199E-2</v>
      </c>
      <c r="C55" s="36">
        <f>deflators_raw!C55</f>
        <v>4.4549976820091701E-2</v>
      </c>
      <c r="D55" s="36">
        <f>deflators_raw!D55</f>
        <v>5.5765239502398901E-2</v>
      </c>
      <c r="E55" s="36">
        <f>deflators_raw!E55</f>
        <v>-5.3805310591299397E-3</v>
      </c>
      <c r="F55" s="36" t="str">
        <f>deflators_raw!F55</f>
        <v>1983 Q2</v>
      </c>
      <c r="G55" s="36" t="str">
        <f>deflators_raw!G55</f>
        <v>historical</v>
      </c>
    </row>
    <row r="56" spans="1:7" x14ac:dyDescent="0.3">
      <c r="A56" s="36">
        <f>deflators_raw!A56</f>
        <v>5.3607020035561601E-2</v>
      </c>
      <c r="B56" s="36">
        <f>deflators_raw!B56</f>
        <v>4.5007889346835098E-2</v>
      </c>
      <c r="C56" s="36">
        <f>deflators_raw!C56</f>
        <v>3.9242398900308298E-2</v>
      </c>
      <c r="D56" s="36">
        <f>deflators_raw!D56</f>
        <v>4.7632291898301399E-2</v>
      </c>
      <c r="E56" s="36">
        <f>deflators_raw!E56</f>
        <v>2.2658930308778699E-3</v>
      </c>
      <c r="F56" s="36" t="str">
        <f>deflators_raw!F56</f>
        <v>1983 Q3</v>
      </c>
      <c r="G56" s="36" t="str">
        <f>deflators_raw!G56</f>
        <v>historical</v>
      </c>
    </row>
    <row r="57" spans="1:7" x14ac:dyDescent="0.3">
      <c r="A57" s="36">
        <f>deflators_raw!A57</f>
        <v>2.6644627827705498E-2</v>
      </c>
      <c r="B57" s="36">
        <f>deflators_raw!B57</f>
        <v>2.64126969592136E-2</v>
      </c>
      <c r="C57" s="36">
        <f>deflators_raw!C57</f>
        <v>3.0801729671775298E-2</v>
      </c>
      <c r="D57" s="36">
        <f>deflators_raw!D57</f>
        <v>3.7969215238040602E-2</v>
      </c>
      <c r="E57" s="36">
        <f>deflators_raw!E57</f>
        <v>-1.13086488994096E-3</v>
      </c>
      <c r="F57" s="36" t="str">
        <f>deflators_raw!F57</f>
        <v>1983 Q4</v>
      </c>
      <c r="G57" s="36" t="str">
        <f>deflators_raw!G57</f>
        <v>historical</v>
      </c>
    </row>
    <row r="58" spans="1:7" x14ac:dyDescent="0.3">
      <c r="A58" s="36">
        <f>deflators_raw!A58</f>
        <v>4.3935723897537297E-2</v>
      </c>
      <c r="B58" s="36">
        <f>deflators_raw!B58</f>
        <v>5.28225710519643E-2</v>
      </c>
      <c r="C58" s="36">
        <f>deflators_raw!C58</f>
        <v>5.9261250188571202E-2</v>
      </c>
      <c r="D58" s="36">
        <f>deflators_raw!D58</f>
        <v>7.2018998740306803E-2</v>
      </c>
      <c r="E58" s="36">
        <f>deflators_raw!E58</f>
        <v>4.3596665649268101E-3</v>
      </c>
      <c r="F58" s="36" t="str">
        <f>deflators_raw!F58</f>
        <v>1984 Q1</v>
      </c>
      <c r="G58" s="36" t="str">
        <f>deflators_raw!G58</f>
        <v>historical</v>
      </c>
    </row>
    <row r="59" spans="1:7" x14ac:dyDescent="0.3">
      <c r="A59" s="36">
        <f>deflators_raw!A59</f>
        <v>3.93022623248813E-2</v>
      </c>
      <c r="B59" s="36">
        <f>deflators_raw!B59</f>
        <v>4.0487191821635002E-2</v>
      </c>
      <c r="C59" s="36">
        <f>deflators_raw!C59</f>
        <v>3.8654265357332303E-2</v>
      </c>
      <c r="D59" s="36">
        <f>deflators_raw!D59</f>
        <v>4.4330796852368702E-2</v>
      </c>
      <c r="E59" s="36">
        <f>deflators_raw!E59</f>
        <v>1.4249428601276599E-2</v>
      </c>
      <c r="F59" s="36" t="str">
        <f>deflators_raw!F59</f>
        <v>1984 Q2</v>
      </c>
      <c r="G59" s="36" t="str">
        <f>deflators_raw!G59</f>
        <v>historical</v>
      </c>
    </row>
    <row r="60" spans="1:7" x14ac:dyDescent="0.3">
      <c r="A60" s="36">
        <f>deflators_raw!A60</f>
        <v>3.1206818640470101E-2</v>
      </c>
      <c r="B60" s="36">
        <f>deflators_raw!B60</f>
        <v>6.08178890509075E-2</v>
      </c>
      <c r="C60" s="36">
        <f>deflators_raw!C60</f>
        <v>3.7855399838614898E-2</v>
      </c>
      <c r="D60" s="36">
        <f>deflators_raw!D60</f>
        <v>4.3619950255883798E-2</v>
      </c>
      <c r="E60" s="36">
        <f>deflators_raw!E60</f>
        <v>1.29734153291148E-2</v>
      </c>
      <c r="F60" s="36" t="str">
        <f>deflators_raw!F60</f>
        <v>1984 Q3</v>
      </c>
      <c r="G60" s="36" t="str">
        <f>deflators_raw!G60</f>
        <v>historical</v>
      </c>
    </row>
    <row r="61" spans="1:7" x14ac:dyDescent="0.3">
      <c r="A61" s="36">
        <f>deflators_raw!A61</f>
        <v>2.4937045869749999E-2</v>
      </c>
      <c r="B61" s="36">
        <f>deflators_raw!B61</f>
        <v>5.0188195911601098E-2</v>
      </c>
      <c r="C61" s="36">
        <f>deflators_raw!C61</f>
        <v>4.0264511763068903E-2</v>
      </c>
      <c r="D61" s="36">
        <f>deflators_raw!D61</f>
        <v>4.8053419713626901E-2</v>
      </c>
      <c r="E61" s="36">
        <f>deflators_raw!E61</f>
        <v>8.1435979249952998E-3</v>
      </c>
      <c r="F61" s="36" t="str">
        <f>deflators_raw!F61</f>
        <v>1984 Q4</v>
      </c>
      <c r="G61" s="36" t="str">
        <f>deflators_raw!G61</f>
        <v>historical</v>
      </c>
    </row>
    <row r="62" spans="1:7" x14ac:dyDescent="0.3">
      <c r="A62" s="36">
        <f>deflators_raw!A62</f>
        <v>4.8021891562025902E-2</v>
      </c>
      <c r="B62" s="36">
        <f>deflators_raw!B62</f>
        <v>-1.5869949670850401E-2</v>
      </c>
      <c r="C62" s="36">
        <f>deflators_raw!C62</f>
        <v>4.7998017236875197E-2</v>
      </c>
      <c r="D62" s="36">
        <f>deflators_raw!D62</f>
        <v>5.3895269710959599E-2</v>
      </c>
      <c r="E62" s="36">
        <f>deflators_raw!E62</f>
        <v>2.2424648618448499E-2</v>
      </c>
      <c r="F62" s="36" t="str">
        <f>deflators_raw!F62</f>
        <v>1985 Q1</v>
      </c>
      <c r="G62" s="36" t="str">
        <f>deflators_raw!G62</f>
        <v>historical</v>
      </c>
    </row>
    <row r="63" spans="1:7" x14ac:dyDescent="0.3">
      <c r="A63" s="36">
        <f>deflators_raw!A63</f>
        <v>3.2831975950411901E-2</v>
      </c>
      <c r="B63" s="36">
        <f>deflators_raw!B63</f>
        <v>9.4485381047573203E-3</v>
      </c>
      <c r="C63" s="36">
        <f>deflators_raw!C63</f>
        <v>4.0016640926136202E-2</v>
      </c>
      <c r="D63" s="36">
        <f>deflators_raw!D63</f>
        <v>4.6526948089148097E-2</v>
      </c>
      <c r="E63" s="36">
        <f>deflators_raw!E63</f>
        <v>1.2400816449865701E-2</v>
      </c>
      <c r="F63" s="36" t="str">
        <f>deflators_raw!F63</f>
        <v>1985 Q2</v>
      </c>
      <c r="G63" s="36" t="str">
        <f>deflators_raw!G63</f>
        <v>historical</v>
      </c>
    </row>
    <row r="64" spans="1:7" x14ac:dyDescent="0.3">
      <c r="A64" s="36">
        <f>deflators_raw!A64</f>
        <v>3.1711964087017402E-2</v>
      </c>
      <c r="B64" s="36">
        <f>deflators_raw!B64</f>
        <v>2.1519541922931699E-2</v>
      </c>
      <c r="C64" s="36">
        <f>deflators_raw!C64</f>
        <v>3.3552188262661702E-2</v>
      </c>
      <c r="D64" s="36">
        <f>deflators_raw!D64</f>
        <v>3.7630817464174598E-2</v>
      </c>
      <c r="E64" s="36">
        <f>deflators_raw!E64</f>
        <v>1.6508679737656601E-2</v>
      </c>
      <c r="F64" s="36" t="str">
        <f>deflators_raw!F64</f>
        <v>1985 Q3</v>
      </c>
      <c r="G64" s="36" t="str">
        <f>deflators_raw!G64</f>
        <v>historical</v>
      </c>
    </row>
    <row r="65" spans="1:7" x14ac:dyDescent="0.3">
      <c r="A65" s="36">
        <f>deflators_raw!A65</f>
        <v>2.8237310351865798E-2</v>
      </c>
      <c r="B65" s="36">
        <f>deflators_raw!B65</f>
        <v>2.6513418939119401E-2</v>
      </c>
      <c r="C65" s="36">
        <f>deflators_raw!C65</f>
        <v>3.7553677858028302E-2</v>
      </c>
      <c r="D65" s="36">
        <f>deflators_raw!D65</f>
        <v>4.0884190168569902E-2</v>
      </c>
      <c r="E65" s="36">
        <f>deflators_raw!E65</f>
        <v>2.40435812756121E-2</v>
      </c>
      <c r="F65" s="36" t="str">
        <f>deflators_raw!F65</f>
        <v>1985 Q4</v>
      </c>
      <c r="G65" s="36" t="str">
        <f>deflators_raw!G65</f>
        <v>historical</v>
      </c>
    </row>
    <row r="66" spans="1:7" x14ac:dyDescent="0.3">
      <c r="A66" s="36">
        <f>deflators_raw!A66</f>
        <v>2.86487834236928E-2</v>
      </c>
      <c r="B66" s="36">
        <f>deflators_raw!B66</f>
        <v>-1.00878062845416E-2</v>
      </c>
      <c r="C66" s="36">
        <f>deflators_raw!C66</f>
        <v>1.67304468496303E-2</v>
      </c>
      <c r="D66" s="36">
        <f>deflators_raw!D66</f>
        <v>1.47648166353573E-2</v>
      </c>
      <c r="E66" s="36">
        <f>deflators_raw!E66</f>
        <v>2.5106061305751201E-2</v>
      </c>
      <c r="F66" s="36" t="str">
        <f>deflators_raw!F66</f>
        <v>1986 Q1</v>
      </c>
      <c r="G66" s="36" t="str">
        <f>deflators_raw!G66</f>
        <v>historical</v>
      </c>
    </row>
    <row r="67" spans="1:7" x14ac:dyDescent="0.3">
      <c r="A67" s="36">
        <f>deflators_raw!A67</f>
        <v>-4.2153079272678803E-3</v>
      </c>
      <c r="B67" s="36">
        <f>deflators_raw!B67</f>
        <v>-9.8843189037382002E-3</v>
      </c>
      <c r="C67" s="36">
        <f>deflators_raw!C67</f>
        <v>1.77523591150637E-2</v>
      </c>
      <c r="D67" s="36">
        <f>deflators_raw!D67</f>
        <v>1.2042523964300099E-2</v>
      </c>
      <c r="E67" s="36">
        <f>deflators_raw!E67</f>
        <v>4.1753162692227598E-2</v>
      </c>
      <c r="F67" s="36" t="str">
        <f>deflators_raw!F67</f>
        <v>1986 Q2</v>
      </c>
      <c r="G67" s="36" t="str">
        <f>deflators_raw!G67</f>
        <v>historical</v>
      </c>
    </row>
    <row r="68" spans="1:7" x14ac:dyDescent="0.3">
      <c r="A68" s="36">
        <f>deflators_raw!A68</f>
        <v>2.1224970793817698E-2</v>
      </c>
      <c r="B68" s="36">
        <f>deflators_raw!B68</f>
        <v>5.6401548408471199E-3</v>
      </c>
      <c r="C68" s="36">
        <f>deflators_raw!C68</f>
        <v>3.5080502998483497E-2</v>
      </c>
      <c r="D68" s="36">
        <f>deflators_raw!D68</f>
        <v>3.4679470629119601E-2</v>
      </c>
      <c r="E68" s="36">
        <f>deflators_raw!E68</f>
        <v>3.6953475595025202E-2</v>
      </c>
      <c r="F68" s="36" t="str">
        <f>deflators_raw!F68</f>
        <v>1986 Q3</v>
      </c>
      <c r="G68" s="36" t="str">
        <f>deflators_raw!G68</f>
        <v>historical</v>
      </c>
    </row>
    <row r="69" spans="1:7" x14ac:dyDescent="0.3">
      <c r="A69" s="36">
        <f>deflators_raw!A69</f>
        <v>2.4413629868112598E-2</v>
      </c>
      <c r="B69" s="36">
        <f>deflators_raw!B69</f>
        <v>4.55022354216461E-3</v>
      </c>
      <c r="C69" s="36">
        <f>deflators_raw!C69</f>
        <v>5.1846529521440803E-2</v>
      </c>
      <c r="D69" s="36">
        <f>deflators_raw!D69</f>
        <v>5.3779833992726497E-2</v>
      </c>
      <c r="E69" s="36">
        <f>deflators_raw!E69</f>
        <v>4.4006184582173501E-2</v>
      </c>
      <c r="F69" s="36" t="str">
        <f>deflators_raw!F69</f>
        <v>1986 Q4</v>
      </c>
      <c r="G69" s="36" t="str">
        <f>deflators_raw!G69</f>
        <v>historical</v>
      </c>
    </row>
    <row r="70" spans="1:7" x14ac:dyDescent="0.3">
      <c r="A70" s="36">
        <f>deflators_raw!A70</f>
        <v>3.8220568833408297E-2</v>
      </c>
      <c r="B70" s="36">
        <f>deflators_raw!B70</f>
        <v>-6.8268953681047701E-3</v>
      </c>
      <c r="C70" s="36">
        <f>deflators_raw!C70</f>
        <v>5.8438838081356997E-2</v>
      </c>
      <c r="D70" s="36">
        <f>deflators_raw!D70</f>
        <v>6.6318650583382599E-2</v>
      </c>
      <c r="E70" s="36">
        <f>deflators_raw!E70</f>
        <v>2.5866237951436302E-2</v>
      </c>
      <c r="F70" s="36" t="str">
        <f>deflators_raw!F70</f>
        <v>1987 Q1</v>
      </c>
      <c r="G70" s="36" t="str">
        <f>deflators_raw!G70</f>
        <v>historical</v>
      </c>
    </row>
    <row r="71" spans="1:7" x14ac:dyDescent="0.3">
      <c r="A71" s="36">
        <f>deflators_raw!A71</f>
        <v>3.9129087464599803E-2</v>
      </c>
      <c r="B71" s="36">
        <f>deflators_raw!B71</f>
        <v>1.9164012541417402E-2</v>
      </c>
      <c r="C71" s="36">
        <f>deflators_raw!C71</f>
        <v>4.9764629047473599E-2</v>
      </c>
      <c r="D71" s="36">
        <f>deflators_raw!D71</f>
        <v>5.3726223643289599E-2</v>
      </c>
      <c r="E71" s="36">
        <f>deflators_raw!E71</f>
        <v>3.4070959420577702E-2</v>
      </c>
      <c r="F71" s="36" t="str">
        <f>deflators_raw!F71</f>
        <v>1987 Q2</v>
      </c>
      <c r="G71" s="36" t="str">
        <f>deflators_raw!G71</f>
        <v>historical</v>
      </c>
    </row>
    <row r="72" spans="1:7" x14ac:dyDescent="0.3">
      <c r="A72" s="36">
        <f>deflators_raw!A72</f>
        <v>3.8454021368670203E-2</v>
      </c>
      <c r="B72" s="36">
        <f>deflators_raw!B72</f>
        <v>2.9219770282175001E-2</v>
      </c>
      <c r="C72" s="36">
        <f>deflators_raw!C72</f>
        <v>4.8767596838020802E-2</v>
      </c>
      <c r="D72" s="36">
        <f>deflators_raw!D72</f>
        <v>5.1713813262120399E-2</v>
      </c>
      <c r="E72" s="36">
        <f>deflators_raw!E72</f>
        <v>3.6092988240003197E-2</v>
      </c>
      <c r="F72" s="36" t="str">
        <f>deflators_raw!F72</f>
        <v>1987 Q3</v>
      </c>
      <c r="G72" s="36" t="str">
        <f>deflators_raw!G72</f>
        <v>historical</v>
      </c>
    </row>
    <row r="73" spans="1:7" x14ac:dyDescent="0.3">
      <c r="A73" s="36">
        <f>deflators_raw!A73</f>
        <v>3.5013174112648898E-2</v>
      </c>
      <c r="B73" s="36">
        <f>deflators_raw!B73</f>
        <v>8.3996255435596599E-3</v>
      </c>
      <c r="C73" s="36">
        <f>deflators_raw!C73</f>
        <v>2.4017941519916701E-2</v>
      </c>
      <c r="D73" s="36">
        <f>deflators_raw!D73</f>
        <v>2.4659104438458999E-2</v>
      </c>
      <c r="E73" s="36">
        <f>deflators_raw!E73</f>
        <v>2.13651369698558E-2</v>
      </c>
      <c r="F73" s="36" t="str">
        <f>deflators_raw!F73</f>
        <v>1987 Q4</v>
      </c>
      <c r="G73" s="36" t="str">
        <f>deflators_raw!G73</f>
        <v>historical</v>
      </c>
    </row>
    <row r="74" spans="1:7" x14ac:dyDescent="0.3">
      <c r="A74" s="36">
        <f>deflators_raw!A74</f>
        <v>3.19577361885768E-2</v>
      </c>
      <c r="B74" s="36">
        <f>deflators_raw!B74</f>
        <v>5.5666299963321703E-2</v>
      </c>
      <c r="C74" s="36">
        <f>deflators_raw!C74</f>
        <v>2.0716352252188701E-2</v>
      </c>
      <c r="D74" s="36">
        <f>deflators_raw!D74</f>
        <v>1.7884305064996799E-2</v>
      </c>
      <c r="E74" s="36">
        <f>deflators_raw!E74</f>
        <v>3.2571809116936898E-2</v>
      </c>
      <c r="F74" s="36" t="str">
        <f>deflators_raw!F74</f>
        <v>1988 Q1</v>
      </c>
      <c r="G74" s="36" t="str">
        <f>deflators_raw!G74</f>
        <v>historical</v>
      </c>
    </row>
    <row r="75" spans="1:7" x14ac:dyDescent="0.3">
      <c r="A75" s="36">
        <f>deflators_raw!A75</f>
        <v>4.4899260052234199E-2</v>
      </c>
      <c r="B75" s="36">
        <f>deflators_raw!B75</f>
        <v>3.99278081765242E-2</v>
      </c>
      <c r="C75" s="36">
        <f>deflators_raw!C75</f>
        <v>3.9569529283447501E-2</v>
      </c>
      <c r="D75" s="36">
        <f>deflators_raw!D75</f>
        <v>4.3789897152202203E-2</v>
      </c>
      <c r="E75" s="36">
        <f>deflators_raw!E75</f>
        <v>2.2279292577718199E-2</v>
      </c>
      <c r="F75" s="36" t="str">
        <f>deflators_raw!F75</f>
        <v>1988 Q2</v>
      </c>
      <c r="G75" s="36" t="str">
        <f>deflators_raw!G75</f>
        <v>historical</v>
      </c>
    </row>
    <row r="76" spans="1:7" x14ac:dyDescent="0.3">
      <c r="A76" s="36">
        <f>deflators_raw!A76</f>
        <v>5.0215068802573502E-2</v>
      </c>
      <c r="B76" s="36">
        <f>deflators_raw!B76</f>
        <v>2.3053377277420399E-2</v>
      </c>
      <c r="C76" s="36">
        <f>deflators_raw!C76</f>
        <v>3.4095375309964898E-2</v>
      </c>
      <c r="D76" s="36">
        <f>deflators_raw!D76</f>
        <v>3.6032445200426998E-2</v>
      </c>
      <c r="E76" s="36">
        <f>deflators_raw!E76</f>
        <v>2.6056753006691701E-2</v>
      </c>
      <c r="F76" s="36" t="str">
        <f>deflators_raw!F76</f>
        <v>1988 Q3</v>
      </c>
      <c r="G76" s="36" t="str">
        <f>deflators_raw!G76</f>
        <v>historical</v>
      </c>
    </row>
    <row r="77" spans="1:7" x14ac:dyDescent="0.3">
      <c r="A77" s="36">
        <f>deflators_raw!A77</f>
        <v>4.1025346631292002E-2</v>
      </c>
      <c r="B77" s="36">
        <f>deflators_raw!B77</f>
        <v>3.2561998713341901E-2</v>
      </c>
      <c r="C77" s="36">
        <f>deflators_raw!C77</f>
        <v>4.6587870324487697E-2</v>
      </c>
      <c r="D77" s="36">
        <f>deflators_raw!D77</f>
        <v>5.2865449677459202E-2</v>
      </c>
      <c r="E77" s="36">
        <f>deflators_raw!E77</f>
        <v>2.13020937510979E-2</v>
      </c>
      <c r="F77" s="36" t="str">
        <f>deflators_raw!F77</f>
        <v>1988 Q4</v>
      </c>
      <c r="G77" s="36" t="str">
        <f>deflators_raw!G77</f>
        <v>historical</v>
      </c>
    </row>
    <row r="78" spans="1:7" x14ac:dyDescent="0.3">
      <c r="A78" s="36">
        <f>deflators_raw!A78</f>
        <v>4.6770164599538401E-2</v>
      </c>
      <c r="B78" s="36">
        <f>deflators_raw!B78</f>
        <v>3.00519488200592E-2</v>
      </c>
      <c r="C78" s="36">
        <f>deflators_raw!C78</f>
        <v>5.3649308686662497E-2</v>
      </c>
      <c r="D78" s="36">
        <f>deflators_raw!D78</f>
        <v>6.2050852369377699E-2</v>
      </c>
      <c r="E78" s="36">
        <f>deflators_raw!E78</f>
        <v>1.9463013158635498E-2</v>
      </c>
      <c r="F78" s="36" t="str">
        <f>deflators_raw!F78</f>
        <v>1989 Q1</v>
      </c>
      <c r="G78" s="36" t="str">
        <f>deflators_raw!G78</f>
        <v>historical</v>
      </c>
    </row>
    <row r="79" spans="1:7" x14ac:dyDescent="0.3">
      <c r="A79" s="36">
        <f>deflators_raw!A79</f>
        <v>5.4994617531312101E-2</v>
      </c>
      <c r="B79" s="36">
        <f>deflators_raw!B79</f>
        <v>2.9679316947533299E-2</v>
      </c>
      <c r="C79" s="36">
        <f>deflators_raw!C79</f>
        <v>5.5386400245833703E-2</v>
      </c>
      <c r="D79" s="36">
        <f>deflators_raw!D79</f>
        <v>6.0821876360983101E-2</v>
      </c>
      <c r="E79" s="36">
        <f>deflators_raw!E79</f>
        <v>3.2856918868300999E-2</v>
      </c>
      <c r="F79" s="36" t="str">
        <f>deflators_raw!F79</f>
        <v>1989 Q2</v>
      </c>
      <c r="G79" s="36" t="str">
        <f>deflators_raw!G79</f>
        <v>historical</v>
      </c>
    </row>
    <row r="80" spans="1:7" x14ac:dyDescent="0.3">
      <c r="A80" s="36">
        <f>deflators_raw!A80</f>
        <v>2.3822978628153201E-2</v>
      </c>
      <c r="B80" s="36">
        <f>deflators_raw!B80</f>
        <v>2.0057150963272801E-2</v>
      </c>
      <c r="C80" s="36">
        <f>deflators_raw!C80</f>
        <v>3.8003026529995099E-2</v>
      </c>
      <c r="D80" s="36">
        <f>deflators_raw!D80</f>
        <v>3.9922896172757301E-2</v>
      </c>
      <c r="E80" s="36">
        <f>deflators_raw!E80</f>
        <v>3.0012482573731999E-2</v>
      </c>
      <c r="F80" s="36" t="str">
        <f>deflators_raw!F80</f>
        <v>1989 Q3</v>
      </c>
      <c r="G80" s="36" t="str">
        <f>deflators_raw!G80</f>
        <v>historical</v>
      </c>
    </row>
    <row r="81" spans="1:7" x14ac:dyDescent="0.3">
      <c r="A81" s="36">
        <f>deflators_raw!A81</f>
        <v>3.1803231650019199E-2</v>
      </c>
      <c r="B81" s="36">
        <f>deflators_raw!B81</f>
        <v>1.4432124176051201E-2</v>
      </c>
      <c r="C81" s="36">
        <f>deflators_raw!C81</f>
        <v>5.2696414630741602E-2</v>
      </c>
      <c r="D81" s="36">
        <f>deflators_raw!D81</f>
        <v>6.0046453160524503E-2</v>
      </c>
      <c r="E81" s="36">
        <f>deflators_raw!E81</f>
        <v>2.2222434897181301E-2</v>
      </c>
      <c r="F81" s="36" t="str">
        <f>deflators_raw!F81</f>
        <v>1989 Q4</v>
      </c>
      <c r="G81" s="36" t="str">
        <f>deflators_raw!G81</f>
        <v>historical</v>
      </c>
    </row>
    <row r="82" spans="1:7" x14ac:dyDescent="0.3">
      <c r="A82" s="36">
        <f>deflators_raw!A82</f>
        <v>5.92740793130948E-2</v>
      </c>
      <c r="B82" s="36">
        <f>deflators_raw!B82</f>
        <v>2.8330647899498702E-2</v>
      </c>
      <c r="C82" s="36">
        <f>deflators_raw!C82</f>
        <v>5.7786451291530698E-2</v>
      </c>
      <c r="D82" s="36">
        <f>deflators_raw!D82</f>
        <v>6.4935137330784501E-2</v>
      </c>
      <c r="E82" s="36">
        <f>deflators_raw!E82</f>
        <v>2.9085137772108E-2</v>
      </c>
      <c r="F82" s="36" t="str">
        <f>deflators_raw!F82</f>
        <v>1990 Q1</v>
      </c>
      <c r="G82" s="36" t="str">
        <f>deflators_raw!G82</f>
        <v>historical</v>
      </c>
    </row>
    <row r="83" spans="1:7" x14ac:dyDescent="0.3">
      <c r="A83" s="36">
        <f>deflators_raw!A83</f>
        <v>3.6833081072387398E-2</v>
      </c>
      <c r="B83" s="36">
        <f>deflators_raw!B83</f>
        <v>7.0464261662823505E-2</v>
      </c>
      <c r="C83" s="36">
        <f>deflators_raw!C83</f>
        <v>4.1923258032302999E-2</v>
      </c>
      <c r="D83" s="36">
        <f>deflators_raw!D83</f>
        <v>4.34077415784246E-2</v>
      </c>
      <c r="E83" s="36">
        <f>deflators_raw!E83</f>
        <v>3.5768290293157798E-2</v>
      </c>
      <c r="F83" s="36" t="str">
        <f>deflators_raw!F83</f>
        <v>1990 Q2</v>
      </c>
      <c r="G83" s="36" t="str">
        <f>deflators_raw!G83</f>
        <v>historical</v>
      </c>
    </row>
    <row r="84" spans="1:7" x14ac:dyDescent="0.3">
      <c r="A84" s="36">
        <f>deflators_raw!A84</f>
        <v>5.1769155239957503E-2</v>
      </c>
      <c r="B84" s="36">
        <f>deflators_raw!B84</f>
        <v>5.3870047588526803E-3</v>
      </c>
      <c r="C84" s="36">
        <f>deflators_raw!C84</f>
        <v>5.55152082310457E-2</v>
      </c>
      <c r="D84" s="36">
        <f>deflators_raw!D84</f>
        <v>5.9429132401131797E-2</v>
      </c>
      <c r="E84" s="36">
        <f>deflators_raw!E84</f>
        <v>3.9413809912278698E-2</v>
      </c>
      <c r="F84" s="36" t="str">
        <f>deflators_raw!F84</f>
        <v>1990 Q3</v>
      </c>
      <c r="G84" s="36" t="str">
        <f>deflators_raw!G84</f>
        <v>historical</v>
      </c>
    </row>
    <row r="85" spans="1:7" x14ac:dyDescent="0.3">
      <c r="A85" s="36">
        <f>deflators_raw!A85</f>
        <v>5.3985249536158401E-2</v>
      </c>
      <c r="B85" s="36">
        <f>deflators_raw!B85</f>
        <v>4.8480456964960797E-2</v>
      </c>
      <c r="C85" s="36">
        <f>deflators_raw!C85</f>
        <v>6.4477110328581902E-2</v>
      </c>
      <c r="D85" s="36">
        <f>deflators_raw!D85</f>
        <v>7.7879333039596599E-2</v>
      </c>
      <c r="E85" s="36">
        <f>deflators_raw!E85</f>
        <v>1.0688095589023601E-2</v>
      </c>
      <c r="F85" s="36" t="str">
        <f>deflators_raw!F85</f>
        <v>1990 Q4</v>
      </c>
      <c r="G85" s="36" t="str">
        <f>deflators_raw!G85</f>
        <v>historical</v>
      </c>
    </row>
    <row r="86" spans="1:7" x14ac:dyDescent="0.3">
      <c r="A86" s="36">
        <f>deflators_raw!A86</f>
        <v>2.1158982786186002E-2</v>
      </c>
      <c r="B86" s="36">
        <f>deflators_raw!B86</f>
        <v>3.6386290478485302E-2</v>
      </c>
      <c r="C86" s="36">
        <f>deflators_raw!C86</f>
        <v>1.6920742992818399E-2</v>
      </c>
      <c r="D86" s="36">
        <f>deflators_raw!D86</f>
        <v>1.91574066493869E-2</v>
      </c>
      <c r="E86" s="36">
        <f>deflators_raw!E86</f>
        <v>7.9315148019272197E-3</v>
      </c>
      <c r="F86" s="36" t="str">
        <f>deflators_raw!F86</f>
        <v>1991 Q1</v>
      </c>
      <c r="G86" s="36" t="str">
        <f>deflators_raw!G86</f>
        <v>historical</v>
      </c>
    </row>
    <row r="87" spans="1:7" x14ac:dyDescent="0.3">
      <c r="A87" s="36">
        <f>deflators_raw!A87</f>
        <v>2.2052154501282398E-2</v>
      </c>
      <c r="B87" s="36">
        <f>deflators_raw!B87</f>
        <v>1.9883287825612099E-2</v>
      </c>
      <c r="C87" s="36">
        <f>deflators_raw!C87</f>
        <v>2.4424033288816999E-2</v>
      </c>
      <c r="D87" s="36">
        <f>deflators_raw!D87</f>
        <v>2.5316754451185201E-2</v>
      </c>
      <c r="E87" s="36">
        <f>deflators_raw!E87</f>
        <v>2.0767815828135701E-2</v>
      </c>
      <c r="F87" s="36" t="str">
        <f>deflators_raw!F87</f>
        <v>1991 Q2</v>
      </c>
      <c r="G87" s="36" t="str">
        <f>deflators_raw!G87</f>
        <v>historical</v>
      </c>
    </row>
    <row r="88" spans="1:7" x14ac:dyDescent="0.3">
      <c r="A88" s="36">
        <f>deflators_raw!A88</f>
        <v>2.7438615126695699E-2</v>
      </c>
      <c r="B88" s="36">
        <f>deflators_raw!B88</f>
        <v>5.2374465161812503E-2</v>
      </c>
      <c r="C88" s="36">
        <f>deflators_raw!C88</f>
        <v>3.33810563173942E-2</v>
      </c>
      <c r="D88" s="36">
        <f>deflators_raw!D88</f>
        <v>3.8739820782161899E-2</v>
      </c>
      <c r="E88" s="36">
        <f>deflators_raw!E88</f>
        <v>1.0657034721188501E-2</v>
      </c>
      <c r="F88" s="36" t="str">
        <f>deflators_raw!F88</f>
        <v>1991 Q3</v>
      </c>
      <c r="G88" s="36" t="str">
        <f>deflators_raw!G88</f>
        <v>historical</v>
      </c>
    </row>
    <row r="89" spans="1:7" x14ac:dyDescent="0.3">
      <c r="A89" s="36">
        <f>deflators_raw!A89</f>
        <v>2.9370792816648401E-2</v>
      </c>
      <c r="B89" s="36">
        <f>deflators_raw!B89</f>
        <v>4.1076934031538899E-2</v>
      </c>
      <c r="C89" s="36">
        <f>deflators_raw!C89</f>
        <v>3.5351344279153103E-2</v>
      </c>
      <c r="D89" s="36">
        <f>deflators_raw!D89</f>
        <v>4.6254885206873202E-2</v>
      </c>
      <c r="E89" s="36">
        <f>deflators_raw!E89</f>
        <v>-9.9690396175571294E-3</v>
      </c>
      <c r="F89" s="36" t="str">
        <f>deflators_raw!F89</f>
        <v>1991 Q4</v>
      </c>
      <c r="G89" s="36" t="str">
        <f>deflators_raw!G89</f>
        <v>historical</v>
      </c>
    </row>
    <row r="90" spans="1:7" x14ac:dyDescent="0.3">
      <c r="A90" s="36">
        <f>deflators_raw!A90</f>
        <v>2.5261592124571599E-2</v>
      </c>
      <c r="B90" s="36">
        <f>deflators_raw!B90</f>
        <v>5.8581566563336001E-3</v>
      </c>
      <c r="C90" s="36">
        <f>deflators_raw!C90</f>
        <v>2.8847885320816901E-2</v>
      </c>
      <c r="D90" s="36">
        <f>deflators_raw!D90</f>
        <v>3.8335869645315497E-2</v>
      </c>
      <c r="E90" s="36">
        <f>deflators_raw!E90</f>
        <v>-1.04267601108922E-2</v>
      </c>
      <c r="F90" s="36" t="str">
        <f>deflators_raw!F90</f>
        <v>1992 Q1</v>
      </c>
      <c r="G90" s="36" t="str">
        <f>deflators_raw!G90</f>
        <v>historical</v>
      </c>
    </row>
    <row r="91" spans="1:7" x14ac:dyDescent="0.3">
      <c r="A91" s="36">
        <f>deflators_raw!A91</f>
        <v>2.6883329197386899E-2</v>
      </c>
      <c r="B91" s="36">
        <f>deflators_raw!B91</f>
        <v>1.4672046081608801E-2</v>
      </c>
      <c r="C91" s="36">
        <f>deflators_raw!C91</f>
        <v>4.86062973431345E-2</v>
      </c>
      <c r="D91" s="36">
        <f>deflators_raw!D91</f>
        <v>5.5488923116520997E-2</v>
      </c>
      <c r="E91" s="36">
        <f>deflators_raw!E91</f>
        <v>1.90848323659343E-2</v>
      </c>
      <c r="F91" s="36" t="str">
        <f>deflators_raw!F91</f>
        <v>1992 Q2</v>
      </c>
      <c r="G91" s="36" t="str">
        <f>deflators_raw!G91</f>
        <v>historical</v>
      </c>
    </row>
    <row r="92" spans="1:7" x14ac:dyDescent="0.3">
      <c r="A92" s="36">
        <f>deflators_raw!A92</f>
        <v>2.57889573012124E-2</v>
      </c>
      <c r="B92" s="36">
        <f>deflators_raw!B92</f>
        <v>3.5352763805176303E-2</v>
      </c>
      <c r="C92" s="36">
        <f>deflators_raw!C92</f>
        <v>2.9855014538054898E-2</v>
      </c>
      <c r="D92" s="36">
        <f>deflators_raw!D92</f>
        <v>3.4689577494526398E-2</v>
      </c>
      <c r="E92" s="36">
        <f>deflators_raw!E92</f>
        <v>8.1492648352745594E-3</v>
      </c>
      <c r="F92" s="36" t="str">
        <f>deflators_raw!F92</f>
        <v>1992 Q3</v>
      </c>
      <c r="G92" s="36" t="str">
        <f>deflators_raw!G92</f>
        <v>historical</v>
      </c>
    </row>
    <row r="93" spans="1:7" x14ac:dyDescent="0.3">
      <c r="A93" s="36">
        <f>deflators_raw!A93</f>
        <v>2.8170464275272301E-2</v>
      </c>
      <c r="B93" s="36">
        <f>deflators_raw!B93</f>
        <v>2.5395981622951001E-2</v>
      </c>
      <c r="C93" s="36">
        <f>deflators_raw!C93</f>
        <v>2.75506450255283E-2</v>
      </c>
      <c r="D93" s="36">
        <f>deflators_raw!D93</f>
        <v>2.9547347848341E-2</v>
      </c>
      <c r="E93" s="36">
        <f>deflators_raw!E93</f>
        <v>1.8368205985927599E-2</v>
      </c>
      <c r="F93" s="36" t="str">
        <f>deflators_raw!F93</f>
        <v>1992 Q4</v>
      </c>
      <c r="G93" s="36" t="str">
        <f>deflators_raw!G93</f>
        <v>historical</v>
      </c>
    </row>
    <row r="94" spans="1:7" x14ac:dyDescent="0.3">
      <c r="A94" s="36">
        <f>deflators_raw!A94</f>
        <v>2.40619409805858E-2</v>
      </c>
      <c r="B94" s="36">
        <f>deflators_raw!B94</f>
        <v>9.9983702538513092E-3</v>
      </c>
      <c r="C94" s="36">
        <f>deflators_raw!C94</f>
        <v>2.3462964516600501E-2</v>
      </c>
      <c r="D94" s="36">
        <f>deflators_raw!D94</f>
        <v>2.2073085991106502E-2</v>
      </c>
      <c r="E94" s="36">
        <f>deflators_raw!E94</f>
        <v>3.0096377482488099E-2</v>
      </c>
      <c r="F94" s="36" t="str">
        <f>deflators_raw!F94</f>
        <v>1993 Q1</v>
      </c>
      <c r="G94" s="36" t="str">
        <f>deflators_raw!G94</f>
        <v>historical</v>
      </c>
    </row>
    <row r="95" spans="1:7" x14ac:dyDescent="0.3">
      <c r="A95" s="36">
        <f>deflators_raw!A95</f>
        <v>2.70873737268695E-2</v>
      </c>
      <c r="B95" s="36">
        <f>deflators_raw!B95</f>
        <v>1.7716185249098602E-2</v>
      </c>
      <c r="C95" s="36">
        <f>deflators_raw!C95</f>
        <v>2.3781606170840699E-2</v>
      </c>
      <c r="D95" s="36">
        <f>deflators_raw!D95</f>
        <v>2.3867747826854101E-2</v>
      </c>
      <c r="E95" s="36">
        <f>deflators_raw!E95</f>
        <v>2.3524161594785199E-2</v>
      </c>
      <c r="F95" s="36" t="str">
        <f>deflators_raw!F95</f>
        <v>1993 Q2</v>
      </c>
      <c r="G95" s="36" t="str">
        <f>deflators_raw!G95</f>
        <v>historical</v>
      </c>
    </row>
    <row r="96" spans="1:7" x14ac:dyDescent="0.3">
      <c r="A96" s="36">
        <f>deflators_raw!A96</f>
        <v>1.7542540867755401E-2</v>
      </c>
      <c r="B96" s="36">
        <f>deflators_raw!B96</f>
        <v>2.9283418694515902E-2</v>
      </c>
      <c r="C96" s="36">
        <f>deflators_raw!C96</f>
        <v>1.1469523622669399E-2</v>
      </c>
      <c r="D96" s="36">
        <f>deflators_raw!D96</f>
        <v>1.3096071782226999E-2</v>
      </c>
      <c r="E96" s="36">
        <f>deflators_raw!E96</f>
        <v>4.0598599880798903E-3</v>
      </c>
      <c r="F96" s="36" t="str">
        <f>deflators_raw!F96</f>
        <v>1993 Q3</v>
      </c>
      <c r="G96" s="36" t="str">
        <f>deflators_raw!G96</f>
        <v>historical</v>
      </c>
    </row>
    <row r="97" spans="1:7" x14ac:dyDescent="0.3">
      <c r="A97" s="36">
        <f>deflators_raw!A97</f>
        <v>2.3240038949048102E-2</v>
      </c>
      <c r="B97" s="36">
        <f>deflators_raw!B97</f>
        <v>3.6370296177081797E-2</v>
      </c>
      <c r="C97" s="36">
        <f>deflators_raw!C97</f>
        <v>2.0341173665225899E-2</v>
      </c>
      <c r="D97" s="36">
        <f>deflators_raw!D97</f>
        <v>2.0612838101556001E-2</v>
      </c>
      <c r="E97" s="36">
        <f>deflators_raw!E97</f>
        <v>1.8816279960193898E-2</v>
      </c>
      <c r="F97" s="36" t="str">
        <f>deflators_raw!F97</f>
        <v>1993 Q4</v>
      </c>
      <c r="G97" s="36" t="str">
        <f>deflators_raw!G97</f>
        <v>historical</v>
      </c>
    </row>
    <row r="98" spans="1:7" x14ac:dyDescent="0.3">
      <c r="A98" s="36">
        <f>deflators_raw!A98</f>
        <v>1.4387423449919501E-2</v>
      </c>
      <c r="B98" s="36">
        <f>deflators_raw!B98</f>
        <v>1.8449816517922799E-2</v>
      </c>
      <c r="C98" s="36">
        <f>deflators_raw!C98</f>
        <v>3.3070461521807398E-2</v>
      </c>
      <c r="D98" s="36">
        <f>deflators_raw!D98</f>
        <v>3.3921123111567301E-2</v>
      </c>
      <c r="E98" s="36">
        <f>deflators_raw!E98</f>
        <v>2.9526755688726598E-2</v>
      </c>
      <c r="F98" s="36" t="str">
        <f>deflators_raw!F98</f>
        <v>1994 Q1</v>
      </c>
      <c r="G98" s="36" t="str">
        <f>deflators_raw!G98</f>
        <v>historical</v>
      </c>
    </row>
    <row r="99" spans="1:7" x14ac:dyDescent="0.3">
      <c r="A99" s="36">
        <f>deflators_raw!A99</f>
        <v>2.2496438657089599E-2</v>
      </c>
      <c r="B99" s="36">
        <f>deflators_raw!B99</f>
        <v>3.3991498444716703E-2</v>
      </c>
      <c r="C99" s="36">
        <f>deflators_raw!C99</f>
        <v>2.2445608905782101E-2</v>
      </c>
      <c r="D99" s="36">
        <f>deflators_raw!D99</f>
        <v>2.3479894269272002E-2</v>
      </c>
      <c r="E99" s="36">
        <f>deflators_raw!E99</f>
        <v>1.7453105874537699E-2</v>
      </c>
      <c r="F99" s="36" t="str">
        <f>deflators_raw!F99</f>
        <v>1994 Q2</v>
      </c>
      <c r="G99" s="36" t="str">
        <f>deflators_raw!G99</f>
        <v>historical</v>
      </c>
    </row>
    <row r="100" spans="1:7" x14ac:dyDescent="0.3">
      <c r="A100" s="36">
        <f>deflators_raw!A100</f>
        <v>2.90726218207682E-2</v>
      </c>
      <c r="B100" s="36">
        <f>deflators_raw!B100</f>
        <v>2.3185974053502999E-2</v>
      </c>
      <c r="C100" s="36">
        <f>deflators_raw!C100</f>
        <v>3.5443622243840803E-2</v>
      </c>
      <c r="D100" s="36">
        <f>deflators_raw!D100</f>
        <v>3.5391871305663798E-2</v>
      </c>
      <c r="E100" s="36">
        <f>deflators_raw!E100</f>
        <v>3.5482240520336501E-2</v>
      </c>
      <c r="F100" s="36" t="str">
        <f>deflators_raw!F100</f>
        <v>1994 Q3</v>
      </c>
      <c r="G100" s="36" t="str">
        <f>deflators_raw!G100</f>
        <v>historical</v>
      </c>
    </row>
    <row r="101" spans="1:7" x14ac:dyDescent="0.3">
      <c r="A101" s="36">
        <f>deflators_raw!A101</f>
        <v>1.88663260541506E-2</v>
      </c>
      <c r="B101" s="36">
        <f>deflators_raw!B101</f>
        <v>3.3254108726641599E-2</v>
      </c>
      <c r="C101" s="36">
        <f>deflators_raw!C101</f>
        <v>3.4394192726805897E-2</v>
      </c>
      <c r="D101" s="36">
        <f>deflators_raw!D101</f>
        <v>3.4634574022881899E-2</v>
      </c>
      <c r="E101" s="36">
        <f>deflators_raw!E101</f>
        <v>3.3748767658719397E-2</v>
      </c>
      <c r="F101" s="36" t="str">
        <f>deflators_raw!F101</f>
        <v>1994 Q4</v>
      </c>
      <c r="G101" s="36" t="str">
        <f>deflators_raw!G101</f>
        <v>historical</v>
      </c>
    </row>
    <row r="102" spans="1:7" x14ac:dyDescent="0.3">
      <c r="A102" s="36">
        <f>deflators_raw!A102</f>
        <v>1.9752209109685798E-2</v>
      </c>
      <c r="B102" s="36">
        <f>deflators_raw!B102</f>
        <v>3.4122786590531799E-2</v>
      </c>
      <c r="C102" s="36">
        <f>deflators_raw!C102</f>
        <v>2.2517710999607799E-2</v>
      </c>
      <c r="D102" s="36">
        <f>deflators_raw!D102</f>
        <v>1.8555272424330301E-2</v>
      </c>
      <c r="E102" s="36">
        <f>deflators_raw!E102</f>
        <v>4.0528253340275301E-2</v>
      </c>
      <c r="F102" s="36" t="str">
        <f>deflators_raw!F102</f>
        <v>1995 Q1</v>
      </c>
      <c r="G102" s="36" t="str">
        <f>deflators_raw!G102</f>
        <v>historical</v>
      </c>
    </row>
    <row r="103" spans="1:7" x14ac:dyDescent="0.3">
      <c r="A103" s="36">
        <f>deflators_raw!A103</f>
        <v>2.3426148348960799E-2</v>
      </c>
      <c r="B103" s="36">
        <f>deflators_raw!B103</f>
        <v>2.6924495262994098E-2</v>
      </c>
      <c r="C103" s="36">
        <f>deflators_raw!C103</f>
        <v>3.0712351155875301E-2</v>
      </c>
      <c r="D103" s="36">
        <f>deflators_raw!D103</f>
        <v>3.10950653969519E-2</v>
      </c>
      <c r="E103" s="36">
        <f>deflators_raw!E103</f>
        <v>2.8884969324625399E-2</v>
      </c>
      <c r="F103" s="36" t="str">
        <f>deflators_raw!F103</f>
        <v>1995 Q2</v>
      </c>
      <c r="G103" s="36" t="str">
        <f>deflators_raw!G103</f>
        <v>historical</v>
      </c>
    </row>
    <row r="104" spans="1:7" x14ac:dyDescent="0.3">
      <c r="A104" s="36">
        <f>deflators_raw!A104</f>
        <v>1.6481276503132601E-2</v>
      </c>
      <c r="B104" s="36">
        <f>deflators_raw!B104</f>
        <v>2.0844963333619401E-2</v>
      </c>
      <c r="C104" s="36">
        <f>deflators_raw!C104</f>
        <v>1.6578342610262399E-2</v>
      </c>
      <c r="D104" s="36">
        <f>deflators_raw!D104</f>
        <v>1.5303746558651399E-2</v>
      </c>
      <c r="E104" s="36">
        <f>deflators_raw!E104</f>
        <v>2.2275298720186399E-2</v>
      </c>
      <c r="F104" s="36" t="str">
        <f>deflators_raw!F104</f>
        <v>1995 Q3</v>
      </c>
      <c r="G104" s="36" t="str">
        <f>deflators_raw!G104</f>
        <v>historical</v>
      </c>
    </row>
    <row r="105" spans="1:7" x14ac:dyDescent="0.3">
      <c r="A105" s="36">
        <f>deflators_raw!A105</f>
        <v>1.77105887350755E-2</v>
      </c>
      <c r="B105" s="36">
        <f>deflators_raw!B105</f>
        <v>5.6392491810183902E-2</v>
      </c>
      <c r="C105" s="36">
        <f>deflators_raw!C105</f>
        <v>1.53745683650881E-2</v>
      </c>
      <c r="D105" s="36">
        <f>deflators_raw!D105</f>
        <v>1.3670147091618101E-2</v>
      </c>
      <c r="E105" s="36">
        <f>deflators_raw!E105</f>
        <v>2.3245190160411201E-2</v>
      </c>
      <c r="F105" s="36" t="str">
        <f>deflators_raw!F105</f>
        <v>1995 Q4</v>
      </c>
      <c r="G105" s="36" t="str">
        <f>deflators_raw!G105</f>
        <v>historical</v>
      </c>
    </row>
    <row r="106" spans="1:7" x14ac:dyDescent="0.3">
      <c r="A106" s="36">
        <f>deflators_raw!A106</f>
        <v>2.24149830534284E-2</v>
      </c>
      <c r="B106" s="36">
        <f>deflators_raw!B106</f>
        <v>9.43340099661172E-3</v>
      </c>
      <c r="C106" s="36">
        <f>deflators_raw!C106</f>
        <v>4.0560107611520499E-2</v>
      </c>
      <c r="D106" s="36">
        <f>deflators_raw!D106</f>
        <v>4.4785324127958097E-2</v>
      </c>
      <c r="E106" s="36">
        <f>deflators_raw!E106</f>
        <v>2.1616654614663E-2</v>
      </c>
      <c r="F106" s="36" t="str">
        <f>deflators_raw!F106</f>
        <v>1996 Q1</v>
      </c>
      <c r="G106" s="36" t="str">
        <f>deflators_raw!G106</f>
        <v>historical</v>
      </c>
    </row>
    <row r="107" spans="1:7" x14ac:dyDescent="0.3">
      <c r="A107" s="36">
        <f>deflators_raw!A107</f>
        <v>2.7006131410312901E-2</v>
      </c>
      <c r="B107" s="36">
        <f>deflators_raw!B107</f>
        <v>-2.1272525988481301E-2</v>
      </c>
      <c r="C107" s="36">
        <f>deflators_raw!C107</f>
        <v>5.4752144077812002E-3</v>
      </c>
      <c r="D107" s="36">
        <f>deflators_raw!D107</f>
        <v>5.7381634098421204E-3</v>
      </c>
      <c r="E107" s="36">
        <f>deflators_raw!E107</f>
        <v>4.4593389946305803E-3</v>
      </c>
      <c r="F107" s="36" t="str">
        <f>deflators_raw!F107</f>
        <v>1996 Q2</v>
      </c>
      <c r="G107" s="36" t="str">
        <f>deflators_raw!G107</f>
        <v>historical</v>
      </c>
    </row>
    <row r="108" spans="1:7" x14ac:dyDescent="0.3">
      <c r="A108" s="36">
        <f>deflators_raw!A108</f>
        <v>1.7195373350960198E-2</v>
      </c>
      <c r="B108" s="36">
        <f>deflators_raw!B108</f>
        <v>2.3444846886997699E-2</v>
      </c>
      <c r="C108" s="36">
        <f>deflators_raw!C108</f>
        <v>2.5520395448680702E-2</v>
      </c>
      <c r="D108" s="36">
        <f>deflators_raw!D108</f>
        <v>2.6760970425558899E-2</v>
      </c>
      <c r="E108" s="36">
        <f>deflators_raw!E108</f>
        <v>1.9993530620905801E-2</v>
      </c>
      <c r="F108" s="36" t="str">
        <f>deflators_raw!F108</f>
        <v>1996 Q3</v>
      </c>
      <c r="G108" s="36" t="str">
        <f>deflators_raw!G108</f>
        <v>historical</v>
      </c>
    </row>
    <row r="109" spans="1:7" x14ac:dyDescent="0.3">
      <c r="A109" s="36">
        <f>deflators_raw!A109</f>
        <v>2.7544322225657499E-2</v>
      </c>
      <c r="B109" s="36">
        <f>deflators_raw!B109</f>
        <v>1.3803868113502E-2</v>
      </c>
      <c r="C109" s="36">
        <f>deflators_raw!C109</f>
        <v>2.9000220413744102E-2</v>
      </c>
      <c r="D109" s="36">
        <f>deflators_raw!D109</f>
        <v>3.2814056779429501E-2</v>
      </c>
      <c r="E109" s="36">
        <f>deflators_raw!E109</f>
        <v>1.3007743413415899E-2</v>
      </c>
      <c r="F109" s="36" t="str">
        <f>deflators_raw!F109</f>
        <v>1996 Q4</v>
      </c>
      <c r="G109" s="36" t="str">
        <f>deflators_raw!G109</f>
        <v>historical</v>
      </c>
    </row>
    <row r="110" spans="1:7" x14ac:dyDescent="0.3">
      <c r="A110" s="36">
        <f>deflators_raw!A110</f>
        <v>1.7773223680601899E-2</v>
      </c>
      <c r="B110" s="36">
        <f>deflators_raw!B110</f>
        <v>1.36962800731413E-2</v>
      </c>
      <c r="C110" s="36">
        <f>deflators_raw!C110</f>
        <v>2.6774170865188102E-2</v>
      </c>
      <c r="D110" s="36">
        <f>deflators_raw!D110</f>
        <v>2.76992412803541E-2</v>
      </c>
      <c r="E110" s="36">
        <f>deflators_raw!E110</f>
        <v>2.2772194889475902E-2</v>
      </c>
      <c r="F110" s="36" t="str">
        <f>deflators_raw!F110</f>
        <v>1997 Q1</v>
      </c>
      <c r="G110" s="36" t="str">
        <f>deflators_raw!G110</f>
        <v>historical</v>
      </c>
    </row>
    <row r="111" spans="1:7" x14ac:dyDescent="0.3">
      <c r="A111" s="36">
        <f>deflators_raw!A111</f>
        <v>1.0067171002752701E-2</v>
      </c>
      <c r="B111" s="36">
        <f>deflators_raw!B111</f>
        <v>2.65913479501769E-2</v>
      </c>
      <c r="C111" s="36">
        <f>deflators_raw!C111</f>
        <v>1.29933584708952E-2</v>
      </c>
      <c r="D111" s="36">
        <f>deflators_raw!D111</f>
        <v>9.5884799897107999E-3</v>
      </c>
      <c r="E111" s="36">
        <f>deflators_raw!E111</f>
        <v>2.7578432526699701E-2</v>
      </c>
      <c r="F111" s="36" t="str">
        <f>deflators_raw!F111</f>
        <v>1997 Q2</v>
      </c>
      <c r="G111" s="36" t="str">
        <f>deflators_raw!G111</f>
        <v>historical</v>
      </c>
    </row>
    <row r="112" spans="1:7" x14ac:dyDescent="0.3">
      <c r="A112" s="36">
        <f>deflators_raw!A112</f>
        <v>1.05839184448571E-2</v>
      </c>
      <c r="B112" s="36">
        <f>deflators_raw!B112</f>
        <v>9.2223862003817398E-3</v>
      </c>
      <c r="C112" s="36">
        <f>deflators_raw!C112</f>
        <v>1.75240784386392E-2</v>
      </c>
      <c r="D112" s="36">
        <f>deflators_raw!D112</f>
        <v>1.9268623425193102E-2</v>
      </c>
      <c r="E112" s="36">
        <f>deflators_raw!E112</f>
        <v>1.0181522541022199E-2</v>
      </c>
      <c r="F112" s="36" t="str">
        <f>deflators_raw!F112</f>
        <v>1997 Q3</v>
      </c>
      <c r="G112" s="36" t="str">
        <f>deflators_raw!G112</f>
        <v>historical</v>
      </c>
    </row>
    <row r="113" spans="1:7" x14ac:dyDescent="0.3">
      <c r="A113" s="36">
        <f>deflators_raw!A113</f>
        <v>1.26121897911931E-2</v>
      </c>
      <c r="B113" s="36">
        <f>deflators_raw!B113</f>
        <v>2.8333969394931401E-2</v>
      </c>
      <c r="C113" s="36">
        <f>deflators_raw!C113</f>
        <v>3.1679376610520997E-2</v>
      </c>
      <c r="D113" s="36">
        <f>deflators_raw!D113</f>
        <v>3.3061309623051399E-2</v>
      </c>
      <c r="E113" s="36">
        <f>deflators_raw!E113</f>
        <v>2.5996696664996499E-2</v>
      </c>
      <c r="F113" s="36" t="str">
        <f>deflators_raw!F113</f>
        <v>1997 Q4</v>
      </c>
      <c r="G113" s="36" t="str">
        <f>deflators_raw!G113</f>
        <v>historical</v>
      </c>
    </row>
    <row r="114" spans="1:7" x14ac:dyDescent="0.3">
      <c r="A114" s="36">
        <f>deflators_raw!A114</f>
        <v>3.2090280398078302E-4</v>
      </c>
      <c r="B114" s="36">
        <f>deflators_raw!B114</f>
        <v>-1.66473304304918E-2</v>
      </c>
      <c r="C114" s="36">
        <f>deflators_raw!C114</f>
        <v>5.4109448448214099E-3</v>
      </c>
      <c r="D114" s="36">
        <f>deflators_raw!D114</f>
        <v>6.3326118015940604E-3</v>
      </c>
      <c r="E114" s="36">
        <f>deflators_raw!E114</f>
        <v>1.3539104320199301E-3</v>
      </c>
      <c r="F114" s="36" t="str">
        <f>deflators_raw!F114</f>
        <v>1998 Q1</v>
      </c>
      <c r="G114" s="36" t="str">
        <f>deflators_raw!G114</f>
        <v>historical</v>
      </c>
    </row>
    <row r="115" spans="1:7" x14ac:dyDescent="0.3">
      <c r="A115" s="36">
        <f>deflators_raw!A115</f>
        <v>7.2384308298694099E-3</v>
      </c>
      <c r="B115" s="36">
        <f>deflators_raw!B115</f>
        <v>2.5981704959145799E-2</v>
      </c>
      <c r="C115" s="36">
        <f>deflators_raw!C115</f>
        <v>1.78273820322872E-2</v>
      </c>
      <c r="D115" s="36">
        <f>deflators_raw!D115</f>
        <v>2.14418814289523E-2</v>
      </c>
      <c r="E115" s="36">
        <f>deflators_raw!E115</f>
        <v>2.5146473935451202E-3</v>
      </c>
      <c r="F115" s="36" t="str">
        <f>deflators_raw!F115</f>
        <v>1998 Q2</v>
      </c>
      <c r="G115" s="36" t="str">
        <f>deflators_raw!G115</f>
        <v>historical</v>
      </c>
    </row>
    <row r="116" spans="1:7" x14ac:dyDescent="0.3">
      <c r="A116" s="36">
        <f>deflators_raw!A116</f>
        <v>1.2387156771827E-2</v>
      </c>
      <c r="B116" s="36">
        <f>deflators_raw!B116</f>
        <v>2.6407820145390601E-2</v>
      </c>
      <c r="C116" s="36">
        <f>deflators_raw!C116</f>
        <v>3.0298350256599701E-2</v>
      </c>
      <c r="D116" s="36">
        <f>deflators_raw!D116</f>
        <v>3.1605845001569703E-2</v>
      </c>
      <c r="E116" s="36">
        <f>deflators_raw!E116</f>
        <v>2.4885302644445099E-2</v>
      </c>
      <c r="F116" s="36" t="str">
        <f>deflators_raw!F116</f>
        <v>1998 Q3</v>
      </c>
      <c r="G116" s="36" t="str">
        <f>deflators_raw!G116</f>
        <v>historical</v>
      </c>
    </row>
    <row r="117" spans="1:7" x14ac:dyDescent="0.3">
      <c r="A117" s="36">
        <f>deflators_raw!A117</f>
        <v>1.0631455336088899E-2</v>
      </c>
      <c r="B117" s="36">
        <f>deflators_raw!B117</f>
        <v>1.29075602616771E-2</v>
      </c>
      <c r="C117" s="36">
        <f>deflators_raw!C117</f>
        <v>3.38428167690683E-2</v>
      </c>
      <c r="D117" s="36">
        <f>deflators_raw!D117</f>
        <v>3.6519198475668799E-2</v>
      </c>
      <c r="E117" s="36">
        <f>deflators_raw!E117</f>
        <v>2.2777873103542599E-2</v>
      </c>
      <c r="F117" s="36" t="str">
        <f>deflators_raw!F117</f>
        <v>1998 Q4</v>
      </c>
      <c r="G117" s="36" t="str">
        <f>deflators_raw!G117</f>
        <v>historical</v>
      </c>
    </row>
    <row r="118" spans="1:7" x14ac:dyDescent="0.3">
      <c r="A118" s="36">
        <f>deflators_raw!A118</f>
        <v>7.8778546175835001E-3</v>
      </c>
      <c r="B118" s="36">
        <f>deflators_raw!B118</f>
        <v>1.19346323256166E-2</v>
      </c>
      <c r="C118" s="36">
        <f>deflators_raw!C118</f>
        <v>3.1086541041110499E-2</v>
      </c>
      <c r="D118" s="36">
        <f>deflators_raw!D118</f>
        <v>3.4639204699016303E-2</v>
      </c>
      <c r="E118" s="36">
        <f>deflators_raw!E118</f>
        <v>1.61297394114919E-2</v>
      </c>
      <c r="F118" s="36" t="str">
        <f>deflators_raw!F118</f>
        <v>1999 Q1</v>
      </c>
      <c r="G118" s="36" t="str">
        <f>deflators_raw!G118</f>
        <v>historical</v>
      </c>
    </row>
    <row r="119" spans="1:7" x14ac:dyDescent="0.3">
      <c r="A119" s="36">
        <f>deflators_raw!A119</f>
        <v>2.2971603454798002E-2</v>
      </c>
      <c r="B119" s="36">
        <f>deflators_raw!B119</f>
        <v>3.4068264295770097E-2</v>
      </c>
      <c r="C119" s="36">
        <f>deflators_raw!C119</f>
        <v>5.5237990580782499E-2</v>
      </c>
      <c r="D119" s="36">
        <f>deflators_raw!D119</f>
        <v>6.1370356227924201E-2</v>
      </c>
      <c r="E119" s="36">
        <f>deflators_raw!E119</f>
        <v>2.99883116478201E-2</v>
      </c>
      <c r="F119" s="36" t="str">
        <f>deflators_raw!F119</f>
        <v>1999 Q2</v>
      </c>
      <c r="G119" s="36" t="str">
        <f>deflators_raw!G119</f>
        <v>historical</v>
      </c>
    </row>
    <row r="120" spans="1:7" x14ac:dyDescent="0.3">
      <c r="A120" s="36">
        <f>deflators_raw!A120</f>
        <v>2.21977740334749E-2</v>
      </c>
      <c r="B120" s="36">
        <f>deflators_raw!B120</f>
        <v>3.6824162588046098E-2</v>
      </c>
      <c r="C120" s="36">
        <f>deflators_raw!C120</f>
        <v>4.8912778707565802E-2</v>
      </c>
      <c r="D120" s="36">
        <f>deflators_raw!D120</f>
        <v>5.6562220210462498E-2</v>
      </c>
      <c r="E120" s="36">
        <f>deflators_raw!E120</f>
        <v>1.6964868305367399E-2</v>
      </c>
      <c r="F120" s="36" t="str">
        <f>deflators_raw!F120</f>
        <v>1999 Q3</v>
      </c>
      <c r="G120" s="36" t="str">
        <f>deflators_raw!G120</f>
        <v>historical</v>
      </c>
    </row>
    <row r="121" spans="1:7" x14ac:dyDescent="0.3">
      <c r="A121" s="36">
        <f>deflators_raw!A121</f>
        <v>2.4473399596212499E-2</v>
      </c>
      <c r="B121" s="36">
        <f>deflators_raw!B121</f>
        <v>5.00811045761866E-2</v>
      </c>
      <c r="C121" s="36">
        <f>deflators_raw!C121</f>
        <v>4.67532839936027E-2</v>
      </c>
      <c r="D121" s="36">
        <f>deflators_raw!D121</f>
        <v>4.9726482376824199E-2</v>
      </c>
      <c r="E121" s="36">
        <f>deflators_raw!E121</f>
        <v>3.4513513517111301E-2</v>
      </c>
      <c r="F121" s="36" t="str">
        <f>deflators_raw!F121</f>
        <v>1999 Q4</v>
      </c>
      <c r="G121" s="36" t="str">
        <f>deflators_raw!G121</f>
        <v>historical</v>
      </c>
    </row>
    <row r="122" spans="1:7" x14ac:dyDescent="0.3">
      <c r="A122" s="36">
        <f>deflators_raw!A122</f>
        <v>3.2886107964122897E-2</v>
      </c>
      <c r="B122" s="36">
        <f>deflators_raw!B122</f>
        <v>3.9540884737924602E-2</v>
      </c>
      <c r="C122" s="36">
        <f>deflators_raw!C122</f>
        <v>5.2100481054129198E-2</v>
      </c>
      <c r="D122" s="36">
        <f>deflators_raw!D122</f>
        <v>5.7040318663066601E-2</v>
      </c>
      <c r="E122" s="36">
        <f>deflators_raw!E122</f>
        <v>3.2054289459933799E-2</v>
      </c>
      <c r="F122" s="36" t="str">
        <f>deflators_raw!F122</f>
        <v>2000 Q1</v>
      </c>
      <c r="G122" s="36" t="str">
        <f>deflators_raw!G122</f>
        <v>historical</v>
      </c>
    </row>
    <row r="123" spans="1:7" x14ac:dyDescent="0.3">
      <c r="A123" s="36">
        <f>deflators_raw!A123</f>
        <v>1.9193585341739101E-2</v>
      </c>
      <c r="B123" s="36">
        <f>deflators_raw!B123</f>
        <v>1.5459188057563401E-2</v>
      </c>
      <c r="C123" s="36">
        <f>deflators_raw!C123</f>
        <v>4.3137591071386303E-2</v>
      </c>
      <c r="D123" s="36">
        <f>deflators_raw!D123</f>
        <v>4.2438786901308999E-2</v>
      </c>
      <c r="E123" s="36">
        <f>deflators_raw!E123</f>
        <v>4.6322155050911397E-2</v>
      </c>
      <c r="F123" s="36" t="str">
        <f>deflators_raw!F123</f>
        <v>2000 Q2</v>
      </c>
      <c r="G123" s="36" t="str">
        <f>deflators_raw!G123</f>
        <v>historical</v>
      </c>
    </row>
    <row r="124" spans="1:7" x14ac:dyDescent="0.3">
      <c r="A124" s="36">
        <f>deflators_raw!A124</f>
        <v>2.6053548554263901E-2</v>
      </c>
      <c r="B124" s="36">
        <f>deflators_raw!B124</f>
        <v>2.8949345820011199E-2</v>
      </c>
      <c r="C124" s="36">
        <f>deflators_raw!C124</f>
        <v>4.3621452355276299E-2</v>
      </c>
      <c r="D124" s="36">
        <f>deflators_raw!D124</f>
        <v>4.7728620369875199E-2</v>
      </c>
      <c r="E124" s="36">
        <f>deflators_raw!E124</f>
        <v>2.6457667912965801E-2</v>
      </c>
      <c r="F124" s="36" t="str">
        <f>deflators_raw!F124</f>
        <v>2000 Q3</v>
      </c>
      <c r="G124" s="36" t="str">
        <f>deflators_raw!G124</f>
        <v>historical</v>
      </c>
    </row>
    <row r="125" spans="1:7" x14ac:dyDescent="0.3">
      <c r="A125" s="36">
        <f>deflators_raw!A125</f>
        <v>2.2816932316492001E-2</v>
      </c>
      <c r="B125" s="36">
        <f>deflators_raw!B125</f>
        <v>1.82242710503548E-2</v>
      </c>
      <c r="C125" s="36">
        <f>deflators_raw!C125</f>
        <v>5.08936788411576E-2</v>
      </c>
      <c r="D125" s="36">
        <f>deflators_raw!D125</f>
        <v>5.7499642478727998E-2</v>
      </c>
      <c r="E125" s="36">
        <f>deflators_raw!E125</f>
        <v>2.3755596803619598E-2</v>
      </c>
      <c r="F125" s="36" t="str">
        <f>deflators_raw!F125</f>
        <v>2000 Q4</v>
      </c>
      <c r="G125" s="36" t="str">
        <f>deflators_raw!G125</f>
        <v>historical</v>
      </c>
    </row>
    <row r="126" spans="1:7" x14ac:dyDescent="0.3">
      <c r="A126" s="36">
        <f>deflators_raw!A126</f>
        <v>2.9937016463394299E-2</v>
      </c>
      <c r="B126" s="36">
        <f>deflators_raw!B126</f>
        <v>6.8223280329673397E-3</v>
      </c>
      <c r="C126" s="36">
        <f>deflators_raw!C126</f>
        <v>4.8648145175588901E-2</v>
      </c>
      <c r="D126" s="36">
        <f>deflators_raw!D126</f>
        <v>5.4456520671492398E-2</v>
      </c>
      <c r="E126" s="36">
        <f>deflators_raw!E126</f>
        <v>2.4902004743710501E-2</v>
      </c>
      <c r="F126" s="36" t="str">
        <f>deflators_raw!F126</f>
        <v>2001 Q1</v>
      </c>
      <c r="G126" s="36" t="str">
        <f>deflators_raw!G126</f>
        <v>historical</v>
      </c>
    </row>
    <row r="127" spans="1:7" x14ac:dyDescent="0.3">
      <c r="A127" s="36">
        <f>deflators_raw!A127</f>
        <v>1.8884884410707199E-2</v>
      </c>
      <c r="B127" s="36">
        <f>deflators_raw!B127</f>
        <v>2.1198789662036002E-2</v>
      </c>
      <c r="C127" s="36">
        <f>deflators_raw!C127</f>
        <v>1.5754024167145698E-2</v>
      </c>
      <c r="D127" s="36">
        <f>deflators_raw!D127</f>
        <v>1.7060457300781501E-2</v>
      </c>
      <c r="E127" s="36">
        <f>deflators_raw!E127</f>
        <v>1.0326833438175601E-2</v>
      </c>
      <c r="F127" s="36" t="str">
        <f>deflators_raw!F127</f>
        <v>2001 Q2</v>
      </c>
      <c r="G127" s="36" t="str">
        <f>deflators_raw!G127</f>
        <v>historical</v>
      </c>
    </row>
    <row r="128" spans="1:7" x14ac:dyDescent="0.3">
      <c r="A128" s="36">
        <f>deflators_raw!A128</f>
        <v>2.0085104332627801E-3</v>
      </c>
      <c r="B128" s="36">
        <f>deflators_raw!B128</f>
        <v>2.5873085754739799E-2</v>
      </c>
      <c r="C128" s="36">
        <f>deflators_raw!C128</f>
        <v>1.0539628000638001E-2</v>
      </c>
      <c r="D128" s="36">
        <f>deflators_raw!D128</f>
        <v>1.0084643678167899E-2</v>
      </c>
      <c r="E128" s="36">
        <f>deflators_raw!E128</f>
        <v>1.25865662000337E-2</v>
      </c>
      <c r="F128" s="36" t="str">
        <f>deflators_raw!F128</f>
        <v>2001 Q3</v>
      </c>
      <c r="G128" s="36" t="str">
        <f>deflators_raw!G128</f>
        <v>historical</v>
      </c>
    </row>
    <row r="129" spans="1:7" x14ac:dyDescent="0.3">
      <c r="A129" s="36">
        <f>deflators_raw!A129</f>
        <v>1.65597149400032E-3</v>
      </c>
      <c r="B129" s="36">
        <f>deflators_raw!B129</f>
        <v>2.61448943379867E-2</v>
      </c>
      <c r="C129" s="36">
        <f>deflators_raw!C129</f>
        <v>7.8026661107790697E-3</v>
      </c>
      <c r="D129" s="36">
        <f>deflators_raw!D129</f>
        <v>4.4939487008062197E-3</v>
      </c>
      <c r="E129" s="36">
        <f>deflators_raw!E129</f>
        <v>2.16417401943385E-2</v>
      </c>
      <c r="F129" s="36" t="str">
        <f>deflators_raw!F129</f>
        <v>2001 Q4</v>
      </c>
      <c r="G129" s="36" t="str">
        <f>deflators_raw!G129</f>
        <v>historical</v>
      </c>
    </row>
    <row r="130" spans="1:7" x14ac:dyDescent="0.3">
      <c r="A130" s="36">
        <f>deflators_raw!A130</f>
        <v>8.0448095256371293E-3</v>
      </c>
      <c r="B130" s="36">
        <f>deflators_raw!B130</f>
        <v>2.6192779718551499E-2</v>
      </c>
      <c r="C130" s="36">
        <f>deflators_raw!C130</f>
        <v>2.4568554219072301E-2</v>
      </c>
      <c r="D130" s="36">
        <f>deflators_raw!D130</f>
        <v>2.6210777008154801E-2</v>
      </c>
      <c r="E130" s="36">
        <f>deflators_raw!E130</f>
        <v>1.77439998941584E-2</v>
      </c>
      <c r="F130" s="36" t="str">
        <f>deflators_raw!F130</f>
        <v>2002 Q1</v>
      </c>
      <c r="G130" s="36" t="str">
        <f>deflators_raw!G130</f>
        <v>historical</v>
      </c>
    </row>
    <row r="131" spans="1:7" x14ac:dyDescent="0.3">
      <c r="A131" s="36">
        <f>deflators_raw!A131</f>
        <v>2.9998743908273201E-2</v>
      </c>
      <c r="B131" s="36">
        <f>deflators_raw!B131</f>
        <v>3.8349371649444103E-2</v>
      </c>
      <c r="C131" s="36">
        <f>deflators_raw!C131</f>
        <v>3.6466330566627299E-2</v>
      </c>
      <c r="D131" s="36">
        <f>deflators_raw!D131</f>
        <v>3.99637104830428E-2</v>
      </c>
      <c r="E131" s="36">
        <f>deflators_raw!E131</f>
        <v>2.19088618142655E-2</v>
      </c>
      <c r="F131" s="36" t="str">
        <f>deflators_raw!F131</f>
        <v>2002 Q2</v>
      </c>
      <c r="G131" s="36" t="str">
        <f>deflators_raw!G131</f>
        <v>historical</v>
      </c>
    </row>
    <row r="132" spans="1:7" x14ac:dyDescent="0.3">
      <c r="A132" s="36">
        <f>deflators_raw!A132</f>
        <v>2.0869776308943801E-2</v>
      </c>
      <c r="B132" s="36">
        <f>deflators_raw!B132</f>
        <v>3.4801584391165798E-2</v>
      </c>
      <c r="C132" s="36">
        <f>deflators_raw!C132</f>
        <v>2.9067453466692799E-2</v>
      </c>
      <c r="D132" s="36">
        <f>deflators_raw!D132</f>
        <v>3.3157579483975103E-2</v>
      </c>
      <c r="E132" s="36">
        <f>deflators_raw!E132</f>
        <v>1.23573378485025E-2</v>
      </c>
      <c r="F132" s="36" t="str">
        <f>deflators_raw!F132</f>
        <v>2002 Q3</v>
      </c>
      <c r="G132" s="36" t="str">
        <f>deflators_raw!G132</f>
        <v>historical</v>
      </c>
    </row>
    <row r="133" spans="1:7" x14ac:dyDescent="0.3">
      <c r="A133" s="36">
        <f>deflators_raw!A133</f>
        <v>1.8806157080279301E-2</v>
      </c>
      <c r="B133" s="36">
        <f>deflators_raw!B133</f>
        <v>7.6203068975526894E-2</v>
      </c>
      <c r="C133" s="36">
        <f>deflators_raw!C133</f>
        <v>3.3825009608851903E-2</v>
      </c>
      <c r="D133" s="36">
        <f>deflators_raw!D133</f>
        <v>4.04120889716926E-2</v>
      </c>
      <c r="E133" s="36">
        <f>deflators_raw!E133</f>
        <v>6.9083360828583497E-3</v>
      </c>
      <c r="F133" s="36" t="str">
        <f>deflators_raw!F133</f>
        <v>2002 Q4</v>
      </c>
      <c r="G133" s="36" t="str">
        <f>deflators_raw!G133</f>
        <v>historical</v>
      </c>
    </row>
    <row r="134" spans="1:7" x14ac:dyDescent="0.3">
      <c r="A134" s="36">
        <f>deflators_raw!A134</f>
        <v>3.0939531110064901E-2</v>
      </c>
      <c r="B134" s="36">
        <f>deflators_raw!B134</f>
        <v>4.5343406532494003E-2</v>
      </c>
      <c r="C134" s="36">
        <f>deflators_raw!C134</f>
        <v>5.8196726969511198E-2</v>
      </c>
      <c r="D134" s="36">
        <f>deflators_raw!D134</f>
        <v>6.4192818314913899E-2</v>
      </c>
      <c r="E134" s="36">
        <f>deflators_raw!E134</f>
        <v>3.35839967225895E-2</v>
      </c>
      <c r="F134" s="36" t="str">
        <f>deflators_raw!F134</f>
        <v>2003 Q1</v>
      </c>
      <c r="G134" s="36" t="str">
        <f>deflators_raw!G134</f>
        <v>historical</v>
      </c>
    </row>
    <row r="135" spans="1:7" x14ac:dyDescent="0.3">
      <c r="A135" s="36">
        <f>deflators_raw!A135</f>
        <v>4.0077661469082298E-3</v>
      </c>
      <c r="B135" s="36">
        <f>deflators_raw!B135</f>
        <v>2.8726975579467701E-2</v>
      </c>
      <c r="C135" s="36">
        <f>deflators_raw!C135</f>
        <v>2.9064873808690699E-3</v>
      </c>
      <c r="D135" s="36">
        <f>deflators_raw!D135</f>
        <v>2.60483280529056E-3</v>
      </c>
      <c r="E135" s="36">
        <f>deflators_raw!E135</f>
        <v>4.1691340309692997E-3</v>
      </c>
      <c r="F135" s="36" t="str">
        <f>deflators_raw!F135</f>
        <v>2003 Q2</v>
      </c>
      <c r="G135" s="36" t="str">
        <f>deflators_raw!G135</f>
        <v>historical</v>
      </c>
    </row>
    <row r="136" spans="1:7" x14ac:dyDescent="0.3">
      <c r="A136" s="36">
        <f>deflators_raw!A136</f>
        <v>2.6637470683258401E-2</v>
      </c>
      <c r="B136" s="36">
        <f>deflators_raw!B136</f>
        <v>3.6701160751028999E-2</v>
      </c>
      <c r="C136" s="36">
        <f>deflators_raw!C136</f>
        <v>2.7107556015981499E-2</v>
      </c>
      <c r="D136" s="36">
        <f>deflators_raw!D136</f>
        <v>3.2537484109284899E-2</v>
      </c>
      <c r="E136" s="36">
        <f>deflators_raw!E136</f>
        <v>5.0920666130191998E-3</v>
      </c>
      <c r="F136" s="36" t="str">
        <f>deflators_raw!F136</f>
        <v>2003 Q3</v>
      </c>
      <c r="G136" s="36" t="str">
        <f>deflators_raw!G136</f>
        <v>historical</v>
      </c>
    </row>
    <row r="137" spans="1:7" x14ac:dyDescent="0.3">
      <c r="A137" s="36">
        <f>deflators_raw!A137</f>
        <v>1.9809591582912799E-2</v>
      </c>
      <c r="B137" s="36">
        <f>deflators_raw!B137</f>
        <v>3.0297839189273201E-2</v>
      </c>
      <c r="C137" s="36">
        <f>deflators_raw!C137</f>
        <v>3.1739121685169701E-2</v>
      </c>
      <c r="D137" s="36">
        <f>deflators_raw!D137</f>
        <v>3.6723057880070603E-2</v>
      </c>
      <c r="E137" s="36">
        <f>deflators_raw!E137</f>
        <v>1.11208187291489E-2</v>
      </c>
      <c r="F137" s="36" t="str">
        <f>deflators_raw!F137</f>
        <v>2003 Q4</v>
      </c>
      <c r="G137" s="36" t="str">
        <f>deflators_raw!G137</f>
        <v>historical</v>
      </c>
    </row>
    <row r="138" spans="1:7" x14ac:dyDescent="0.3">
      <c r="A138" s="36">
        <f>deflators_raw!A138</f>
        <v>3.1204615634115699E-2</v>
      </c>
      <c r="B138" s="36">
        <f>deflators_raw!B138</f>
        <v>3.4471201135703997E-2</v>
      </c>
      <c r="C138" s="36">
        <f>deflators_raw!C138</f>
        <v>5.1558341847096401E-2</v>
      </c>
      <c r="D138" s="36">
        <f>deflators_raw!D138</f>
        <v>5.7672124037001303E-2</v>
      </c>
      <c r="E138" s="36">
        <f>deflators_raw!E138</f>
        <v>2.6313046913832801E-2</v>
      </c>
      <c r="F138" s="36" t="str">
        <f>deflators_raw!F138</f>
        <v>2004 Q1</v>
      </c>
      <c r="G138" s="36" t="str">
        <f>deflators_raw!G138</f>
        <v>historical</v>
      </c>
    </row>
    <row r="139" spans="1:7" x14ac:dyDescent="0.3">
      <c r="A139" s="36">
        <f>deflators_raw!A139</f>
        <v>2.7200294389546201E-2</v>
      </c>
      <c r="B139" s="36">
        <f>deflators_raw!B139</f>
        <v>3.5181669062461299E-2</v>
      </c>
      <c r="C139" s="36">
        <f>deflators_raw!C139</f>
        <v>5.8362051451558601E-2</v>
      </c>
      <c r="D139" s="36">
        <f>deflators_raw!D139</f>
        <v>5.42271951092188E-2</v>
      </c>
      <c r="E139" s="36">
        <f>deflators_raw!E139</f>
        <v>7.5544557477534205E-2</v>
      </c>
      <c r="F139" s="36" t="str">
        <f>deflators_raw!F139</f>
        <v>2004 Q2</v>
      </c>
      <c r="G139" s="36" t="str">
        <f>deflators_raw!G139</f>
        <v>historical</v>
      </c>
    </row>
    <row r="140" spans="1:7" x14ac:dyDescent="0.3">
      <c r="A140" s="36">
        <f>deflators_raw!A140</f>
        <v>1.9813936050087699E-2</v>
      </c>
      <c r="B140" s="36">
        <f>deflators_raw!B140</f>
        <v>3.71188179062025E-2</v>
      </c>
      <c r="C140" s="36">
        <f>deflators_raw!C140</f>
        <v>6.6372017523847596E-2</v>
      </c>
      <c r="D140" s="36">
        <f>deflators_raw!D140</f>
        <v>5.5705667373545202E-2</v>
      </c>
      <c r="E140" s="36">
        <f>deflators_raw!E140</f>
        <v>0.112118604043563</v>
      </c>
      <c r="F140" s="36" t="str">
        <f>deflators_raw!F140</f>
        <v>2004 Q3</v>
      </c>
      <c r="G140" s="36" t="str">
        <f>deflators_raw!G140</f>
        <v>historical</v>
      </c>
    </row>
    <row r="141" spans="1:7" x14ac:dyDescent="0.3">
      <c r="A141" s="36">
        <f>deflators_raw!A141</f>
        <v>3.4620969363609901E-2</v>
      </c>
      <c r="B141" s="36">
        <f>deflators_raw!B141</f>
        <v>3.9499400752586601E-2</v>
      </c>
      <c r="C141" s="36">
        <f>deflators_raw!C141</f>
        <v>7.0713285275577201E-2</v>
      </c>
      <c r="D141" s="36">
        <f>deflators_raw!D141</f>
        <v>6.4048552869122796E-2</v>
      </c>
      <c r="E141" s="36">
        <f>deflators_raw!E141</f>
        <v>9.9586266592777403E-2</v>
      </c>
      <c r="F141" s="36" t="str">
        <f>deflators_raw!F141</f>
        <v>2004 Q4</v>
      </c>
      <c r="G141" s="36" t="str">
        <f>deflators_raw!G141</f>
        <v>historical</v>
      </c>
    </row>
    <row r="142" spans="1:7" x14ac:dyDescent="0.3">
      <c r="A142" s="36">
        <f>deflators_raw!A142</f>
        <v>2.34535899973984E-2</v>
      </c>
      <c r="B142" s="36">
        <f>deflators_raw!B142</f>
        <v>5.3706890981395999E-2</v>
      </c>
      <c r="C142" s="36">
        <f>deflators_raw!C142</f>
        <v>3.6431516961551003E-2</v>
      </c>
      <c r="D142" s="36">
        <f>deflators_raw!D142</f>
        <v>3.69057460702173E-2</v>
      </c>
      <c r="E142" s="36">
        <f>deflators_raw!E142</f>
        <v>3.4210597371460802E-2</v>
      </c>
      <c r="F142" s="36" t="str">
        <f>deflators_raw!F142</f>
        <v>2005 Q1</v>
      </c>
      <c r="G142" s="36" t="str">
        <f>deflators_raw!G142</f>
        <v>historical</v>
      </c>
    </row>
    <row r="143" spans="1:7" x14ac:dyDescent="0.3">
      <c r="A143" s="36">
        <f>deflators_raw!A143</f>
        <v>2.5499802950129401E-2</v>
      </c>
      <c r="B143" s="36">
        <f>deflators_raw!B143</f>
        <v>3.6566859174503898E-2</v>
      </c>
      <c r="C143" s="36">
        <f>deflators_raw!C143</f>
        <v>5.21679913838453E-2</v>
      </c>
      <c r="D143" s="36">
        <f>deflators_raw!D143</f>
        <v>4.6392177019789503E-2</v>
      </c>
      <c r="E143" s="36">
        <f>deflators_raw!E143</f>
        <v>7.7400259900339399E-2</v>
      </c>
      <c r="F143" s="36" t="str">
        <f>deflators_raw!F143</f>
        <v>2005 Q2</v>
      </c>
      <c r="G143" s="36" t="str">
        <f>deflators_raw!G143</f>
        <v>historical</v>
      </c>
    </row>
    <row r="144" spans="1:7" x14ac:dyDescent="0.3">
      <c r="A144" s="36">
        <f>deflators_raw!A144</f>
        <v>4.3914132970667798E-2</v>
      </c>
      <c r="B144" s="36">
        <f>deflators_raw!B144</f>
        <v>4.2425430776049898E-2</v>
      </c>
      <c r="C144" s="36">
        <f>deflators_raw!C144</f>
        <v>6.5459325261808296E-2</v>
      </c>
      <c r="D144" s="36">
        <f>deflators_raw!D144</f>
        <v>5.93159029125543E-2</v>
      </c>
      <c r="E144" s="36">
        <f>deflators_raw!E144</f>
        <v>9.2099438138909306E-2</v>
      </c>
      <c r="F144" s="36" t="str">
        <f>deflators_raw!F144</f>
        <v>2005 Q3</v>
      </c>
      <c r="G144" s="36" t="str">
        <f>deflators_raw!G144</f>
        <v>historical</v>
      </c>
    </row>
    <row r="145" spans="1:7" x14ac:dyDescent="0.3">
      <c r="A145" s="36">
        <f>deflators_raw!A145</f>
        <v>3.2225013743436802E-2</v>
      </c>
      <c r="B145" s="36">
        <f>deflators_raw!B145</f>
        <v>2.9052051363888599E-2</v>
      </c>
      <c r="C145" s="36">
        <f>deflators_raw!C145</f>
        <v>6.6969533653351301E-2</v>
      </c>
      <c r="D145" s="36">
        <f>deflators_raw!D145</f>
        <v>6.9322056053448003E-2</v>
      </c>
      <c r="E145" s="36">
        <f>deflators_raw!E145</f>
        <v>5.6967190258747399E-2</v>
      </c>
      <c r="F145" s="36" t="str">
        <f>deflators_raw!F145</f>
        <v>2005 Q4</v>
      </c>
      <c r="G145" s="36" t="str">
        <f>deflators_raw!G145</f>
        <v>historical</v>
      </c>
    </row>
    <row r="146" spans="1:7" x14ac:dyDescent="0.3">
      <c r="A146" s="36">
        <f>deflators_raw!A146</f>
        <v>2.0935342800184199E-2</v>
      </c>
      <c r="B146" s="36">
        <f>deflators_raw!B146</f>
        <v>3.4093201961780999E-2</v>
      </c>
      <c r="C146" s="36">
        <f>deflators_raw!C146</f>
        <v>2.8774072598683802E-2</v>
      </c>
      <c r="D146" s="36">
        <f>deflators_raw!D146</f>
        <v>2.9725271896635399E-2</v>
      </c>
      <c r="E146" s="36">
        <f>deflators_raw!E146</f>
        <v>2.50876168066392E-2</v>
      </c>
      <c r="F146" s="36" t="str">
        <f>deflators_raw!F146</f>
        <v>2006 Q1</v>
      </c>
      <c r="G146" s="36" t="str">
        <f>deflators_raw!G146</f>
        <v>historical</v>
      </c>
    </row>
    <row r="147" spans="1:7" x14ac:dyDescent="0.3">
      <c r="A147" s="36">
        <f>deflators_raw!A147</f>
        <v>3.5555363218846101E-2</v>
      </c>
      <c r="B147" s="36">
        <f>deflators_raw!B147</f>
        <v>2.8135458399094499E-2</v>
      </c>
      <c r="C147" s="36">
        <f>deflators_raw!C147</f>
        <v>6.2837412602848405E-2</v>
      </c>
      <c r="D147" s="36">
        <f>deflators_raw!D147</f>
        <v>5.61203132204302E-2</v>
      </c>
      <c r="E147" s="36">
        <f>deflators_raw!E147</f>
        <v>9.1105361450751501E-2</v>
      </c>
      <c r="F147" s="36" t="str">
        <f>deflators_raw!F147</f>
        <v>2006 Q2</v>
      </c>
      <c r="G147" s="36" t="str">
        <f>deflators_raw!G147</f>
        <v>historical</v>
      </c>
    </row>
    <row r="148" spans="1:7" x14ac:dyDescent="0.3">
      <c r="A148" s="36">
        <f>deflators_raw!A148</f>
        <v>2.9090990484891902E-2</v>
      </c>
      <c r="B148" s="36">
        <f>deflators_raw!B148</f>
        <v>2.9966625510563099E-2</v>
      </c>
      <c r="C148" s="36">
        <f>deflators_raw!C148</f>
        <v>4.07360601876912E-2</v>
      </c>
      <c r="D148" s="36">
        <f>deflators_raw!D148</f>
        <v>3.6843754178801799E-2</v>
      </c>
      <c r="E148" s="36">
        <f>deflators_raw!E148</f>
        <v>5.6869734933791702E-2</v>
      </c>
      <c r="F148" s="36" t="str">
        <f>deflators_raw!F148</f>
        <v>2006 Q3</v>
      </c>
      <c r="G148" s="36" t="str">
        <f>deflators_raw!G148</f>
        <v>historical</v>
      </c>
    </row>
    <row r="149" spans="1:7" x14ac:dyDescent="0.3">
      <c r="A149" s="36">
        <f>deflators_raw!A149</f>
        <v>-6.5707467210734897E-3</v>
      </c>
      <c r="B149" s="36">
        <f>deflators_raw!B149</f>
        <v>2.09838687014814E-2</v>
      </c>
      <c r="C149" s="36">
        <f>deflators_raw!C149</f>
        <v>4.2971451015771302E-2</v>
      </c>
      <c r="D149" s="36">
        <f>deflators_raw!D149</f>
        <v>3.0338463665483501E-2</v>
      </c>
      <c r="E149" s="36">
        <f>deflators_raw!E149</f>
        <v>9.7213617262259494E-2</v>
      </c>
      <c r="F149" s="36" t="str">
        <f>deflators_raw!F149</f>
        <v>2006 Q4</v>
      </c>
      <c r="G149" s="36" t="str">
        <f>deflators_raw!G149</f>
        <v>historical</v>
      </c>
    </row>
    <row r="150" spans="1:7" x14ac:dyDescent="0.3">
      <c r="A150" s="36">
        <f>deflators_raw!A150</f>
        <v>3.7059917165470399E-2</v>
      </c>
      <c r="B150" s="36">
        <f>deflators_raw!B150</f>
        <v>3.4651107406359301E-2</v>
      </c>
      <c r="C150" s="36">
        <f>deflators_raw!C150</f>
        <v>7.8585662480562105E-2</v>
      </c>
      <c r="D150" s="36">
        <f>deflators_raw!D150</f>
        <v>7.2299496950969405E-2</v>
      </c>
      <c r="E150" s="36">
        <f>deflators_raw!E150</f>
        <v>0.104792955269219</v>
      </c>
      <c r="F150" s="36" t="str">
        <f>deflators_raw!F150</f>
        <v>2007 Q1</v>
      </c>
      <c r="G150" s="36" t="str">
        <f>deflators_raw!G150</f>
        <v>historical</v>
      </c>
    </row>
    <row r="151" spans="1:7" x14ac:dyDescent="0.3">
      <c r="A151" s="36">
        <f>deflators_raw!A151</f>
        <v>3.4406916686266602E-2</v>
      </c>
      <c r="B151" s="36">
        <f>deflators_raw!B151</f>
        <v>3.2361806516408201E-2</v>
      </c>
      <c r="C151" s="36">
        <f>deflators_raw!C151</f>
        <v>4.3801176802868498E-2</v>
      </c>
      <c r="D151" s="36">
        <f>deflators_raw!D151</f>
        <v>4.4022069506022297E-2</v>
      </c>
      <c r="E151" s="36">
        <f>deflators_raw!E151</f>
        <v>4.2476788274359099E-2</v>
      </c>
      <c r="F151" s="36" t="str">
        <f>deflators_raw!F151</f>
        <v>2007 Q2</v>
      </c>
      <c r="G151" s="36" t="str">
        <f>deflators_raw!G151</f>
        <v>historical</v>
      </c>
    </row>
    <row r="152" spans="1:7" x14ac:dyDescent="0.3">
      <c r="A152" s="36">
        <f>deflators_raw!A152</f>
        <v>2.2795387185985401E-2</v>
      </c>
      <c r="B152" s="36">
        <f>deflators_raw!B152</f>
        <v>2.78463672712683E-2</v>
      </c>
      <c r="C152" s="36">
        <f>deflators_raw!C152</f>
        <v>4.4222539432221097E-2</v>
      </c>
      <c r="D152" s="36">
        <f>deflators_raw!D152</f>
        <v>4.5480126137950501E-2</v>
      </c>
      <c r="E152" s="36">
        <f>deflators_raw!E152</f>
        <v>3.9088464000031499E-2</v>
      </c>
      <c r="F152" s="36" t="str">
        <f>deflators_raw!F152</f>
        <v>2007 Q3</v>
      </c>
      <c r="G152" s="36" t="str">
        <f>deflators_raw!G152</f>
        <v>historical</v>
      </c>
    </row>
    <row r="153" spans="1:7" x14ac:dyDescent="0.3">
      <c r="A153" s="36">
        <f>deflators_raw!A153</f>
        <v>4.1308326629664098E-2</v>
      </c>
      <c r="B153" s="36">
        <f>deflators_raw!B153</f>
        <v>3.2459146974833902E-2</v>
      </c>
      <c r="C153" s="36">
        <f>deflators_raw!C153</f>
        <v>5.9308398195111703E-2</v>
      </c>
      <c r="D153" s="36">
        <f>deflators_raw!D153</f>
        <v>6.2039731527971001E-2</v>
      </c>
      <c r="E153" s="36">
        <f>deflators_raw!E153</f>
        <v>4.7886506250196997E-2</v>
      </c>
      <c r="F153" s="36" t="str">
        <f>deflators_raw!F153</f>
        <v>2007 Q4</v>
      </c>
      <c r="G153" s="36" t="str">
        <f>deflators_raw!G153</f>
        <v>historical</v>
      </c>
    </row>
    <row r="154" spans="1:7" x14ac:dyDescent="0.3">
      <c r="A154" s="36">
        <f>deflators_raw!A154</f>
        <v>3.2954987594988598E-2</v>
      </c>
      <c r="B154" s="36">
        <f>deflators_raw!B154</f>
        <v>3.4144429632388298E-2</v>
      </c>
      <c r="C154" s="36">
        <f>deflators_raw!C154</f>
        <v>6.5660768227846694E-2</v>
      </c>
      <c r="D154" s="36">
        <f>deflators_raw!D154</f>
        <v>7.23147883586404E-2</v>
      </c>
      <c r="E154" s="36">
        <f>deflators_raw!E154</f>
        <v>3.8436409888859401E-2</v>
      </c>
      <c r="F154" s="36" t="str">
        <f>deflators_raw!F154</f>
        <v>2008 Q1</v>
      </c>
      <c r="G154" s="36" t="str">
        <f>deflators_raw!G154</f>
        <v>historical</v>
      </c>
    </row>
    <row r="155" spans="1:7" x14ac:dyDescent="0.3">
      <c r="A155" s="36">
        <f>deflators_raw!A155</f>
        <v>3.9493950261418401E-2</v>
      </c>
      <c r="B155" s="36">
        <f>deflators_raw!B155</f>
        <v>4.1602053152730099E-2</v>
      </c>
      <c r="C155" s="36">
        <f>deflators_raw!C155</f>
        <v>5.6861353066109101E-2</v>
      </c>
      <c r="D155" s="36">
        <f>deflators_raw!D155</f>
        <v>6.3263019462217004E-2</v>
      </c>
      <c r="E155" s="36">
        <f>deflators_raw!E155</f>
        <v>3.1126430511134499E-2</v>
      </c>
      <c r="F155" s="36" t="str">
        <f>deflators_raw!F155</f>
        <v>2008 Q2</v>
      </c>
      <c r="G155" s="36" t="str">
        <f>deflators_raw!G155</f>
        <v>historical</v>
      </c>
    </row>
    <row r="156" spans="1:7" x14ac:dyDescent="0.3">
      <c r="A156" s="36">
        <f>deflators_raw!A156</f>
        <v>4.3386852489040402E-2</v>
      </c>
      <c r="B156" s="36">
        <f>deflators_raw!B156</f>
        <v>3.03408157550791E-2</v>
      </c>
      <c r="C156" s="36">
        <f>deflators_raw!C156</f>
        <v>5.4759676802432801E-2</v>
      </c>
      <c r="D156" s="36">
        <f>deflators_raw!D156</f>
        <v>5.52136316684275E-2</v>
      </c>
      <c r="E156" s="36">
        <f>deflators_raw!E156</f>
        <v>5.2701497522020399E-2</v>
      </c>
      <c r="F156" s="36" t="str">
        <f>deflators_raw!F156</f>
        <v>2008 Q3</v>
      </c>
      <c r="G156" s="36" t="str">
        <f>deflators_raw!G156</f>
        <v>historical</v>
      </c>
    </row>
    <row r="157" spans="1:7" x14ac:dyDescent="0.3">
      <c r="A157" s="36">
        <f>deflators_raw!A157</f>
        <v>-6.2360196436278902E-2</v>
      </c>
      <c r="B157" s="36">
        <f>deflators_raw!B157</f>
        <v>-1.8917326805224201E-2</v>
      </c>
      <c r="C157" s="36">
        <f>deflators_raw!C157</f>
        <v>-4.6744094426787702E-2</v>
      </c>
      <c r="D157" s="36">
        <f>deflators_raw!D157</f>
        <v>-7.4155067193705196E-2</v>
      </c>
      <c r="E157" s="36">
        <f>deflators_raw!E157</f>
        <v>7.5335045349203197E-2</v>
      </c>
      <c r="F157" s="36" t="str">
        <f>deflators_raw!F157</f>
        <v>2008 Q4</v>
      </c>
      <c r="G157" s="36" t="str">
        <f>deflators_raw!G157</f>
        <v>historical</v>
      </c>
    </row>
    <row r="158" spans="1:7" x14ac:dyDescent="0.3">
      <c r="A158" s="36">
        <f>deflators_raw!A158</f>
        <v>-2.6731212813050201E-2</v>
      </c>
      <c r="B158" s="36">
        <f>deflators_raw!B158</f>
        <v>-3.3135327897025703E-2</v>
      </c>
      <c r="C158" s="36">
        <f>deflators_raw!C158</f>
        <v>-5.0828944700739398E-2</v>
      </c>
      <c r="D158" s="36">
        <f>deflators_raw!D158</f>
        <v>-6.8462037949067106E-2</v>
      </c>
      <c r="E158" s="36">
        <f>deflators_raw!E158</f>
        <v>2.5185264843212301E-2</v>
      </c>
      <c r="F158" s="36" t="str">
        <f>deflators_raw!F158</f>
        <v>2009 Q1</v>
      </c>
      <c r="G158" s="36" t="str">
        <f>deflators_raw!G158</f>
        <v>historical</v>
      </c>
    </row>
    <row r="159" spans="1:7" x14ac:dyDescent="0.3">
      <c r="A159" s="36">
        <f>deflators_raw!A159</f>
        <v>1.6004255010514602E-2</v>
      </c>
      <c r="B159" s="36">
        <f>deflators_raw!B159</f>
        <v>7.2471101838833497E-4</v>
      </c>
      <c r="C159" s="36">
        <f>deflators_raw!C159</f>
        <v>8.8167512561174704E-3</v>
      </c>
      <c r="D159" s="36">
        <f>deflators_raw!D159</f>
        <v>1.9832196265286098E-2</v>
      </c>
      <c r="E159" s="36">
        <f>deflators_raw!E159</f>
        <v>-3.4674689642026801E-2</v>
      </c>
      <c r="F159" s="36" t="str">
        <f>deflators_raw!F159</f>
        <v>2009 Q2</v>
      </c>
      <c r="G159" s="36" t="str">
        <f>deflators_raw!G159</f>
        <v>historical</v>
      </c>
    </row>
    <row r="160" spans="1:7" x14ac:dyDescent="0.3">
      <c r="A160" s="36">
        <f>deflators_raw!A160</f>
        <v>2.78350080421834E-2</v>
      </c>
      <c r="B160" s="36">
        <f>deflators_raw!B160</f>
        <v>1.22854862155337E-2</v>
      </c>
      <c r="C160" s="36">
        <f>deflators_raw!C160</f>
        <v>2.06173124531559E-2</v>
      </c>
      <c r="D160" s="36">
        <f>deflators_raw!D160</f>
        <v>3.47933032481611E-2</v>
      </c>
      <c r="E160" s="36">
        <f>deflators_raw!E160</f>
        <v>-3.55556982427905E-2</v>
      </c>
      <c r="F160" s="36" t="str">
        <f>deflators_raw!F160</f>
        <v>2009 Q3</v>
      </c>
      <c r="G160" s="36" t="str">
        <f>deflators_raw!G160</f>
        <v>historical</v>
      </c>
    </row>
    <row r="161" spans="1:7" x14ac:dyDescent="0.3">
      <c r="A161" s="36">
        <f>deflators_raw!A161</f>
        <v>3.1240948480233E-2</v>
      </c>
      <c r="B161" s="36">
        <f>deflators_raw!B161</f>
        <v>3.11127095791379E-2</v>
      </c>
      <c r="C161" s="36">
        <f>deflators_raw!C161</f>
        <v>2.9708718433870501E-2</v>
      </c>
      <c r="D161" s="36">
        <f>deflators_raw!D161</f>
        <v>3.76238534925952E-2</v>
      </c>
      <c r="E161" s="36">
        <f>deflators_raw!E161</f>
        <v>-3.0769865450653898E-3</v>
      </c>
      <c r="F161" s="36" t="str">
        <f>deflators_raw!F161</f>
        <v>2009 Q4</v>
      </c>
      <c r="G161" s="36" t="str">
        <f>deflators_raw!G161</f>
        <v>historical</v>
      </c>
    </row>
    <row r="162" spans="1:7" x14ac:dyDescent="0.3">
      <c r="A162" s="36">
        <f>deflators_raw!A162</f>
        <v>1.5538458112328299E-2</v>
      </c>
      <c r="B162" s="36">
        <f>deflators_raw!B162</f>
        <v>2.5706833981413501E-2</v>
      </c>
      <c r="C162" s="36">
        <f>deflators_raw!C162</f>
        <v>4.0232060366665899E-2</v>
      </c>
      <c r="D162" s="36">
        <f>deflators_raw!D162</f>
        <v>4.6975487060338501E-2</v>
      </c>
      <c r="E162" s="36">
        <f>deflators_raw!E162</f>
        <v>1.13952226394907E-2</v>
      </c>
      <c r="F162" s="36" t="str">
        <f>deflators_raw!F162</f>
        <v>2010 Q1</v>
      </c>
      <c r="G162" s="36" t="str">
        <f>deflators_raw!G162</f>
        <v>historical</v>
      </c>
    </row>
    <row r="163" spans="1:7" x14ac:dyDescent="0.3">
      <c r="A163" s="36">
        <f>deflators_raw!A163</f>
        <v>6.2204942357442202E-3</v>
      </c>
      <c r="B163" s="36">
        <f>deflators_raw!B163</f>
        <v>3.1017939025557401E-2</v>
      </c>
      <c r="C163" s="36">
        <f>deflators_raw!C163</f>
        <v>2.693219932312E-2</v>
      </c>
      <c r="D163" s="36">
        <f>deflators_raw!D163</f>
        <v>2.9062361366274402E-2</v>
      </c>
      <c r="E163" s="36">
        <f>deflators_raw!E163</f>
        <v>1.7491325837778699E-2</v>
      </c>
      <c r="F163" s="36" t="str">
        <f>deflators_raw!F163</f>
        <v>2010 Q2</v>
      </c>
      <c r="G163" s="36" t="str">
        <f>deflators_raw!G163</f>
        <v>historical</v>
      </c>
    </row>
    <row r="164" spans="1:7" x14ac:dyDescent="0.3">
      <c r="A164" s="36">
        <f>deflators_raw!A164</f>
        <v>7.72594376628044E-3</v>
      </c>
      <c r="B164" s="36">
        <f>deflators_raw!B164</f>
        <v>1.59750935835106E-2</v>
      </c>
      <c r="C164" s="36">
        <f>deflators_raw!C164</f>
        <v>2.11009160463198E-2</v>
      </c>
      <c r="D164" s="36">
        <f>deflators_raw!D164</f>
        <v>2.3067349052007899E-2</v>
      </c>
      <c r="E164" s="36">
        <f>deflators_raw!E164</f>
        <v>1.2643202128826501E-2</v>
      </c>
      <c r="F164" s="36" t="str">
        <f>deflators_raw!F164</f>
        <v>2010 Q3</v>
      </c>
      <c r="G164" s="36" t="str">
        <f>deflators_raw!G164</f>
        <v>historical</v>
      </c>
    </row>
    <row r="165" spans="1:7" x14ac:dyDescent="0.3">
      <c r="A165" s="36">
        <f>deflators_raw!A165</f>
        <v>2.5862689650447499E-2</v>
      </c>
      <c r="B165" s="36">
        <f>deflators_raw!B165</f>
        <v>3.29452826155043E-2</v>
      </c>
      <c r="C165" s="36">
        <f>deflators_raw!C165</f>
        <v>3.4200107003750799E-2</v>
      </c>
      <c r="D165" s="36">
        <f>deflators_raw!D165</f>
        <v>3.7879756208726099E-2</v>
      </c>
      <c r="E165" s="36">
        <f>deflators_raw!E165</f>
        <v>1.8090208281751299E-2</v>
      </c>
      <c r="F165" s="36" t="str">
        <f>deflators_raw!F165</f>
        <v>2010 Q4</v>
      </c>
      <c r="G165" s="36" t="str">
        <f>deflators_raw!G165</f>
        <v>historical</v>
      </c>
    </row>
    <row r="166" spans="1:7" x14ac:dyDescent="0.3">
      <c r="A166" s="36">
        <f>deflators_raw!A166</f>
        <v>3.4016266815046298E-2</v>
      </c>
      <c r="B166" s="36">
        <f>deflators_raw!B166</f>
        <v>3.64259738306612E-2</v>
      </c>
      <c r="C166" s="36">
        <f>deflators_raw!C166</f>
        <v>4.12597463779956E-2</v>
      </c>
      <c r="D166" s="36">
        <f>deflators_raw!D166</f>
        <v>4.5137017344844002E-2</v>
      </c>
      <c r="E166" s="36">
        <f>deflators_raw!E166</f>
        <v>2.4394704867924499E-2</v>
      </c>
      <c r="F166" s="36" t="str">
        <f>deflators_raw!F166</f>
        <v>2011 Q1</v>
      </c>
      <c r="G166" s="36" t="str">
        <f>deflators_raw!G166</f>
        <v>historical</v>
      </c>
    </row>
    <row r="167" spans="1:7" x14ac:dyDescent="0.3">
      <c r="A167" s="36">
        <f>deflators_raw!A167</f>
        <v>3.9906323464895102E-2</v>
      </c>
      <c r="B167" s="36">
        <f>deflators_raw!B167</f>
        <v>3.6682670107609103E-2</v>
      </c>
      <c r="C167" s="36">
        <f>deflators_raw!C167</f>
        <v>4.9051100435819797E-2</v>
      </c>
      <c r="D167" s="36">
        <f>deflators_raw!D167</f>
        <v>5.0829697512543702E-2</v>
      </c>
      <c r="E167" s="36">
        <f>deflators_raw!E167</f>
        <v>4.1043493786856698E-2</v>
      </c>
      <c r="F167" s="36" t="str">
        <f>deflators_raw!F167</f>
        <v>2011 Q2</v>
      </c>
      <c r="G167" s="36" t="str">
        <f>deflators_raw!G167</f>
        <v>historical</v>
      </c>
    </row>
    <row r="168" spans="1:7" x14ac:dyDescent="0.3">
      <c r="A168" s="36">
        <f>deflators_raw!A168</f>
        <v>1.8640626124373699E-2</v>
      </c>
      <c r="B168" s="36">
        <f>deflators_raw!B168</f>
        <v>1.39908352832361E-2</v>
      </c>
      <c r="C168" s="36">
        <f>deflators_raw!C168</f>
        <v>2.0811922414161198E-2</v>
      </c>
      <c r="D168" s="36">
        <f>deflators_raw!D168</f>
        <v>1.5247657751557699E-2</v>
      </c>
      <c r="E168" s="36">
        <f>deflators_raw!E168</f>
        <v>4.5983903903995101E-2</v>
      </c>
      <c r="F168" s="36" t="str">
        <f>deflators_raw!F168</f>
        <v>2011 Q3</v>
      </c>
      <c r="G168" s="36" t="str">
        <f>deflators_raw!G168</f>
        <v>historical</v>
      </c>
    </row>
    <row r="169" spans="1:7" x14ac:dyDescent="0.3">
      <c r="A169" s="36">
        <f>deflators_raw!A169</f>
        <v>1.32561299755005E-2</v>
      </c>
      <c r="B169" s="36">
        <f>deflators_raw!B169</f>
        <v>-5.33618345022691E-3</v>
      </c>
      <c r="C169" s="36">
        <f>deflators_raw!C169</f>
        <v>-4.6704458177309104E-3</v>
      </c>
      <c r="D169" s="36">
        <f>deflators_raw!D169</f>
        <v>-1.40950235359611E-2</v>
      </c>
      <c r="E169" s="36">
        <f>deflators_raw!E169</f>
        <v>3.8137779822804398E-2</v>
      </c>
      <c r="F169" s="36" t="str">
        <f>deflators_raw!F169</f>
        <v>2011 Q4</v>
      </c>
      <c r="G169" s="36" t="str">
        <f>deflators_raw!G169</f>
        <v>historical</v>
      </c>
    </row>
    <row r="170" spans="1:7" x14ac:dyDescent="0.3">
      <c r="A170" s="36">
        <f>deflators_raw!A170</f>
        <v>2.6761481120787502E-2</v>
      </c>
      <c r="B170" s="36">
        <f>deflators_raw!B170</f>
        <v>1.39201532997375E-2</v>
      </c>
      <c r="C170" s="36">
        <f>deflators_raw!C170</f>
        <v>4.96543347638621E-2</v>
      </c>
      <c r="D170" s="36">
        <f>deflators_raw!D170</f>
        <v>5.4116713606157101E-2</v>
      </c>
      <c r="E170" s="36">
        <f>deflators_raw!E170</f>
        <v>3.0312571909831599E-2</v>
      </c>
      <c r="F170" s="36" t="str">
        <f>deflators_raw!F170</f>
        <v>2012 Q1</v>
      </c>
      <c r="G170" s="36" t="str">
        <f>deflators_raw!G170</f>
        <v>historical</v>
      </c>
    </row>
    <row r="171" spans="1:7" x14ac:dyDescent="0.3">
      <c r="A171" s="36">
        <f>deflators_raw!A171</f>
        <v>9.7203652064314899E-3</v>
      </c>
      <c r="B171" s="36">
        <f>deflators_raw!B171</f>
        <v>8.8550245823753003E-3</v>
      </c>
      <c r="C171" s="36">
        <f>deflators_raw!C171</f>
        <v>4.0241651109829101E-5</v>
      </c>
      <c r="D171" s="36">
        <f>deflators_raw!D171</f>
        <v>-6.9787462524018001E-3</v>
      </c>
      <c r="E171" s="36">
        <f>deflators_raw!E171</f>
        <v>3.2273930792219303E-2</v>
      </c>
      <c r="F171" s="36" t="str">
        <f>deflators_raw!F171</f>
        <v>2012 Q2</v>
      </c>
      <c r="G171" s="36" t="str">
        <f>deflators_raw!G171</f>
        <v>historical</v>
      </c>
    </row>
    <row r="172" spans="1:7" x14ac:dyDescent="0.3">
      <c r="A172" s="36">
        <f>deflators_raw!A172</f>
        <v>1.1676944984941699E-2</v>
      </c>
      <c r="B172" s="36">
        <f>deflators_raw!B172</f>
        <v>7.7077122555302396E-3</v>
      </c>
      <c r="C172" s="36">
        <f>deflators_raw!C172</f>
        <v>2.3872274816542499E-2</v>
      </c>
      <c r="D172" s="36">
        <f>deflators_raw!D172</f>
        <v>2.44311343320835E-2</v>
      </c>
      <c r="E172" s="36">
        <f>deflators_raw!E172</f>
        <v>2.17207841742009E-2</v>
      </c>
      <c r="F172" s="36" t="str">
        <f>deflators_raw!F172</f>
        <v>2012 Q3</v>
      </c>
      <c r="G172" s="36" t="str">
        <f>deflators_raw!G172</f>
        <v>historical</v>
      </c>
    </row>
    <row r="173" spans="1:7" x14ac:dyDescent="0.3">
      <c r="A173" s="36">
        <f>deflators_raw!A173</f>
        <v>2.2614716677978E-2</v>
      </c>
      <c r="B173" s="36">
        <f>deflators_raw!B173</f>
        <v>4.9632662336496196E-3</v>
      </c>
      <c r="C173" s="36">
        <f>deflators_raw!C173</f>
        <v>4.96224168517563E-2</v>
      </c>
      <c r="D173" s="36">
        <f>deflators_raw!D173</f>
        <v>5.8918140200379103E-2</v>
      </c>
      <c r="E173" s="36">
        <f>deflators_raw!E173</f>
        <v>7.9104688711333394E-3</v>
      </c>
      <c r="F173" s="36" t="str">
        <f>deflators_raw!F173</f>
        <v>2012 Q4</v>
      </c>
      <c r="G173" s="36" t="str">
        <f>deflators_raw!G173</f>
        <v>historical</v>
      </c>
    </row>
    <row r="174" spans="1:7" x14ac:dyDescent="0.3">
      <c r="A174" s="36">
        <f>deflators_raw!A174</f>
        <v>1.45079389824292E-2</v>
      </c>
      <c r="B174" s="36">
        <f>deflators_raw!B174</f>
        <v>-1.9949826125076301E-4</v>
      </c>
      <c r="C174" s="36">
        <f>deflators_raw!C174</f>
        <v>4.6763117028620897E-2</v>
      </c>
      <c r="D174" s="36">
        <f>deflators_raw!D174</f>
        <v>5.3376513955371498E-2</v>
      </c>
      <c r="E174" s="36">
        <f>deflators_raw!E174</f>
        <v>1.6319173615011201E-2</v>
      </c>
      <c r="F174" s="36" t="str">
        <f>deflators_raw!F174</f>
        <v>2013 Q1</v>
      </c>
      <c r="G174" s="36" t="str">
        <f>deflators_raw!G174</f>
        <v>historical</v>
      </c>
    </row>
    <row r="175" spans="1:7" x14ac:dyDescent="0.3">
      <c r="A175" s="36">
        <f>deflators_raw!A175</f>
        <v>2.8548469670495202E-3</v>
      </c>
      <c r="B175" s="36">
        <f>deflators_raw!B175</f>
        <v>7.9245575399269404E-3</v>
      </c>
      <c r="C175" s="36">
        <f>deflators_raw!C175</f>
        <v>2.1306958529263599E-2</v>
      </c>
      <c r="D175" s="36">
        <f>deflators_raw!D175</f>
        <v>2.14833879994034E-2</v>
      </c>
      <c r="E175" s="36">
        <f>deflators_raw!E175</f>
        <v>2.0547855013869399E-2</v>
      </c>
      <c r="F175" s="36" t="str">
        <f>deflators_raw!F175</f>
        <v>2013 Q2</v>
      </c>
      <c r="G175" s="36" t="str">
        <f>deflators_raw!G175</f>
        <v>historical</v>
      </c>
    </row>
    <row r="176" spans="1:7" x14ac:dyDescent="0.3">
      <c r="A176" s="36">
        <f>deflators_raw!A176</f>
        <v>1.6326843500240801E-2</v>
      </c>
      <c r="B176" s="36">
        <f>deflators_raw!B176</f>
        <v>1.3006397529373E-2</v>
      </c>
      <c r="C176" s="36">
        <f>deflators_raw!C176</f>
        <v>3.2055840580270702E-2</v>
      </c>
      <c r="D176" s="36">
        <f>deflators_raw!D176</f>
        <v>3.4225885044726997E-2</v>
      </c>
      <c r="E176" s="36">
        <f>deflators_raw!E176</f>
        <v>2.1723337040250802E-2</v>
      </c>
      <c r="F176" s="36" t="str">
        <f>deflators_raw!F176</f>
        <v>2013 Q3</v>
      </c>
      <c r="G176" s="36" t="str">
        <f>deflators_raw!G176</f>
        <v>historical</v>
      </c>
    </row>
    <row r="177" spans="1:7" x14ac:dyDescent="0.3">
      <c r="A177" s="36">
        <f>deflators_raw!A177</f>
        <v>1.6859105016114002E-2</v>
      </c>
      <c r="B177" s="36">
        <f>deflators_raw!B177</f>
        <v>6.2259222369993199E-2</v>
      </c>
      <c r="C177" s="36">
        <f>deflators_raw!C177</f>
        <v>2.2986114650760201E-2</v>
      </c>
      <c r="D177" s="36">
        <f>deflators_raw!D177</f>
        <v>2.1461497744286601E-2</v>
      </c>
      <c r="E177" s="36">
        <f>deflators_raw!E177</f>
        <v>3.0554089712781E-2</v>
      </c>
      <c r="F177" s="36" t="str">
        <f>deflators_raw!F177</f>
        <v>2013 Q4</v>
      </c>
      <c r="G177" s="36" t="str">
        <f>deflators_raw!G177</f>
        <v>historical</v>
      </c>
    </row>
    <row r="178" spans="1:7" x14ac:dyDescent="0.3">
      <c r="A178" s="36">
        <f>deflators_raw!A178</f>
        <v>1.93744928521071E-2</v>
      </c>
      <c r="B178" s="36">
        <f>deflators_raw!B178</f>
        <v>-1.02831916231174E-2</v>
      </c>
      <c r="C178" s="36">
        <f>deflators_raw!C178</f>
        <v>3.2089816475630001E-2</v>
      </c>
      <c r="D178" s="36">
        <f>deflators_raw!D178</f>
        <v>3.4027993671362999E-2</v>
      </c>
      <c r="E178" s="36">
        <f>deflators_raw!E178</f>
        <v>2.27077607090642E-2</v>
      </c>
      <c r="F178" s="36" t="str">
        <f>deflators_raw!F178</f>
        <v>2014 Q1</v>
      </c>
      <c r="G178" s="36" t="str">
        <f>deflators_raw!G178</f>
        <v>historical</v>
      </c>
    </row>
    <row r="179" spans="1:7" x14ac:dyDescent="0.3">
      <c r="A179" s="36">
        <f>deflators_raw!A179</f>
        <v>2.0192934056340501E-2</v>
      </c>
      <c r="B179" s="36">
        <f>deflators_raw!B179</f>
        <v>1.7798477087045E-2</v>
      </c>
      <c r="C179" s="36">
        <f>deflators_raw!C179</f>
        <v>1.3650570477194099E-2</v>
      </c>
      <c r="D179" s="36">
        <f>deflators_raw!D179</f>
        <v>1.2683683496116101E-2</v>
      </c>
      <c r="E179" s="36">
        <f>deflators_raw!E179</f>
        <v>1.8378329285591199E-2</v>
      </c>
      <c r="F179" s="36" t="str">
        <f>deflators_raw!F179</f>
        <v>2014 Q2</v>
      </c>
      <c r="G179" s="36" t="str">
        <f>deflators_raw!G179</f>
        <v>historical</v>
      </c>
    </row>
    <row r="180" spans="1:7" x14ac:dyDescent="0.3">
      <c r="A180" s="36">
        <f>deflators_raw!A180</f>
        <v>1.13601398604235E-2</v>
      </c>
      <c r="B180" s="36">
        <f>deflators_raw!B180</f>
        <v>1.8827452214838801E-2</v>
      </c>
      <c r="C180" s="36">
        <f>deflators_raw!C180</f>
        <v>2.2480483340501001E-2</v>
      </c>
      <c r="D180" s="36">
        <f>deflators_raw!D180</f>
        <v>2.3098181930942801E-2</v>
      </c>
      <c r="E180" s="36">
        <f>deflators_raw!E180</f>
        <v>1.94654703730235E-2</v>
      </c>
      <c r="F180" s="36" t="str">
        <f>deflators_raw!F180</f>
        <v>2014 Q3</v>
      </c>
      <c r="G180" s="36" t="str">
        <f>deflators_raw!G180</f>
        <v>historical</v>
      </c>
    </row>
    <row r="181" spans="1:7" x14ac:dyDescent="0.3">
      <c r="A181" s="36">
        <f>deflators_raw!A181</f>
        <v>-4.6048768205230201E-3</v>
      </c>
      <c r="B181" s="36">
        <f>deflators_raw!B181</f>
        <v>5.3720415632923001E-3</v>
      </c>
      <c r="C181" s="36">
        <f>deflators_raw!C181</f>
        <v>-1.35664737790564E-3</v>
      </c>
      <c r="D181" s="36">
        <f>deflators_raw!D181</f>
        <v>-3.1150724387948299E-3</v>
      </c>
      <c r="E181" s="36">
        <f>deflators_raw!E181</f>
        <v>7.0678568534106E-3</v>
      </c>
      <c r="F181" s="36" t="str">
        <f>deflators_raw!F181</f>
        <v>2014 Q4</v>
      </c>
      <c r="G181" s="36" t="str">
        <f>deflators_raw!G181</f>
        <v>historical</v>
      </c>
    </row>
    <row r="182" spans="1:7" x14ac:dyDescent="0.3">
      <c r="A182" s="36">
        <f>deflators_raw!A182</f>
        <v>-1.65067373701384E-2</v>
      </c>
      <c r="B182" s="36">
        <f>deflators_raw!B182</f>
        <v>-6.4248737444822001E-3</v>
      </c>
      <c r="C182" s="36">
        <f>deflators_raw!C182</f>
        <v>-3.2706239119787997E-2</v>
      </c>
      <c r="D182" s="36">
        <f>deflators_raw!D182</f>
        <v>-3.9305105462135198E-2</v>
      </c>
      <c r="E182" s="36">
        <f>deflators_raw!E182</f>
        <v>-1.18502082280647E-3</v>
      </c>
      <c r="F182" s="36" t="str">
        <f>deflators_raw!F182</f>
        <v>2015 Q1</v>
      </c>
      <c r="G182" s="36" t="str">
        <f>deflators_raw!G182</f>
        <v>historical</v>
      </c>
    </row>
    <row r="183" spans="1:7" x14ac:dyDescent="0.3">
      <c r="A183" s="36">
        <f>deflators_raw!A183</f>
        <v>1.9548766403745001E-2</v>
      </c>
      <c r="B183" s="36">
        <f>deflators_raw!B183</f>
        <v>7.87290366046434E-3</v>
      </c>
      <c r="C183" s="36">
        <f>deflators_raw!C183</f>
        <v>2.6384745223831701E-2</v>
      </c>
      <c r="D183" s="36">
        <f>deflators_raw!D183</f>
        <v>2.82887807392058E-2</v>
      </c>
      <c r="E183" s="36">
        <f>deflators_raw!E183</f>
        <v>1.76749178700988E-2</v>
      </c>
      <c r="F183" s="36" t="str">
        <f>deflators_raw!F183</f>
        <v>2015 Q2</v>
      </c>
      <c r="G183" s="36" t="str">
        <f>deflators_raw!G183</f>
        <v>historical</v>
      </c>
    </row>
    <row r="184" spans="1:7" x14ac:dyDescent="0.3">
      <c r="A184" s="36">
        <f>deflators_raw!A184</f>
        <v>9.6917092109320997E-3</v>
      </c>
      <c r="B184" s="36">
        <f>deflators_raw!B184</f>
        <v>6.1419866574232698E-3</v>
      </c>
      <c r="C184" s="36">
        <f>deflators_raw!C184</f>
        <v>4.0111960578135299E-3</v>
      </c>
      <c r="D184" s="36">
        <f>deflators_raw!D184</f>
        <v>2.4162101667697402E-3</v>
      </c>
      <c r="E184" s="36">
        <f>deflators_raw!E184</f>
        <v>1.1398511762960899E-2</v>
      </c>
      <c r="F184" s="36" t="str">
        <f>deflators_raw!F184</f>
        <v>2015 Q3</v>
      </c>
      <c r="G184" s="36" t="str">
        <f>deflators_raw!G184</f>
        <v>historical</v>
      </c>
    </row>
    <row r="185" spans="1:7" x14ac:dyDescent="0.3">
      <c r="A185" s="36">
        <f>deflators_raw!A185</f>
        <v>-3.9403871252573497E-3</v>
      </c>
      <c r="B185" s="36">
        <f>deflators_raw!B185</f>
        <v>-3.1716537268759999E-3</v>
      </c>
      <c r="C185" s="36">
        <f>deflators_raw!C185</f>
        <v>-1.32955897973415E-2</v>
      </c>
      <c r="D185" s="36">
        <f>deflators_raw!D185</f>
        <v>-1.5664221695060501E-2</v>
      </c>
      <c r="E185" s="36">
        <f>deflators_raw!E185</f>
        <v>-2.2010123911118101E-3</v>
      </c>
      <c r="F185" s="36" t="str">
        <f>deflators_raw!F185</f>
        <v>2015 Q4</v>
      </c>
      <c r="G185" s="36" t="str">
        <f>deflators_raw!G185</f>
        <v>historical</v>
      </c>
    </row>
    <row r="186" spans="1:7" x14ac:dyDescent="0.3">
      <c r="A186" s="36">
        <f>deflators_raw!A186</f>
        <v>2.1316685833889801E-3</v>
      </c>
      <c r="B186" s="36">
        <f>deflators_raw!B186</f>
        <v>-9.9615046560082004E-3</v>
      </c>
      <c r="C186" s="36">
        <f>deflators_raw!C186</f>
        <v>-2.9400798500526501E-2</v>
      </c>
      <c r="D186" s="36">
        <f>deflators_raw!D186</f>
        <v>-3.3665208430493802E-2</v>
      </c>
      <c r="E186" s="36">
        <f>deflators_raw!E186</f>
        <v>-9.6550430027560995E-3</v>
      </c>
      <c r="F186" s="36" t="str">
        <f>deflators_raw!F186</f>
        <v>2016 Q1</v>
      </c>
      <c r="G186" s="36" t="str">
        <f>deflators_raw!G186</f>
        <v>historical</v>
      </c>
    </row>
    <row r="187" spans="1:7" x14ac:dyDescent="0.3">
      <c r="A187" s="36">
        <f>deflators_raw!A187</f>
        <v>2.5357857709627601E-2</v>
      </c>
      <c r="B187" s="36">
        <f>deflators_raw!B187</f>
        <v>2.1698746196001199E-2</v>
      </c>
      <c r="C187" s="36">
        <f>deflators_raw!C187</f>
        <v>3.1150112025238399E-2</v>
      </c>
      <c r="D187" s="36">
        <f>deflators_raw!D187</f>
        <v>3.0770998377488399E-2</v>
      </c>
      <c r="E187" s="36">
        <f>deflators_raw!E187</f>
        <v>3.3008554152673703E-2</v>
      </c>
      <c r="F187" s="36" t="str">
        <f>deflators_raw!F187</f>
        <v>2016 Q2</v>
      </c>
      <c r="G187" s="36" t="str">
        <f>deflators_raw!G187</f>
        <v>historical</v>
      </c>
    </row>
    <row r="188" spans="1:7" x14ac:dyDescent="0.3">
      <c r="A188" s="36">
        <f>deflators_raw!A188</f>
        <v>1.5085753101185199E-2</v>
      </c>
      <c r="B188" s="36">
        <f>deflators_raw!B188</f>
        <v>1.5625918949128799E-2</v>
      </c>
      <c r="C188" s="36">
        <f>deflators_raw!C188</f>
        <v>1.3242458778771201E-2</v>
      </c>
      <c r="D188" s="36">
        <f>deflators_raw!D188</f>
        <v>1.5469326265677499E-2</v>
      </c>
      <c r="E188" s="36">
        <f>deflators_raw!E188</f>
        <v>3.0262315011426702E-3</v>
      </c>
      <c r="F188" s="36" t="str">
        <f>deflators_raw!F188</f>
        <v>2016 Q3</v>
      </c>
      <c r="G188" s="36" t="str">
        <f>deflators_raw!G188</f>
        <v>historical</v>
      </c>
    </row>
    <row r="189" spans="1:7" x14ac:dyDescent="0.3">
      <c r="A189" s="36">
        <f>deflators_raw!A189</f>
        <v>1.9065277405527499E-2</v>
      </c>
      <c r="B189" s="36">
        <f>deflators_raw!B189</f>
        <v>1.9426037707255001E-2</v>
      </c>
      <c r="C189" s="36">
        <f>deflators_raw!C189</f>
        <v>1.9732026701747798E-2</v>
      </c>
      <c r="D189" s="36">
        <f>deflators_raw!D189</f>
        <v>1.98067429774604E-2</v>
      </c>
      <c r="E189" s="36">
        <f>deflators_raw!E189</f>
        <v>1.9471921944120799E-2</v>
      </c>
      <c r="F189" s="36" t="str">
        <f>deflators_raw!F189</f>
        <v>2016 Q4</v>
      </c>
      <c r="G189" s="36" t="str">
        <f>deflators_raw!G189</f>
        <v>historical</v>
      </c>
    </row>
    <row r="190" spans="1:7" x14ac:dyDescent="0.3">
      <c r="A190" s="36">
        <f>deflators_raw!A190</f>
        <v>2.3896314746341098E-2</v>
      </c>
      <c r="B190" s="36">
        <f>deflators_raw!B190</f>
        <v>1.9409885132803301E-2</v>
      </c>
      <c r="C190" s="36">
        <f>deflators_raw!C190</f>
        <v>3.7278658950123902E-2</v>
      </c>
      <c r="D190" s="36">
        <f>deflators_raw!D190</f>
        <v>3.9514900887574103E-2</v>
      </c>
      <c r="E190" s="36">
        <f>deflators_raw!E190</f>
        <v>2.7099611156277601E-2</v>
      </c>
      <c r="F190" s="36" t="str">
        <f>deflators_raw!F190</f>
        <v>2017 Q1</v>
      </c>
      <c r="G190" s="36" t="str">
        <f>deflators_raw!G190</f>
        <v>historical</v>
      </c>
    </row>
    <row r="191" spans="1:7" x14ac:dyDescent="0.3">
      <c r="A191" s="36">
        <f>deflators_raw!A191</f>
        <v>9.9328007831764892E-3</v>
      </c>
      <c r="B191" s="36">
        <f>deflators_raw!B191</f>
        <v>1.3103273651826199E-2</v>
      </c>
      <c r="C191" s="36">
        <f>deflators_raw!C191</f>
        <v>1.12864434786104E-2</v>
      </c>
      <c r="D191" s="36">
        <f>deflators_raw!D191</f>
        <v>9.0306358829268501E-3</v>
      </c>
      <c r="E191" s="36">
        <f>deflators_raw!E191</f>
        <v>2.1521193573355E-2</v>
      </c>
      <c r="F191" s="36" t="str">
        <f>deflators_raw!F191</f>
        <v>2017 Q2</v>
      </c>
      <c r="G191" s="36" t="str">
        <f>deflators_raw!G191</f>
        <v>historical</v>
      </c>
    </row>
    <row r="192" spans="1:7" x14ac:dyDescent="0.3">
      <c r="A192" s="36">
        <f>deflators_raw!A192</f>
        <v>1.4603017582518699E-2</v>
      </c>
      <c r="B192" s="36">
        <f>deflators_raw!B192</f>
        <v>1.7788818797953999E-2</v>
      </c>
      <c r="C192" s="36">
        <f>deflators_raw!C192</f>
        <v>3.6562690512580202E-2</v>
      </c>
      <c r="D192" s="36">
        <f>deflators_raw!D192</f>
        <v>3.6635495652026999E-2</v>
      </c>
      <c r="E192" s="36">
        <f>deflators_raw!E192</f>
        <v>3.6311211479282998E-2</v>
      </c>
      <c r="F192" s="36" t="str">
        <f>deflators_raw!F192</f>
        <v>2017 Q3</v>
      </c>
      <c r="G192" s="36" t="str">
        <f>deflators_raw!G192</f>
        <v>historical</v>
      </c>
    </row>
    <row r="193" spans="1:7" x14ac:dyDescent="0.3">
      <c r="A193" s="36">
        <f>deflators_raw!A193</f>
        <v>2.5719713356744601E-2</v>
      </c>
      <c r="B193" s="36">
        <f>deflators_raw!B193</f>
        <v>2.90667642529692E-2</v>
      </c>
      <c r="C193" s="36">
        <f>deflators_raw!C193</f>
        <v>5.0774987871551797E-2</v>
      </c>
      <c r="D193" s="36">
        <f>deflators_raw!D193</f>
        <v>5.7042627848445E-2</v>
      </c>
      <c r="E193" s="36">
        <f>deflators_raw!E193</f>
        <v>2.3197124388088401E-2</v>
      </c>
      <c r="F193" s="36" t="str">
        <f>deflators_raw!F193</f>
        <v>2017 Q4</v>
      </c>
      <c r="G193" s="36" t="str">
        <f>deflators_raw!G193</f>
        <v>historical</v>
      </c>
    </row>
    <row r="194" spans="1:7" x14ac:dyDescent="0.3">
      <c r="A194" s="36">
        <f>deflators_raw!A194</f>
        <v>2.9147369447939799E-2</v>
      </c>
      <c r="B194" s="36">
        <f>deflators_raw!B194</f>
        <v>4.11537159385129E-2</v>
      </c>
      <c r="C194" s="36">
        <f>deflators_raw!C194</f>
        <v>4.9648850800065397E-2</v>
      </c>
      <c r="D194" s="36">
        <f>deflators_raw!D194</f>
        <v>5.2316315130779299E-2</v>
      </c>
      <c r="E194" s="36">
        <f>deflators_raw!E194</f>
        <v>3.8107075575473298E-2</v>
      </c>
      <c r="F194" s="36" t="str">
        <f>deflators_raw!F194</f>
        <v>2018 Q1</v>
      </c>
      <c r="G194" s="36" t="str">
        <f>deflators_raw!G194</f>
        <v>historical</v>
      </c>
    </row>
    <row r="195" spans="1:7" x14ac:dyDescent="0.3">
      <c r="A195" s="36">
        <f>deflators_raw!A195</f>
        <v>2.1663179127611398E-2</v>
      </c>
      <c r="B195" s="36">
        <f>deflators_raw!B195</f>
        <v>2.95524402709311E-2</v>
      </c>
      <c r="C195" s="36">
        <f>deflators_raw!C195</f>
        <v>4.43236674984493E-2</v>
      </c>
      <c r="D195" s="36">
        <f>deflators_raw!D195</f>
        <v>4.1414814571916599E-2</v>
      </c>
      <c r="E195" s="36">
        <f>deflators_raw!E195</f>
        <v>5.71493007542314E-2</v>
      </c>
      <c r="F195" s="36" t="str">
        <f>deflators_raw!F195</f>
        <v>2018 Q2</v>
      </c>
      <c r="G195" s="36" t="str">
        <f>deflators_raw!G195</f>
        <v>historical</v>
      </c>
    </row>
    <row r="196" spans="1:7" x14ac:dyDescent="0.3">
      <c r="A196" s="36">
        <f>deflators_raw!A196</f>
        <v>1.4350946991545E-2</v>
      </c>
      <c r="B196" s="36">
        <f>deflators_raw!B196</f>
        <v>2.3387558006987101E-2</v>
      </c>
      <c r="C196" s="36">
        <f>deflators_raw!C196</f>
        <v>3.7181249340460402E-2</v>
      </c>
      <c r="D196" s="36">
        <f>deflators_raw!D196</f>
        <v>3.8836746328921902E-2</v>
      </c>
      <c r="E196" s="36">
        <f>deflators_raw!E196</f>
        <v>2.9745006586506799E-2</v>
      </c>
      <c r="F196" s="36" t="str">
        <f>deflators_raw!F196</f>
        <v>2018 Q3</v>
      </c>
      <c r="G196" s="36" t="str">
        <f>deflators_raw!G196</f>
        <v>historical</v>
      </c>
    </row>
    <row r="197" spans="1:7" x14ac:dyDescent="0.3">
      <c r="A197" s="36">
        <f>deflators_raw!A197</f>
        <v>1.51565091171486E-2</v>
      </c>
      <c r="B197" s="36">
        <f>deflators_raw!B197</f>
        <v>2.9652502701153601E-2</v>
      </c>
      <c r="C197" s="36">
        <f>deflators_raw!C197</f>
        <v>2.0739486303196001E-2</v>
      </c>
      <c r="D197" s="36">
        <f>deflators_raw!D197</f>
        <v>1.6036274889288799E-2</v>
      </c>
      <c r="E197" s="36">
        <f>deflators_raw!E197</f>
        <v>4.1912016313216102E-2</v>
      </c>
      <c r="F197" s="36" t="str">
        <f>deflators_raw!F197</f>
        <v>2018 Q4</v>
      </c>
      <c r="G197" s="36" t="str">
        <f>deflators_raw!G197</f>
        <v>historical</v>
      </c>
    </row>
    <row r="198" spans="1:7" x14ac:dyDescent="0.3">
      <c r="A198" s="36">
        <f>deflators_raw!A198</f>
        <v>8.3593342288621492E-3</v>
      </c>
      <c r="B198" s="36">
        <f>deflators_raw!B198</f>
        <v>4.3357912415273203E-2</v>
      </c>
      <c r="C198" s="36">
        <f>deflators_raw!C198</f>
        <v>-1.09099553725475E-2</v>
      </c>
      <c r="D198" s="36">
        <f>deflators_raw!D198</f>
        <v>-1.6750426853228501E-2</v>
      </c>
      <c r="E198" s="36">
        <f>deflators_raw!E198</f>
        <v>1.5721372171975601E-2</v>
      </c>
      <c r="F198" s="36" t="str">
        <f>deflators_raw!F198</f>
        <v>2019 Q1</v>
      </c>
      <c r="G198" s="36" t="str">
        <f>deflators_raw!G198</f>
        <v>historical</v>
      </c>
    </row>
    <row r="199" spans="1:7" x14ac:dyDescent="0.3">
      <c r="A199" s="36">
        <f>deflators_raw!A199</f>
        <v>2.4734353401226102E-2</v>
      </c>
      <c r="B199" s="36">
        <f>deflators_raw!B199</f>
        <v>-2.6343933972632301E-2</v>
      </c>
      <c r="C199" s="36">
        <f>deflators_raw!C199</f>
        <v>2.9915559028399701E-2</v>
      </c>
      <c r="D199" s="36">
        <f>deflators_raw!D199</f>
        <v>2.5813818283005E-2</v>
      </c>
      <c r="E199" s="36">
        <f>deflators_raw!E199</f>
        <v>4.8037769815769002E-2</v>
      </c>
      <c r="F199" s="36" t="str">
        <f>deflators_raw!F199</f>
        <v>2019 Q2</v>
      </c>
      <c r="G199" s="36" t="str">
        <f>deflators_raw!G199</f>
        <v>historical</v>
      </c>
    </row>
    <row r="200" spans="1:7" x14ac:dyDescent="0.3">
      <c r="A200" s="36">
        <f>deflators_raw!A200</f>
        <v>1.0490970472330399E-2</v>
      </c>
      <c r="B200" s="36">
        <f>deflators_raw!B200</f>
        <v>1.0018821110834301E-2</v>
      </c>
      <c r="C200" s="36">
        <f>deflators_raw!C200</f>
        <v>1.05275597064789E-2</v>
      </c>
      <c r="D200" s="36">
        <f>deflators_raw!D200</f>
        <v>8.6124156242581903E-3</v>
      </c>
      <c r="E200" s="36">
        <f>deflators_raw!E200</f>
        <v>1.9083730667159401E-2</v>
      </c>
      <c r="F200" s="36" t="str">
        <f>deflators_raw!F200</f>
        <v>2019 Q3</v>
      </c>
      <c r="G200" s="36" t="str">
        <f>deflators_raw!G200</f>
        <v>historical</v>
      </c>
    </row>
    <row r="201" spans="1:7" x14ac:dyDescent="0.3">
      <c r="A201" s="36">
        <f>deflators_raw!A201</f>
        <v>1.45690487077856E-2</v>
      </c>
      <c r="B201" s="36">
        <f>deflators_raw!B201</f>
        <v>1.6245763277308499E-2</v>
      </c>
      <c r="C201" s="36">
        <f>deflators_raw!C201</f>
        <v>1.49197048908958E-2</v>
      </c>
      <c r="D201" s="36">
        <f>deflators_raw!D201</f>
        <v>1.6996215944869601E-2</v>
      </c>
      <c r="E201" s="36">
        <f>deflators_raw!E201</f>
        <v>5.8979339636946503E-3</v>
      </c>
      <c r="F201" s="36" t="str">
        <f>deflators_raw!F201</f>
        <v>2019 Q4</v>
      </c>
      <c r="G201" s="36" t="str">
        <f>deflators_raw!G201</f>
        <v>historical</v>
      </c>
    </row>
    <row r="202" spans="1:7" x14ac:dyDescent="0.3">
      <c r="A202" s="36">
        <f>deflators_raw!A202</f>
        <v>1.46624987744557E-2</v>
      </c>
      <c r="B202" s="36">
        <f>deflators_raw!B202</f>
        <v>1.3591255249432201E-2</v>
      </c>
      <c r="C202" s="36">
        <f>deflators_raw!C202</f>
        <v>4.3158369252632098E-2</v>
      </c>
      <c r="D202" s="36">
        <f>deflators_raw!D202</f>
        <v>5.0660572456327199E-2</v>
      </c>
      <c r="E202" s="36">
        <f>deflators_raw!E202</f>
        <v>1.0418465412080901E-2</v>
      </c>
      <c r="F202" s="36" t="str">
        <f>deflators_raw!F202</f>
        <v>2020 Q1</v>
      </c>
      <c r="G202" s="36" t="str">
        <f>deflators_raw!G202</f>
        <v>historical</v>
      </c>
    </row>
    <row r="203" spans="1:7" x14ac:dyDescent="0.3">
      <c r="A203" s="36">
        <f>deflators_raw!A203</f>
        <v>-1.7940859457881899E-2</v>
      </c>
      <c r="B203" s="36">
        <f>deflators_raw!B203</f>
        <v>3.31045118831508E-3</v>
      </c>
      <c r="C203" s="36">
        <f>deflators_raw!C203</f>
        <v>-2.2930962354547101E-3</v>
      </c>
      <c r="D203" s="36">
        <f>deflators_raw!D203</f>
        <v>-1.06133933402519E-3</v>
      </c>
      <c r="E203" s="36">
        <f>deflators_raw!E203</f>
        <v>-7.65559802497651E-3</v>
      </c>
      <c r="F203" s="36" t="str">
        <f>deflators_raw!F203</f>
        <v>2020 Q2</v>
      </c>
      <c r="G203" s="36" t="str">
        <f>deflators_raw!G203</f>
        <v>historical</v>
      </c>
    </row>
    <row r="204" spans="1:7" x14ac:dyDescent="0.3">
      <c r="A204" s="36">
        <f>deflators_raw!A204</f>
        <v>3.3775526155126898E-2</v>
      </c>
      <c r="B204" s="36">
        <f>deflators_raw!B204</f>
        <v>2.5959727144998501E-2</v>
      </c>
      <c r="C204" s="36">
        <f>deflators_raw!C204</f>
        <v>3.5878370959533598E-2</v>
      </c>
      <c r="D204" s="36">
        <f>deflators_raw!D204</f>
        <v>3.4596703938155803E-2</v>
      </c>
      <c r="E204" s="36">
        <f>deflators_raw!E204</f>
        <v>4.1355015452944698E-2</v>
      </c>
      <c r="F204" s="36" t="str">
        <f>deflators_raw!F204</f>
        <v>2020 Q3</v>
      </c>
      <c r="G204" s="36" t="str">
        <f>deflators_raw!G204</f>
        <v>historical</v>
      </c>
    </row>
    <row r="205" spans="1:7" x14ac:dyDescent="0.3">
      <c r="A205" s="36">
        <f>deflators_raw!A205</f>
        <v>1.6442937470855502E-2</v>
      </c>
      <c r="B205" s="36">
        <f>deflators_raw!B205</f>
        <v>2.4447407360365301E-2</v>
      </c>
      <c r="C205" s="36">
        <f>deflators_raw!C205</f>
        <v>4.55348943874712E-2</v>
      </c>
      <c r="D205" s="36">
        <f>deflators_raw!D205</f>
        <v>5.1547958936444697E-2</v>
      </c>
      <c r="E205" s="36">
        <f>deflators_raw!E205</f>
        <v>1.8415186976738801E-2</v>
      </c>
      <c r="F205" s="36" t="str">
        <f>deflators_raw!F205</f>
        <v>2020 Q4</v>
      </c>
      <c r="G205" s="36" t="str">
        <f>deflators_raw!G205</f>
        <v>historical</v>
      </c>
    </row>
    <row r="206" spans="1:7" x14ac:dyDescent="0.3">
      <c r="A206" s="36">
        <f>deflators_raw!A206</f>
        <v>4.5025943450948999E-2</v>
      </c>
      <c r="B206" s="36">
        <f>deflators_raw!B206</f>
        <v>4.0827649049089101E-2</v>
      </c>
      <c r="C206" s="36">
        <f>deflators_raw!C206</f>
        <v>8.7714323909891603E-2</v>
      </c>
      <c r="D206" s="36">
        <f>deflators_raw!D206</f>
        <v>9.2834286401326696E-2</v>
      </c>
      <c r="E206" s="36">
        <f>deflators_raw!E206</f>
        <v>6.4160755006020101E-2</v>
      </c>
      <c r="F206" s="36" t="str">
        <f>deflators_raw!F206</f>
        <v>2021 Q1</v>
      </c>
      <c r="G206" s="36" t="str">
        <f>deflators_raw!G206</f>
        <v>historical</v>
      </c>
    </row>
    <row r="207" spans="1:7" x14ac:dyDescent="0.3">
      <c r="A207" s="36">
        <f>deflators_raw!A207</f>
        <v>6.4441802743663304E-2</v>
      </c>
      <c r="B207" s="36">
        <f>deflators_raw!B207</f>
        <v>4.1247362410053098E-2</v>
      </c>
      <c r="C207" s="36">
        <f>deflators_raw!C207</f>
        <v>8.4888593948209398E-2</v>
      </c>
      <c r="D207" s="36">
        <f>deflators_raw!D207</f>
        <v>8.0575514620662397E-2</v>
      </c>
      <c r="E207" s="36">
        <f>deflators_raw!E207</f>
        <v>0.104589902157439</v>
      </c>
      <c r="F207" s="36" t="str">
        <f>deflators_raw!F207</f>
        <v>2021 Q2</v>
      </c>
      <c r="G207" s="36" t="str">
        <f>deflators_raw!G207</f>
        <v>historical</v>
      </c>
    </row>
    <row r="208" spans="1:7" x14ac:dyDescent="0.3">
      <c r="A208" s="36">
        <f>deflators_raw!A208</f>
        <v>5.5998846943190198E-2</v>
      </c>
      <c r="B208" s="36">
        <f>deflators_raw!B208</f>
        <v>4.40178580952795E-2</v>
      </c>
      <c r="C208" s="36">
        <f>deflators_raw!C208</f>
        <v>6.9703587118332494E-2</v>
      </c>
      <c r="D208" s="36">
        <f>deflators_raw!D208</f>
        <v>6.4680375979367696E-2</v>
      </c>
      <c r="E208" s="36">
        <f>deflators_raw!E208</f>
        <v>9.3631239224950299E-2</v>
      </c>
      <c r="F208" s="36" t="str">
        <f>deflators_raw!F208</f>
        <v>2021 Q3</v>
      </c>
      <c r="G208" s="36" t="str">
        <f>deflators_raw!G208</f>
        <v>historical</v>
      </c>
    </row>
    <row r="209" spans="1:7" x14ac:dyDescent="0.3">
      <c r="A209" s="36">
        <f>deflators_raw!A209</f>
        <v>6.1859650545573498E-2</v>
      </c>
      <c r="B209" s="36">
        <f>deflators_raw!B209</f>
        <v>4.34322998250962E-2</v>
      </c>
      <c r="C209" s="36">
        <f>deflators_raw!C209</f>
        <v>9.0463399615994505E-2</v>
      </c>
      <c r="D209" s="36">
        <f>deflators_raw!D209</f>
        <v>8.4136934840178798E-2</v>
      </c>
      <c r="E209" s="36">
        <f>deflators_raw!E209</f>
        <v>0.12124821634027599</v>
      </c>
      <c r="F209" s="36" t="str">
        <f>deflators_raw!F209</f>
        <v>2021 Q4</v>
      </c>
      <c r="G209" s="36" t="str">
        <f>deflators_raw!G209</f>
        <v>historical</v>
      </c>
    </row>
    <row r="210" spans="1:7" x14ac:dyDescent="0.3">
      <c r="A210" s="36">
        <f>deflators_raw!A210</f>
        <v>7.4784916271317198E-2</v>
      </c>
      <c r="B210" s="36">
        <f>deflators_raw!B210</f>
        <v>5.6798579453040801E-2</v>
      </c>
      <c r="C210" s="36">
        <f>deflators_raw!C210</f>
        <v>0.10558682780244399</v>
      </c>
      <c r="D210" s="36">
        <f>deflators_raw!D210</f>
        <v>0.10120576467409099</v>
      </c>
      <c r="E210" s="36">
        <f>deflators_raw!E210</f>
        <v>0.12687792670398401</v>
      </c>
      <c r="F210" s="36" t="str">
        <f>deflators_raw!F210</f>
        <v>2022 Q1</v>
      </c>
      <c r="G210" s="36" t="str">
        <f>deflators_raw!G210</f>
        <v>historical</v>
      </c>
    </row>
    <row r="211" spans="1:7" x14ac:dyDescent="0.3">
      <c r="A211" s="36">
        <f>deflators_raw!A211</f>
        <v>7.2922192171477093E-2</v>
      </c>
      <c r="B211" s="36">
        <f>deflators_raw!B211</f>
        <v>5.9959109255099501E-2</v>
      </c>
      <c r="C211" s="36">
        <f>deflators_raw!C211</f>
        <v>0.149798907045571</v>
      </c>
      <c r="D211" s="36">
        <f>deflators_raw!D211</f>
        <v>0.15221841372862299</v>
      </c>
      <c r="E211" s="36">
        <f>deflators_raw!E211</f>
        <v>0.13796693794697101</v>
      </c>
      <c r="F211" s="36" t="str">
        <f>deflators_raw!F211</f>
        <v>2022 Q2</v>
      </c>
      <c r="G211" s="36" t="str">
        <f>deflators_raw!G211</f>
        <v>historical</v>
      </c>
    </row>
    <row r="212" spans="1:7" x14ac:dyDescent="0.3">
      <c r="A212" s="36">
        <f>deflators_raw!A212</f>
        <v>4.26048200328299E-2</v>
      </c>
      <c r="B212" s="36">
        <f>deflators_raw!B212</f>
        <v>5.1292511520088402E-2</v>
      </c>
      <c r="C212" s="36">
        <f>deflators_raw!C212</f>
        <v>2.8697836952582101E-2</v>
      </c>
      <c r="D212" s="36">
        <f>deflators_raw!D212</f>
        <v>1.6037759684283601E-2</v>
      </c>
      <c r="E212" s="36">
        <f>deflators_raw!E212</f>
        <v>9.3362038055906399E-2</v>
      </c>
      <c r="F212" s="36" t="str">
        <f>deflators_raw!F212</f>
        <v>2022 Q3</v>
      </c>
      <c r="G212" s="36" t="str">
        <f>deflators_raw!G212</f>
        <v>historical</v>
      </c>
    </row>
    <row r="213" spans="1:7" x14ac:dyDescent="0.3">
      <c r="A213" s="36">
        <f>deflators_raw!A213</f>
        <v>2.7447616796656402E-2</v>
      </c>
      <c r="B213" s="36">
        <f>deflators_raw!B213</f>
        <v>2.3249618404576101E-2</v>
      </c>
      <c r="C213" s="36">
        <f>deflators_raw!C213</f>
        <v>3.8298767461848897E-2</v>
      </c>
      <c r="D213" s="36">
        <f>deflators_raw!D213</f>
        <v>3.8298767461848897E-2</v>
      </c>
      <c r="E213" s="36">
        <f>deflators_raw!E213</f>
        <v>3.8298767461848897E-2</v>
      </c>
      <c r="F213" s="36" t="str">
        <f>deflators_raw!F213</f>
        <v>2022 Q4</v>
      </c>
      <c r="G213" s="36" t="str">
        <f>deflators_raw!G213</f>
        <v>projection</v>
      </c>
    </row>
    <row r="214" spans="1:7" x14ac:dyDescent="0.3">
      <c r="A214" s="36">
        <f>deflators_raw!A214</f>
        <v>2.49173870638888E-2</v>
      </c>
      <c r="B214" s="36">
        <f>deflators_raw!B214</f>
        <v>2.1715756912072299E-2</v>
      </c>
      <c r="C214" s="36">
        <f>deflators_raw!C214</f>
        <v>3.6085750781477598E-2</v>
      </c>
      <c r="D214" s="36">
        <f>deflators_raw!D214</f>
        <v>3.6085750781477598E-2</v>
      </c>
      <c r="E214" s="36">
        <f>deflators_raw!E214</f>
        <v>3.6085750781477598E-2</v>
      </c>
      <c r="F214" s="36" t="str">
        <f>deflators_raw!F214</f>
        <v>2023 Q1</v>
      </c>
      <c r="G214" s="36" t="str">
        <f>deflators_raw!G214</f>
        <v>projection</v>
      </c>
    </row>
    <row r="215" spans="1:7" x14ac:dyDescent="0.3">
      <c r="A215" s="36">
        <f>deflators_raw!A215</f>
        <v>2.33440010578361E-2</v>
      </c>
      <c r="B215" s="36">
        <f>deflators_raw!B215</f>
        <v>2.1485909848918801E-2</v>
      </c>
      <c r="C215" s="36">
        <f>deflators_raw!C215</f>
        <v>3.2005284910624002E-2</v>
      </c>
      <c r="D215" s="36">
        <f>deflators_raw!D215</f>
        <v>3.2005284910624002E-2</v>
      </c>
      <c r="E215" s="36">
        <f>deflators_raw!E215</f>
        <v>3.2005284910624002E-2</v>
      </c>
      <c r="F215" s="36" t="str">
        <f>deflators_raw!F215</f>
        <v>2023 Q2</v>
      </c>
      <c r="G215" s="36" t="str">
        <f>deflators_raw!G215</f>
        <v>projection</v>
      </c>
    </row>
    <row r="216" spans="1:7" x14ac:dyDescent="0.3">
      <c r="A216" s="36">
        <f>deflators_raw!A216</f>
        <v>2.2676579457354702E-2</v>
      </c>
      <c r="B216" s="36">
        <f>deflators_raw!B216</f>
        <v>2.1729771469873E-2</v>
      </c>
      <c r="C216" s="36">
        <f>deflators_raw!C216</f>
        <v>2.9538555790939999E-2</v>
      </c>
      <c r="D216" s="36">
        <f>deflators_raw!D216</f>
        <v>2.9538555790939999E-2</v>
      </c>
      <c r="E216" s="36">
        <f>deflators_raw!E216</f>
        <v>2.9538555790939999E-2</v>
      </c>
      <c r="F216" s="36" t="str">
        <f>deflators_raw!F216</f>
        <v>2023 Q3</v>
      </c>
      <c r="G216" s="36" t="str">
        <f>deflators_raw!G216</f>
        <v>projection</v>
      </c>
    </row>
    <row r="217" spans="1:7" x14ac:dyDescent="0.3">
      <c r="A217" s="36">
        <f>deflators_raw!A217</f>
        <v>2.2178287431426899E-2</v>
      </c>
      <c r="B217" s="36">
        <f>deflators_raw!B217</f>
        <v>2.22727407121028E-2</v>
      </c>
      <c r="C217" s="36">
        <f>deflators_raw!C217</f>
        <v>2.8512142036472E-2</v>
      </c>
      <c r="D217" s="36">
        <f>deflators_raw!D217</f>
        <v>2.8512142036472E-2</v>
      </c>
      <c r="E217" s="36">
        <f>deflators_raw!E217</f>
        <v>2.8512142036472E-2</v>
      </c>
      <c r="F217" s="36" t="str">
        <f>deflators_raw!F217</f>
        <v>2023 Q4</v>
      </c>
      <c r="G217" s="36" t="str">
        <f>deflators_raw!G217</f>
        <v>projection</v>
      </c>
    </row>
    <row r="218" spans="1:7" x14ac:dyDescent="0.3">
      <c r="A218" s="36">
        <f>deflators_raw!A218</f>
        <v>2.1434276652948898E-2</v>
      </c>
      <c r="B218" s="36">
        <f>deflators_raw!B218</f>
        <v>2.23623952750127E-2</v>
      </c>
      <c r="C218" s="36">
        <f>deflators_raw!C218</f>
        <v>2.8283584176253401E-2</v>
      </c>
      <c r="D218" s="36">
        <f>deflators_raw!D218</f>
        <v>2.8283584176253401E-2</v>
      </c>
      <c r="E218" s="36">
        <f>deflators_raw!E218</f>
        <v>2.8283584176253401E-2</v>
      </c>
      <c r="F218" s="36" t="str">
        <f>deflators_raw!F218</f>
        <v>2024 Q1</v>
      </c>
      <c r="G218" s="36" t="str">
        <f>deflators_raw!G218</f>
        <v>projection</v>
      </c>
    </row>
    <row r="219" spans="1:7" x14ac:dyDescent="0.3">
      <c r="A219" s="36">
        <f>deflators_raw!A219</f>
        <v>2.10072065089228E-2</v>
      </c>
      <c r="B219" s="36">
        <f>deflators_raw!B219</f>
        <v>2.2496789219665199E-2</v>
      </c>
      <c r="C219" s="36">
        <f>deflators_raw!C219</f>
        <v>2.7654852328046001E-2</v>
      </c>
      <c r="D219" s="36">
        <f>deflators_raw!D219</f>
        <v>2.7654852328046001E-2</v>
      </c>
      <c r="E219" s="36">
        <f>deflators_raw!E219</f>
        <v>2.7654852328046001E-2</v>
      </c>
      <c r="F219" s="36" t="str">
        <f>deflators_raw!F219</f>
        <v>2024 Q2</v>
      </c>
      <c r="G219" s="36" t="str">
        <f>deflators_raw!G219</f>
        <v>projection</v>
      </c>
    </row>
    <row r="220" spans="1:7" x14ac:dyDescent="0.3">
      <c r="A220" s="36">
        <f>deflators_raw!A220</f>
        <v>2.0591622707038602E-2</v>
      </c>
      <c r="B220" s="36">
        <f>deflators_raw!B220</f>
        <v>2.25123599902981E-2</v>
      </c>
      <c r="C220" s="36">
        <f>deflators_raw!C220</f>
        <v>2.7753662335143502E-2</v>
      </c>
      <c r="D220" s="36">
        <f>deflators_raw!D220</f>
        <v>2.7753662335143502E-2</v>
      </c>
      <c r="E220" s="36">
        <f>deflators_raw!E220</f>
        <v>2.7753662335143502E-2</v>
      </c>
      <c r="F220" s="36" t="str">
        <f>deflators_raw!F220</f>
        <v>2024 Q3</v>
      </c>
      <c r="G220" s="36" t="str">
        <f>deflators_raw!G220</f>
        <v>projection</v>
      </c>
    </row>
    <row r="221" spans="1:7" x14ac:dyDescent="0.3">
      <c r="A221" s="36">
        <f>deflators_raw!A221</f>
        <v>2.0347186911993099E-2</v>
      </c>
      <c r="B221" s="36">
        <f>deflators_raw!B221</f>
        <v>2.2891901714989799E-2</v>
      </c>
      <c r="C221" s="36">
        <f>deflators_raw!C221</f>
        <v>2.8110399323646899E-2</v>
      </c>
      <c r="D221" s="36">
        <f>deflators_raw!D221</f>
        <v>2.8110399323646899E-2</v>
      </c>
      <c r="E221" s="36">
        <f>deflators_raw!E221</f>
        <v>2.8110399323646899E-2</v>
      </c>
      <c r="F221" s="36" t="str">
        <f>deflators_raw!F221</f>
        <v>2024 Q4</v>
      </c>
      <c r="G221" s="36" t="str">
        <f>deflators_raw!G221</f>
        <v>projection</v>
      </c>
    </row>
    <row r="222" spans="1:7" x14ac:dyDescent="0.3">
      <c r="A222" s="36">
        <f>deflators_raw!A222</f>
        <v>2.03844462174123E-2</v>
      </c>
      <c r="B222" s="36">
        <f>deflators_raw!B222</f>
        <v>2.2688598137850801E-2</v>
      </c>
      <c r="C222" s="36">
        <f>deflators_raw!C222</f>
        <v>2.89673943247446E-2</v>
      </c>
      <c r="D222" s="36">
        <f>deflators_raw!D222</f>
        <v>2.89673943247446E-2</v>
      </c>
      <c r="E222" s="36">
        <f>deflators_raw!E222</f>
        <v>2.89673943247446E-2</v>
      </c>
      <c r="F222" s="36" t="str">
        <f>deflators_raw!F222</f>
        <v>2025 Q1</v>
      </c>
      <c r="G222" s="36" t="str">
        <f>deflators_raw!G222</f>
        <v>projection</v>
      </c>
    </row>
    <row r="223" spans="1:7" x14ac:dyDescent="0.3">
      <c r="A223" s="36">
        <f>deflators_raw!A223</f>
        <v>2.02121429685698E-2</v>
      </c>
      <c r="B223" s="36">
        <f>deflators_raw!B223</f>
        <v>2.2861927422401802E-2</v>
      </c>
      <c r="C223" s="36">
        <f>deflators_raw!C223</f>
        <v>2.97171972862664E-2</v>
      </c>
      <c r="D223" s="36">
        <f>deflators_raw!D223</f>
        <v>2.97171972862664E-2</v>
      </c>
      <c r="E223" s="36">
        <f>deflators_raw!E223</f>
        <v>2.97171972862664E-2</v>
      </c>
      <c r="F223" s="36" t="str">
        <f>deflators_raw!F223</f>
        <v>2025 Q2</v>
      </c>
      <c r="G223" s="36" t="str">
        <f>deflators_raw!G223</f>
        <v>projection</v>
      </c>
    </row>
    <row r="224" spans="1:7" x14ac:dyDescent="0.3">
      <c r="A224" s="36">
        <f>deflators_raw!A224</f>
        <v>2.00951255413373E-2</v>
      </c>
      <c r="B224" s="36">
        <f>deflators_raw!B224</f>
        <v>2.2789213164977801E-2</v>
      </c>
      <c r="C224" s="36">
        <f>deflators_raw!C224</f>
        <v>2.9972823640437098E-2</v>
      </c>
      <c r="D224" s="36">
        <f>deflators_raw!D224</f>
        <v>2.9972823640437098E-2</v>
      </c>
      <c r="E224" s="36">
        <f>deflators_raw!E224</f>
        <v>2.9972823640437098E-2</v>
      </c>
      <c r="F224" s="36" t="str">
        <f>deflators_raw!F224</f>
        <v>2025 Q3</v>
      </c>
      <c r="G224" s="36" t="str">
        <f>deflators_raw!G224</f>
        <v>projection</v>
      </c>
    </row>
    <row r="225" spans="1:7" x14ac:dyDescent="0.3">
      <c r="A225" s="36">
        <f>deflators_raw!A225</f>
        <v>2.0005533751415599E-2</v>
      </c>
      <c r="B225" s="36">
        <f>deflators_raw!B225</f>
        <v>2.30067515754304E-2</v>
      </c>
      <c r="C225" s="36">
        <f>deflators_raw!C225</f>
        <v>3.0378543432117301E-2</v>
      </c>
      <c r="D225" s="36">
        <f>deflators_raw!D225</f>
        <v>3.0378543432117301E-2</v>
      </c>
      <c r="E225" s="36">
        <f>deflators_raw!E225</f>
        <v>3.0378543432117301E-2</v>
      </c>
      <c r="F225" s="36" t="str">
        <f>deflators_raw!F225</f>
        <v>2025 Q4</v>
      </c>
      <c r="G225" s="36" t="str">
        <f>deflators_raw!G225</f>
        <v>projection</v>
      </c>
    </row>
    <row r="226" spans="1:7" x14ac:dyDescent="0.3">
      <c r="A226" s="36">
        <f>deflators_raw!A226</f>
        <v>1.9992497685795502E-2</v>
      </c>
      <c r="B226" s="36">
        <f>deflators_raw!B226</f>
        <v>2.28689196510703E-2</v>
      </c>
      <c r="C226" s="36">
        <f>deflators_raw!C226</f>
        <v>3.0384347471833498E-2</v>
      </c>
      <c r="D226" s="36">
        <f>deflators_raw!D226</f>
        <v>3.0384347471833498E-2</v>
      </c>
      <c r="E226" s="36">
        <f>deflators_raw!E226</f>
        <v>3.0384347471833498E-2</v>
      </c>
      <c r="F226" s="36" t="str">
        <f>deflators_raw!F226</f>
        <v>2026 Q1</v>
      </c>
      <c r="G226" s="36" t="str">
        <f>deflators_raw!G226</f>
        <v>projection</v>
      </c>
    </row>
    <row r="227" spans="1:7" x14ac:dyDescent="0.3">
      <c r="A227" s="36">
        <f>deflators_raw!A227</f>
        <v>1.99491524210023E-2</v>
      </c>
      <c r="B227" s="36">
        <f>deflators_raw!B227</f>
        <v>2.2952518060170599E-2</v>
      </c>
      <c r="C227" s="36">
        <f>deflators_raw!C227</f>
        <v>3.0780667439755299E-2</v>
      </c>
      <c r="D227" s="36">
        <f>deflators_raw!D227</f>
        <v>3.0780667439755299E-2</v>
      </c>
      <c r="E227" s="36">
        <f>deflators_raw!E227</f>
        <v>3.0780667439755299E-2</v>
      </c>
      <c r="F227" s="36" t="str">
        <f>deflators_raw!F227</f>
        <v>2026 Q2</v>
      </c>
      <c r="G227" s="36" t="str">
        <f>deflators_raw!G227</f>
        <v>projection</v>
      </c>
    </row>
    <row r="228" spans="1:7" x14ac:dyDescent="0.3">
      <c r="A228" s="36">
        <f>deflators_raw!A228</f>
        <v>1.99785657506244E-2</v>
      </c>
      <c r="B228" s="36">
        <f>deflators_raw!B228</f>
        <v>2.3092018308592099E-2</v>
      </c>
      <c r="C228" s="36">
        <f>deflators_raw!C228</f>
        <v>3.09234356698747E-2</v>
      </c>
      <c r="D228" s="36">
        <f>deflators_raw!D228</f>
        <v>3.09234356698747E-2</v>
      </c>
      <c r="E228" s="36">
        <f>deflators_raw!E228</f>
        <v>3.09234356698747E-2</v>
      </c>
      <c r="F228" s="36" t="str">
        <f>deflators_raw!F228</f>
        <v>2026 Q3</v>
      </c>
      <c r="G228" s="36" t="str">
        <f>deflators_raw!G228</f>
        <v>projection</v>
      </c>
    </row>
    <row r="229" spans="1:7" x14ac:dyDescent="0.3">
      <c r="A229" s="36">
        <f>deflators_raw!A229</f>
        <v>1.9973482507164499E-2</v>
      </c>
      <c r="B229" s="36">
        <f>deflators_raw!B229</f>
        <v>2.29188557927167E-2</v>
      </c>
      <c r="C229" s="36">
        <f>deflators_raw!C229</f>
        <v>3.0940126349132901E-2</v>
      </c>
      <c r="D229" s="36">
        <f>deflators_raw!D229</f>
        <v>3.0940126349132901E-2</v>
      </c>
      <c r="E229" s="36">
        <f>deflators_raw!E229</f>
        <v>3.0940126349132901E-2</v>
      </c>
      <c r="F229" s="36" t="str">
        <f>deflators_raw!F229</f>
        <v>2026 Q4</v>
      </c>
      <c r="G229" s="36" t="str">
        <f>deflators_raw!G229</f>
        <v>projection</v>
      </c>
    </row>
    <row r="230" spans="1:7" x14ac:dyDescent="0.3">
      <c r="A230" s="36">
        <f>deflators_raw!A230</f>
        <v>2.00262569988248E-2</v>
      </c>
      <c r="B230" s="36">
        <f>deflators_raw!B230</f>
        <v>2.34219478386497E-2</v>
      </c>
      <c r="C230" s="36">
        <f>deflators_raw!C230</f>
        <v>3.08963138434795E-2</v>
      </c>
      <c r="D230" s="36">
        <f>deflators_raw!D230</f>
        <v>3.08963138434795E-2</v>
      </c>
      <c r="E230" s="36">
        <f>deflators_raw!E230</f>
        <v>3.08963138434795E-2</v>
      </c>
      <c r="F230" s="36" t="str">
        <f>deflators_raw!F230</f>
        <v>2027 Q1</v>
      </c>
      <c r="G230" s="36" t="str">
        <f>deflators_raw!G230</f>
        <v>projection</v>
      </c>
    </row>
    <row r="231" spans="1:7" x14ac:dyDescent="0.3">
      <c r="A231" s="36">
        <f>deflators_raw!A231</f>
        <v>2.0068184200822601E-2</v>
      </c>
      <c r="B231" s="36">
        <f>deflators_raw!B231</f>
        <v>2.29559923804479E-2</v>
      </c>
      <c r="C231" s="36">
        <f>deflators_raw!C231</f>
        <v>3.1171169586274899E-2</v>
      </c>
      <c r="D231" s="36">
        <f>deflators_raw!D231</f>
        <v>3.1171169586274899E-2</v>
      </c>
      <c r="E231" s="36">
        <f>deflators_raw!E231</f>
        <v>3.1171169586274899E-2</v>
      </c>
      <c r="F231" s="36" t="str">
        <f>deflators_raw!F231</f>
        <v>2027 Q2</v>
      </c>
      <c r="G231" s="36" t="str">
        <f>deflators_raw!G231</f>
        <v>projection</v>
      </c>
    </row>
    <row r="232" spans="1:7" x14ac:dyDescent="0.3">
      <c r="A232" s="36">
        <f>deflators_raw!A232</f>
        <v>2.00733299513789E-2</v>
      </c>
      <c r="B232" s="36">
        <f>deflators_raw!B232</f>
        <v>2.3089907346120601E-2</v>
      </c>
      <c r="C232" s="36">
        <f>deflators_raw!C232</f>
        <v>3.11290252355114E-2</v>
      </c>
      <c r="D232" s="36">
        <f>deflators_raw!D232</f>
        <v>3.11290252355114E-2</v>
      </c>
      <c r="E232" s="36">
        <f>deflators_raw!E232</f>
        <v>3.11290252355114E-2</v>
      </c>
      <c r="F232" s="36" t="str">
        <f>deflators_raw!F232</f>
        <v>2027 Q3</v>
      </c>
      <c r="G232" s="36" t="str">
        <f>deflators_raw!G232</f>
        <v>projection</v>
      </c>
    </row>
    <row r="233" spans="1:7" x14ac:dyDescent="0.3">
      <c r="A233" s="36">
        <f>deflators_raw!A233</f>
        <v>2.00833471581769E-2</v>
      </c>
      <c r="B233" s="36">
        <f>deflators_raw!B233</f>
        <v>2.2986135275529802E-2</v>
      </c>
      <c r="C233" s="36">
        <f>deflators_raw!C233</f>
        <v>3.12799263503531E-2</v>
      </c>
      <c r="D233" s="36">
        <f>deflators_raw!D233</f>
        <v>3.12799263503531E-2</v>
      </c>
      <c r="E233" s="36">
        <f>deflators_raw!E233</f>
        <v>3.12799263503531E-2</v>
      </c>
      <c r="F233" s="36" t="str">
        <f>deflators_raw!F233</f>
        <v>2027 Q4</v>
      </c>
      <c r="G233" s="36" t="str">
        <f>deflators_raw!G233</f>
        <v>projection</v>
      </c>
    </row>
    <row r="234" spans="1:7" x14ac:dyDescent="0.3">
      <c r="A234" s="36">
        <f>deflators_raw!A234</f>
        <v>2.0140093939852201E-2</v>
      </c>
      <c r="B234" s="36">
        <f>deflators_raw!B234</f>
        <v>2.31414769468055E-2</v>
      </c>
      <c r="C234" s="36">
        <f>deflators_raw!C234</f>
        <v>3.1432246791632999E-2</v>
      </c>
      <c r="D234" s="36">
        <f>deflators_raw!D234</f>
        <v>3.1432246791632999E-2</v>
      </c>
      <c r="E234" s="36">
        <f>deflators_raw!E234</f>
        <v>3.1432246791632999E-2</v>
      </c>
      <c r="F234" s="36" t="str">
        <f>deflators_raw!F234</f>
        <v>2028 Q1</v>
      </c>
      <c r="G234" s="36" t="str">
        <f>deflators_raw!G234</f>
        <v>projection</v>
      </c>
    </row>
    <row r="235" spans="1:7" x14ac:dyDescent="0.3">
      <c r="A235" s="36">
        <f>deflators_raw!A235</f>
        <v>2.02021592909249E-2</v>
      </c>
      <c r="B235" s="36">
        <f>deflators_raw!B235</f>
        <v>2.2984714477401601E-2</v>
      </c>
      <c r="C235" s="36">
        <f>deflators_raw!C235</f>
        <v>3.1205847095053599E-2</v>
      </c>
      <c r="D235" s="36">
        <f>deflators_raw!D235</f>
        <v>3.1205847095053599E-2</v>
      </c>
      <c r="E235" s="36">
        <f>deflators_raw!E235</f>
        <v>3.1205847095053599E-2</v>
      </c>
      <c r="F235" s="36" t="str">
        <f>deflators_raw!F235</f>
        <v>2028 Q2</v>
      </c>
      <c r="G235" s="36" t="str">
        <f>deflators_raw!G235</f>
        <v>projection</v>
      </c>
    </row>
    <row r="236" spans="1:7" x14ac:dyDescent="0.3">
      <c r="A236" s="36">
        <f>deflators_raw!A236</f>
        <v>2.0211898969260102E-2</v>
      </c>
      <c r="B236" s="36">
        <f>deflators_raw!B236</f>
        <v>2.2913195171825301E-2</v>
      </c>
      <c r="C236" s="36">
        <f>deflators_raw!C236</f>
        <v>3.14110402970686E-2</v>
      </c>
      <c r="D236" s="36">
        <f>deflators_raw!D236</f>
        <v>3.14110402970686E-2</v>
      </c>
      <c r="E236" s="36">
        <f>deflators_raw!E236</f>
        <v>3.14110402970686E-2</v>
      </c>
      <c r="F236" s="36" t="str">
        <f>deflators_raw!F236</f>
        <v>2028 Q3</v>
      </c>
      <c r="G236" s="36" t="str">
        <f>deflators_raw!G236</f>
        <v>projection</v>
      </c>
    </row>
    <row r="237" spans="1:7" x14ac:dyDescent="0.3">
      <c r="A237" s="36">
        <f>deflators_raw!A237</f>
        <v>2.0290430669000999E-2</v>
      </c>
      <c r="B237" s="36">
        <f>deflators_raw!B237</f>
        <v>2.29758501503456E-2</v>
      </c>
      <c r="C237" s="36">
        <f>deflators_raw!C237</f>
        <v>3.1565029186180898E-2</v>
      </c>
      <c r="D237" s="36">
        <f>deflators_raw!D237</f>
        <v>3.1565029186180898E-2</v>
      </c>
      <c r="E237" s="36">
        <f>deflators_raw!E237</f>
        <v>3.1565029186180898E-2</v>
      </c>
      <c r="F237" s="36" t="str">
        <f>deflators_raw!F237</f>
        <v>2028 Q4</v>
      </c>
      <c r="G237" s="36" t="str">
        <f>deflators_raw!G237</f>
        <v>projection</v>
      </c>
    </row>
    <row r="238" spans="1:7" x14ac:dyDescent="0.3">
      <c r="A238" s="36">
        <f>deflators_raw!A238</f>
        <v>2.0308808571870299E-2</v>
      </c>
      <c r="B238" s="36">
        <f>deflators_raw!B238</f>
        <v>2.2824531954790599E-2</v>
      </c>
      <c r="C238" s="36">
        <f>deflators_raw!C238</f>
        <v>3.1531274423854297E-2</v>
      </c>
      <c r="D238" s="36">
        <f>deflators_raw!D238</f>
        <v>3.1531274423854297E-2</v>
      </c>
      <c r="E238" s="36">
        <f>deflators_raw!E238</f>
        <v>3.1531274423854297E-2</v>
      </c>
      <c r="F238" s="36" t="str">
        <f>deflators_raw!F238</f>
        <v>2029 Q1</v>
      </c>
      <c r="G238" s="36" t="str">
        <f>deflators_raw!G238</f>
        <v>projection</v>
      </c>
    </row>
    <row r="239" spans="1:7" x14ac:dyDescent="0.3">
      <c r="A239" s="36">
        <f>deflators_raw!A239</f>
        <v>2.03080060292413E-2</v>
      </c>
      <c r="B239" s="36">
        <f>deflators_raw!B239</f>
        <v>2.2972481063801901E-2</v>
      </c>
      <c r="C239" s="36">
        <f>deflators_raw!C239</f>
        <v>3.1542996473644003E-2</v>
      </c>
      <c r="D239" s="36">
        <f>deflators_raw!D239</f>
        <v>3.1542996473644003E-2</v>
      </c>
      <c r="E239" s="36">
        <f>deflators_raw!E239</f>
        <v>3.1542996473644003E-2</v>
      </c>
      <c r="F239" s="36" t="str">
        <f>deflators_raw!F239</f>
        <v>2029 Q2</v>
      </c>
      <c r="G239" s="36" t="str">
        <f>deflators_raw!G239</f>
        <v>projection</v>
      </c>
    </row>
    <row r="240" spans="1:7" x14ac:dyDescent="0.3">
      <c r="A240" s="36">
        <f>deflators_raw!A240</f>
        <v>2.0323983720006399E-2</v>
      </c>
      <c r="B240" s="36">
        <f>deflators_raw!B240</f>
        <v>2.2824566637221998E-2</v>
      </c>
      <c r="C240" s="36">
        <f>deflators_raw!C240</f>
        <v>3.1855243350590097E-2</v>
      </c>
      <c r="D240" s="36">
        <f>deflators_raw!D240</f>
        <v>3.1855243350590097E-2</v>
      </c>
      <c r="E240" s="36">
        <f>deflators_raw!E240</f>
        <v>3.1855243350590097E-2</v>
      </c>
      <c r="F240" s="36" t="str">
        <f>deflators_raw!F240</f>
        <v>2029 Q3</v>
      </c>
      <c r="G240" s="36" t="str">
        <f>deflators_raw!G240</f>
        <v>projection</v>
      </c>
    </row>
    <row r="241" spans="1:7" x14ac:dyDescent="0.3">
      <c r="A241" s="36">
        <f>deflators_raw!A241</f>
        <v>2.0325704902500501E-2</v>
      </c>
      <c r="B241" s="36">
        <f>deflators_raw!B241</f>
        <v>2.2886555231629101E-2</v>
      </c>
      <c r="C241" s="36">
        <f>deflators_raw!C241</f>
        <v>3.1708818720508798E-2</v>
      </c>
      <c r="D241" s="36">
        <f>deflators_raw!D241</f>
        <v>3.1708818720508798E-2</v>
      </c>
      <c r="E241" s="36">
        <f>deflators_raw!E241</f>
        <v>3.1708818720508798E-2</v>
      </c>
      <c r="F241" s="36" t="str">
        <f>deflators_raw!F241</f>
        <v>2029 Q4</v>
      </c>
      <c r="G241" s="36" t="str">
        <f>deflators_raw!G241</f>
        <v>projection</v>
      </c>
    </row>
    <row r="242" spans="1:7" x14ac:dyDescent="0.3">
      <c r="A242" s="36">
        <f>deflators_raw!A242</f>
        <v>2.0305041683886599E-2</v>
      </c>
      <c r="B242" s="36">
        <f>deflators_raw!B242</f>
        <v>2.29465623765257E-2</v>
      </c>
      <c r="C242" s="36">
        <f>deflators_raw!C242</f>
        <v>3.1893508731351002E-2</v>
      </c>
      <c r="D242" s="36">
        <f>deflators_raw!D242</f>
        <v>3.1893508731351002E-2</v>
      </c>
      <c r="E242" s="36">
        <f>deflators_raw!E242</f>
        <v>3.1893508731351002E-2</v>
      </c>
      <c r="F242" s="36" t="str">
        <f>deflators_raw!F242</f>
        <v>2030 Q1</v>
      </c>
      <c r="G242" s="36" t="str">
        <f>deflators_raw!G242</f>
        <v>projection</v>
      </c>
    </row>
    <row r="243" spans="1:7" x14ac:dyDescent="0.3">
      <c r="A243" s="36">
        <f>deflators_raw!A243</f>
        <v>2.0287096358251301E-2</v>
      </c>
      <c r="B243" s="36">
        <f>deflators_raw!B243</f>
        <v>2.2798980065175601E-2</v>
      </c>
      <c r="C243" s="36">
        <f>deflators_raw!C243</f>
        <v>3.1810408581062898E-2</v>
      </c>
      <c r="D243" s="36">
        <f>deflators_raw!D243</f>
        <v>3.1810408581062898E-2</v>
      </c>
      <c r="E243" s="36">
        <f>deflators_raw!E243</f>
        <v>3.1810408581062898E-2</v>
      </c>
      <c r="F243" s="36" t="str">
        <f>deflators_raw!F243</f>
        <v>2030 Q2</v>
      </c>
      <c r="G243" s="36" t="str">
        <f>deflators_raw!G243</f>
        <v>projection</v>
      </c>
    </row>
    <row r="244" spans="1:7" x14ac:dyDescent="0.3">
      <c r="A244" s="36">
        <f>deflators_raw!A244</f>
        <v>2.0271579331879098E-2</v>
      </c>
      <c r="B244" s="36">
        <f>deflators_raw!B244</f>
        <v>2.2857567238674801E-2</v>
      </c>
      <c r="C244" s="36">
        <f>deflators_raw!C244</f>
        <v>3.1611362599311098E-2</v>
      </c>
      <c r="D244" s="36">
        <f>deflators_raw!D244</f>
        <v>3.1611362599311098E-2</v>
      </c>
      <c r="E244" s="36">
        <f>deflators_raw!E244</f>
        <v>3.1611362599311098E-2</v>
      </c>
      <c r="F244" s="36" t="str">
        <f>deflators_raw!F244</f>
        <v>2030 Q3</v>
      </c>
      <c r="G244" s="36" t="str">
        <f>deflators_raw!G244</f>
        <v>projection</v>
      </c>
    </row>
    <row r="245" spans="1:7" x14ac:dyDescent="0.3">
      <c r="A245" s="36">
        <f>deflators_raw!A245</f>
        <v>2.0226750918557398E-2</v>
      </c>
      <c r="B245" s="36">
        <f>deflators_raw!B245</f>
        <v>2.30078651102898E-2</v>
      </c>
      <c r="C245" s="36">
        <f>deflators_raw!C245</f>
        <v>3.1895036638032601E-2</v>
      </c>
      <c r="D245" s="36">
        <f>deflators_raw!D245</f>
        <v>3.1895036638032601E-2</v>
      </c>
      <c r="E245" s="36">
        <f>deflators_raw!E245</f>
        <v>3.1895036638032601E-2</v>
      </c>
      <c r="F245" s="36" t="str">
        <f>deflators_raw!F245</f>
        <v>2030 Q4</v>
      </c>
      <c r="G245" s="36" t="str">
        <f>deflators_raw!G245</f>
        <v>projection</v>
      </c>
    </row>
    <row r="246" spans="1:7" x14ac:dyDescent="0.3">
      <c r="A246" s="36">
        <f>deflators_raw!A246</f>
        <v>2.0229639632362201E-2</v>
      </c>
      <c r="B246" s="36">
        <f>deflators_raw!B246</f>
        <v>2.2755662461575201E-2</v>
      </c>
      <c r="C246" s="36">
        <f>deflators_raw!C246</f>
        <v>3.1906732152356301E-2</v>
      </c>
      <c r="D246" s="36">
        <f>deflators_raw!D246</f>
        <v>3.1906732152356301E-2</v>
      </c>
      <c r="E246" s="36">
        <f>deflators_raw!E246</f>
        <v>3.1906732152356301E-2</v>
      </c>
      <c r="F246" s="36" t="str">
        <f>deflators_raw!F246</f>
        <v>2031 Q1</v>
      </c>
      <c r="G246" s="36" t="str">
        <f>deflators_raw!G246</f>
        <v>projection</v>
      </c>
    </row>
    <row r="247" spans="1:7" x14ac:dyDescent="0.3">
      <c r="A247" s="36">
        <f>deflators_raw!A247</f>
        <v>2.0196749252488402E-2</v>
      </c>
      <c r="B247" s="36">
        <f>deflators_raw!B247</f>
        <v>2.2817811468051102E-2</v>
      </c>
      <c r="C247" s="36">
        <f>deflators_raw!C247</f>
        <v>3.1666344390047098E-2</v>
      </c>
      <c r="D247" s="36">
        <f>deflators_raw!D247</f>
        <v>3.1666344390047098E-2</v>
      </c>
      <c r="E247" s="36">
        <f>deflators_raw!E247</f>
        <v>3.1666344390047098E-2</v>
      </c>
      <c r="F247" s="36" t="str">
        <f>deflators_raw!F247</f>
        <v>2031 Q2</v>
      </c>
      <c r="G247" s="36" t="str">
        <f>deflators_raw!G247</f>
        <v>projection</v>
      </c>
    </row>
    <row r="248" spans="1:7" x14ac:dyDescent="0.3">
      <c r="A248" s="36">
        <f>deflators_raw!A248</f>
        <v>2.0138226913895701E-2</v>
      </c>
      <c r="B248" s="36">
        <f>deflators_raw!B248</f>
        <v>2.3174738681931199E-2</v>
      </c>
      <c r="C248" s="36">
        <f>deflators_raw!C248</f>
        <v>3.1749922428638201E-2</v>
      </c>
      <c r="D248" s="36">
        <f>deflators_raw!D248</f>
        <v>3.1749922428638201E-2</v>
      </c>
      <c r="E248" s="36">
        <f>deflators_raw!E248</f>
        <v>3.1749922428638201E-2</v>
      </c>
      <c r="F248" s="36" t="str">
        <f>deflators_raw!F248</f>
        <v>2031 Q3</v>
      </c>
      <c r="G248" s="36" t="str">
        <f>deflators_raw!G248</f>
        <v>projection</v>
      </c>
    </row>
    <row r="249" spans="1:7" x14ac:dyDescent="0.3">
      <c r="A249" s="36">
        <f>deflators_raw!A249</f>
        <v>2.0129535533826501E-2</v>
      </c>
      <c r="B249" s="36">
        <f>deflators_raw!B249</f>
        <v>2.27379267080541E-2</v>
      </c>
      <c r="C249" s="36">
        <f>deflators_raw!C249</f>
        <v>3.1908648163189397E-2</v>
      </c>
      <c r="D249" s="36">
        <f>deflators_raw!D249</f>
        <v>3.1908648163189397E-2</v>
      </c>
      <c r="E249" s="36">
        <f>deflators_raw!E249</f>
        <v>3.1908648163189397E-2</v>
      </c>
      <c r="F249" s="36" t="str">
        <f>deflators_raw!F249</f>
        <v>2031 Q4</v>
      </c>
      <c r="G249" s="36" t="str">
        <f>deflators_raw!G249</f>
        <v>projection</v>
      </c>
    </row>
    <row r="250" spans="1:7" x14ac:dyDescent="0.3">
      <c r="A250" s="36">
        <f>deflators_raw!A250</f>
        <v>2.0106884793451098E-2</v>
      </c>
      <c r="B250" s="36">
        <f>deflators_raw!B250</f>
        <v>2.3093327603912001E-2</v>
      </c>
      <c r="C250" s="36">
        <f>deflators_raw!C250</f>
        <v>3.1692204125751702E-2</v>
      </c>
      <c r="D250" s="36">
        <f>deflators_raw!D250</f>
        <v>3.1692204125751702E-2</v>
      </c>
      <c r="E250" s="36">
        <f>deflators_raw!E250</f>
        <v>3.1692204125751702E-2</v>
      </c>
      <c r="F250" s="36" t="str">
        <f>deflators_raw!F250</f>
        <v>2032 Q1</v>
      </c>
      <c r="G250" s="36" t="str">
        <f>deflators_raw!G250</f>
        <v>projection</v>
      </c>
    </row>
    <row r="251" spans="1:7" x14ac:dyDescent="0.3">
      <c r="A251" s="36">
        <f>deflators_raw!A251</f>
        <v>2.0037252982960399E-2</v>
      </c>
      <c r="B251" s="36">
        <f>deflators_raw!B251</f>
        <v>2.2853757020905099E-2</v>
      </c>
      <c r="C251" s="36">
        <f>deflators_raw!C251</f>
        <v>3.1763978164364597E-2</v>
      </c>
      <c r="D251" s="36">
        <f>deflators_raw!D251</f>
        <v>3.1763978164364597E-2</v>
      </c>
      <c r="E251" s="36">
        <f>deflators_raw!E251</f>
        <v>3.1763978164364597E-2</v>
      </c>
      <c r="F251" s="36" t="str">
        <f>deflators_raw!F251</f>
        <v>2032 Q2</v>
      </c>
      <c r="G251" s="36" t="str">
        <f>deflators_raw!G251</f>
        <v>projection</v>
      </c>
    </row>
    <row r="252" spans="1:7" x14ac:dyDescent="0.3">
      <c r="A252" s="36">
        <f>deflators_raw!A252</f>
        <v>2.0056022895238401E-2</v>
      </c>
      <c r="B252" s="36">
        <f>deflators_raw!B252</f>
        <v>2.2713969923905002E-2</v>
      </c>
      <c r="C252" s="36">
        <f>deflators_raw!C252</f>
        <v>3.17278315390737E-2</v>
      </c>
      <c r="D252" s="36">
        <f>deflators_raw!D252</f>
        <v>3.17278315390737E-2</v>
      </c>
      <c r="E252" s="36">
        <f>deflators_raw!E252</f>
        <v>3.17278315390737E-2</v>
      </c>
      <c r="F252" s="36" t="str">
        <f>deflators_raw!F252</f>
        <v>2032 Q3</v>
      </c>
      <c r="G252" s="36" t="str">
        <f>deflators_raw!G252</f>
        <v>projection</v>
      </c>
    </row>
    <row r="253" spans="1:7" x14ac:dyDescent="0.3">
      <c r="A253" s="36"/>
    </row>
    <row r="254" spans="1:7" x14ac:dyDescent="0.3">
      <c r="A254" s="36"/>
    </row>
    <row r="255" spans="1:7" x14ac:dyDescent="0.3">
      <c r="A255" s="36"/>
    </row>
    <row r="256" spans="1:7" x14ac:dyDescent="0.3">
      <c r="A256" s="36"/>
    </row>
    <row r="257" spans="1:1" x14ac:dyDescent="0.3">
      <c r="A257" s="36"/>
    </row>
    <row r="258" spans="1:1" x14ac:dyDescent="0.3">
      <c r="A258" s="36"/>
    </row>
    <row r="259" spans="1:1" x14ac:dyDescent="0.3">
      <c r="A259" s="36"/>
    </row>
    <row r="260" spans="1:1" x14ac:dyDescent="0.3">
      <c r="A260" s="36"/>
    </row>
    <row r="261" spans="1:1" x14ac:dyDescent="0.3">
      <c r="A261" s="36"/>
    </row>
    <row r="262" spans="1:1" x14ac:dyDescent="0.3">
      <c r="A262" s="36"/>
    </row>
    <row r="263" spans="1:1" x14ac:dyDescent="0.3">
      <c r="A263" s="36"/>
    </row>
    <row r="264" spans="1:1" x14ac:dyDescent="0.3">
      <c r="A264" s="36"/>
    </row>
    <row r="265" spans="1:1" x14ac:dyDescent="0.3">
      <c r="A265" s="36"/>
    </row>
    <row r="266" spans="1:1" x14ac:dyDescent="0.3">
      <c r="A266" s="36"/>
    </row>
    <row r="267" spans="1:1" x14ac:dyDescent="0.3">
      <c r="A267" s="36"/>
    </row>
    <row r="268" spans="1:1" x14ac:dyDescent="0.3">
      <c r="A268" s="36"/>
    </row>
    <row r="269" spans="1:1" x14ac:dyDescent="0.3">
      <c r="A269" s="36"/>
    </row>
    <row r="270" spans="1:1" x14ac:dyDescent="0.3">
      <c r="A270" s="36"/>
    </row>
    <row r="271" spans="1:1" x14ac:dyDescent="0.3">
      <c r="A271" s="36"/>
    </row>
    <row r="272" spans="1:1" x14ac:dyDescent="0.3">
      <c r="A272" s="36"/>
    </row>
    <row r="273" spans="1:1" x14ac:dyDescent="0.3">
      <c r="A273" s="36"/>
    </row>
    <row r="274" spans="1:1" x14ac:dyDescent="0.3">
      <c r="A274" s="36"/>
    </row>
    <row r="275" spans="1:1" x14ac:dyDescent="0.3">
      <c r="A275" s="36"/>
    </row>
    <row r="276" spans="1:1" x14ac:dyDescent="0.3">
      <c r="A276" s="36"/>
    </row>
    <row r="277" spans="1:1" x14ac:dyDescent="0.3">
      <c r="A277" s="36"/>
    </row>
    <row r="278" spans="1:1" x14ac:dyDescent="0.3">
      <c r="A278" s="36"/>
    </row>
    <row r="279" spans="1:1" x14ac:dyDescent="0.3">
      <c r="A279" s="36"/>
    </row>
    <row r="280" spans="1:1" x14ac:dyDescent="0.3">
      <c r="A280" s="36"/>
    </row>
    <row r="281" spans="1:1" x14ac:dyDescent="0.3">
      <c r="A281" s="36"/>
    </row>
    <row r="282" spans="1:1" x14ac:dyDescent="0.3">
      <c r="A282" s="36"/>
    </row>
    <row r="283" spans="1:1" x14ac:dyDescent="0.3">
      <c r="A283" s="36"/>
    </row>
    <row r="284" spans="1:1" x14ac:dyDescent="0.3">
      <c r="A284" s="36"/>
    </row>
    <row r="285" spans="1:1" x14ac:dyDescent="0.3">
      <c r="A285" s="36"/>
    </row>
    <row r="286" spans="1:1" x14ac:dyDescent="0.3">
      <c r="A286" s="36"/>
    </row>
    <row r="287" spans="1:1" x14ac:dyDescent="0.3">
      <c r="A287" s="36"/>
    </row>
    <row r="288" spans="1:1" x14ac:dyDescent="0.3">
      <c r="A288" s="36"/>
    </row>
    <row r="289" spans="1:1" x14ac:dyDescent="0.3">
      <c r="A289" s="36"/>
    </row>
    <row r="290" spans="1:1" x14ac:dyDescent="0.3">
      <c r="A290" s="36"/>
    </row>
    <row r="291" spans="1:1" x14ac:dyDescent="0.3">
      <c r="A291" s="36"/>
    </row>
    <row r="292" spans="1:1" x14ac:dyDescent="0.3">
      <c r="A292" s="36"/>
    </row>
    <row r="293" spans="1:1" x14ac:dyDescent="0.3">
      <c r="A293" s="36"/>
    </row>
    <row r="294" spans="1:1" x14ac:dyDescent="0.3">
      <c r="A294" s="36"/>
    </row>
    <row r="295" spans="1:1" x14ac:dyDescent="0.3">
      <c r="A295" s="36"/>
    </row>
    <row r="296" spans="1:1" x14ac:dyDescent="0.3">
      <c r="A296" s="36"/>
    </row>
    <row r="297" spans="1:1" x14ac:dyDescent="0.3">
      <c r="A297" s="36"/>
    </row>
    <row r="298" spans="1:1" x14ac:dyDescent="0.3">
      <c r="A298" s="36"/>
    </row>
    <row r="299" spans="1:1" x14ac:dyDescent="0.3">
      <c r="A299" s="36"/>
    </row>
    <row r="300" spans="1:1" x14ac:dyDescent="0.3">
      <c r="A300" s="36"/>
    </row>
    <row r="301" spans="1:1" x14ac:dyDescent="0.3">
      <c r="A301" s="36"/>
    </row>
    <row r="302" spans="1:1" x14ac:dyDescent="0.3">
      <c r="A302" s="36"/>
    </row>
    <row r="303" spans="1:1" x14ac:dyDescent="0.3">
      <c r="A303" s="36"/>
    </row>
    <row r="304" spans="1:1" x14ac:dyDescent="0.3">
      <c r="A304" s="36"/>
    </row>
    <row r="305" spans="1:1" x14ac:dyDescent="0.3">
      <c r="A305" s="36"/>
    </row>
    <row r="306" spans="1:1" x14ac:dyDescent="0.3">
      <c r="A306" s="36"/>
    </row>
    <row r="307" spans="1:1" x14ac:dyDescent="0.3">
      <c r="A307" s="36"/>
    </row>
    <row r="308" spans="1:1" x14ac:dyDescent="0.3">
      <c r="A308" s="36"/>
    </row>
    <row r="309" spans="1:1" x14ac:dyDescent="0.3">
      <c r="A309" s="36"/>
    </row>
    <row r="310" spans="1:1" x14ac:dyDescent="0.3">
      <c r="A310" s="36"/>
    </row>
    <row r="311" spans="1:1" x14ac:dyDescent="0.3">
      <c r="A311" s="36"/>
    </row>
    <row r="312" spans="1:1" x14ac:dyDescent="0.3">
      <c r="A312" s="36"/>
    </row>
    <row r="313" spans="1:1" x14ac:dyDescent="0.3">
      <c r="A313" s="36"/>
    </row>
    <row r="314" spans="1:1" x14ac:dyDescent="0.3">
      <c r="A314" s="36"/>
    </row>
    <row r="315" spans="1:1" x14ac:dyDescent="0.3">
      <c r="A315" s="36"/>
    </row>
    <row r="316" spans="1:1" x14ac:dyDescent="0.3">
      <c r="A316" s="36"/>
    </row>
    <row r="317" spans="1:1" x14ac:dyDescent="0.3">
      <c r="A317" s="36"/>
    </row>
    <row r="318" spans="1:1" x14ac:dyDescent="0.3">
      <c r="A318" s="36"/>
    </row>
    <row r="319" spans="1:1" x14ac:dyDescent="0.3">
      <c r="A319" s="36"/>
    </row>
    <row r="320" spans="1:1" x14ac:dyDescent="0.3">
      <c r="A320" s="36"/>
    </row>
    <row r="321" spans="1:1" x14ac:dyDescent="0.3">
      <c r="A321" s="36"/>
    </row>
    <row r="322" spans="1:1" x14ac:dyDescent="0.3">
      <c r="A322" s="36"/>
    </row>
    <row r="323" spans="1:1" x14ac:dyDescent="0.3">
      <c r="A323" s="36"/>
    </row>
    <row r="324" spans="1:1" x14ac:dyDescent="0.3">
      <c r="A324" s="36"/>
    </row>
    <row r="325" spans="1:1" x14ac:dyDescent="0.3">
      <c r="A325" s="36"/>
    </row>
    <row r="326" spans="1:1" x14ac:dyDescent="0.3">
      <c r="A326" s="36"/>
    </row>
    <row r="327" spans="1:1" x14ac:dyDescent="0.3">
      <c r="A327" s="36"/>
    </row>
    <row r="328" spans="1:1" x14ac:dyDescent="0.3">
      <c r="A328" s="36"/>
    </row>
    <row r="329" spans="1:1" x14ac:dyDescent="0.3">
      <c r="A329" s="36"/>
    </row>
    <row r="330" spans="1:1" x14ac:dyDescent="0.3">
      <c r="A330" s="36"/>
    </row>
    <row r="331" spans="1:1" x14ac:dyDescent="0.3">
      <c r="A331" s="36"/>
    </row>
    <row r="332" spans="1:1" x14ac:dyDescent="0.3">
      <c r="A332" s="36"/>
    </row>
    <row r="333" spans="1:1" x14ac:dyDescent="0.3">
      <c r="A333" s="36"/>
    </row>
    <row r="334" spans="1:1" x14ac:dyDescent="0.3">
      <c r="A334" s="36"/>
    </row>
    <row r="335" spans="1:1" x14ac:dyDescent="0.3">
      <c r="A335" s="36"/>
    </row>
    <row r="336" spans="1:1" x14ac:dyDescent="0.3">
      <c r="A336" s="36"/>
    </row>
    <row r="337" spans="1:1" x14ac:dyDescent="0.3">
      <c r="A337" s="36"/>
    </row>
    <row r="338" spans="1:1" x14ac:dyDescent="0.3">
      <c r="A338" s="36"/>
    </row>
    <row r="339" spans="1:1" x14ac:dyDescent="0.3">
      <c r="A339" s="36"/>
    </row>
    <row r="340" spans="1:1" x14ac:dyDescent="0.3">
      <c r="A340" s="36"/>
    </row>
    <row r="341" spans="1:1" x14ac:dyDescent="0.3">
      <c r="A341" s="36"/>
    </row>
    <row r="342" spans="1:1" x14ac:dyDescent="0.3">
      <c r="A342" s="36"/>
    </row>
    <row r="343" spans="1:1" x14ac:dyDescent="0.3">
      <c r="A343" s="36"/>
    </row>
    <row r="344" spans="1:1" x14ac:dyDescent="0.3">
      <c r="A344" s="36"/>
    </row>
    <row r="345" spans="1:1" x14ac:dyDescent="0.3">
      <c r="A345" s="36"/>
    </row>
    <row r="346" spans="1:1" x14ac:dyDescent="0.3">
      <c r="A346" s="36"/>
    </row>
    <row r="347" spans="1:1" x14ac:dyDescent="0.3">
      <c r="A347" s="36"/>
    </row>
    <row r="348" spans="1:1" x14ac:dyDescent="0.3">
      <c r="A348" s="36"/>
    </row>
    <row r="349" spans="1:1" x14ac:dyDescent="0.3">
      <c r="A349" s="36"/>
    </row>
    <row r="350" spans="1:1" x14ac:dyDescent="0.3">
      <c r="A350" s="36"/>
    </row>
    <row r="351" spans="1:1" x14ac:dyDescent="0.3">
      <c r="A351" s="36"/>
    </row>
    <row r="352" spans="1:1" x14ac:dyDescent="0.3">
      <c r="A352" s="36"/>
    </row>
    <row r="353" spans="1:1" x14ac:dyDescent="0.3">
      <c r="A353" s="36"/>
    </row>
    <row r="354" spans="1:1" x14ac:dyDescent="0.3">
      <c r="A354" s="36"/>
    </row>
    <row r="355" spans="1:1" x14ac:dyDescent="0.3">
      <c r="A355" s="36"/>
    </row>
    <row r="356" spans="1:1" x14ac:dyDescent="0.3">
      <c r="A356" s="36"/>
    </row>
    <row r="357" spans="1:1" x14ac:dyDescent="0.3">
      <c r="A357" s="36"/>
    </row>
    <row r="358" spans="1:1" x14ac:dyDescent="0.3">
      <c r="A358" s="36"/>
    </row>
    <row r="359" spans="1:1" x14ac:dyDescent="0.3">
      <c r="A359" s="36"/>
    </row>
    <row r="360" spans="1:1" x14ac:dyDescent="0.3">
      <c r="A360" s="36"/>
    </row>
    <row r="361" spans="1:1" x14ac:dyDescent="0.3">
      <c r="A361" s="36"/>
    </row>
    <row r="362" spans="1:1" x14ac:dyDescent="0.3">
      <c r="A362" s="36"/>
    </row>
    <row r="363" spans="1:1" x14ac:dyDescent="0.3">
      <c r="A363" s="36"/>
    </row>
    <row r="364" spans="1:1" x14ac:dyDescent="0.3">
      <c r="A364" s="36"/>
    </row>
    <row r="365" spans="1:1" x14ac:dyDescent="0.3">
      <c r="A365" s="36"/>
    </row>
    <row r="366" spans="1:1" x14ac:dyDescent="0.3">
      <c r="A366" s="36"/>
    </row>
    <row r="367" spans="1:1" x14ac:dyDescent="0.3">
      <c r="A367" s="36"/>
    </row>
    <row r="368" spans="1:1" x14ac:dyDescent="0.3">
      <c r="A368" s="36"/>
    </row>
    <row r="369" spans="1:1" x14ac:dyDescent="0.3">
      <c r="A369" s="36"/>
    </row>
    <row r="370" spans="1:1" x14ac:dyDescent="0.3">
      <c r="A370" s="36"/>
    </row>
    <row r="371" spans="1:1" x14ac:dyDescent="0.3">
      <c r="A371" s="36"/>
    </row>
    <row r="372" spans="1:1" x14ac:dyDescent="0.3">
      <c r="A372" s="36"/>
    </row>
    <row r="373" spans="1:1" x14ac:dyDescent="0.3">
      <c r="A373" s="36"/>
    </row>
    <row r="374" spans="1:1" x14ac:dyDescent="0.3">
      <c r="A374" s="36"/>
    </row>
    <row r="375" spans="1:1" x14ac:dyDescent="0.3">
      <c r="A375" s="36"/>
    </row>
    <row r="376" spans="1:1" x14ac:dyDescent="0.3">
      <c r="A376" s="36"/>
    </row>
    <row r="377" spans="1:1" x14ac:dyDescent="0.3">
      <c r="A377" s="36"/>
    </row>
    <row r="378" spans="1:1" x14ac:dyDescent="0.3">
      <c r="A378" s="36"/>
    </row>
    <row r="379" spans="1:1" x14ac:dyDescent="0.3">
      <c r="A379" s="36"/>
    </row>
    <row r="380" spans="1:1" x14ac:dyDescent="0.3">
      <c r="A380" s="36"/>
    </row>
    <row r="381" spans="1:1" x14ac:dyDescent="0.3">
      <c r="A381" s="36"/>
    </row>
    <row r="382" spans="1:1" x14ac:dyDescent="0.3">
      <c r="A382" s="36"/>
    </row>
    <row r="383" spans="1:1" x14ac:dyDescent="0.3">
      <c r="A383" s="36"/>
    </row>
    <row r="384" spans="1:1" x14ac:dyDescent="0.3">
      <c r="A384" s="36"/>
    </row>
    <row r="385" spans="1:1" x14ac:dyDescent="0.3">
      <c r="A385" s="36"/>
    </row>
    <row r="386" spans="1:1" x14ac:dyDescent="0.3">
      <c r="A386" s="36"/>
    </row>
    <row r="387" spans="1:1" x14ac:dyDescent="0.3">
      <c r="A387" s="36"/>
    </row>
    <row r="388" spans="1:1" x14ac:dyDescent="0.3">
      <c r="A388" s="36"/>
    </row>
    <row r="389" spans="1:1" x14ac:dyDescent="0.3">
      <c r="A389" s="36"/>
    </row>
    <row r="390" spans="1:1" x14ac:dyDescent="0.3">
      <c r="A390" s="36"/>
    </row>
    <row r="391" spans="1:1" x14ac:dyDescent="0.3">
      <c r="A391" s="36"/>
    </row>
    <row r="392" spans="1:1" x14ac:dyDescent="0.3">
      <c r="A392" s="36"/>
    </row>
    <row r="393" spans="1:1" x14ac:dyDescent="0.3">
      <c r="A393" s="36"/>
    </row>
    <row r="394" spans="1:1" x14ac:dyDescent="0.3">
      <c r="A394" s="36"/>
    </row>
    <row r="395" spans="1:1" x14ac:dyDescent="0.3">
      <c r="A395" s="36"/>
    </row>
    <row r="396" spans="1:1" x14ac:dyDescent="0.3">
      <c r="A396" s="36"/>
    </row>
    <row r="397" spans="1:1" x14ac:dyDescent="0.3">
      <c r="A397" s="36"/>
    </row>
    <row r="398" spans="1:1" x14ac:dyDescent="0.3">
      <c r="A398" s="36"/>
    </row>
    <row r="399" spans="1:1" x14ac:dyDescent="0.3">
      <c r="A399" s="36"/>
    </row>
    <row r="400" spans="1:1" x14ac:dyDescent="0.3">
      <c r="A400" s="36"/>
    </row>
    <row r="401" spans="1:1" x14ac:dyDescent="0.3">
      <c r="A401" s="36"/>
    </row>
    <row r="402" spans="1:1" x14ac:dyDescent="0.3">
      <c r="A402" s="36"/>
    </row>
    <row r="403" spans="1:1" x14ac:dyDescent="0.3">
      <c r="A403" s="36"/>
    </row>
    <row r="404" spans="1:1" x14ac:dyDescent="0.3">
      <c r="A404" s="36"/>
    </row>
    <row r="405" spans="1:1" x14ac:dyDescent="0.3">
      <c r="A405" s="36"/>
    </row>
    <row r="406" spans="1:1" x14ac:dyDescent="0.3">
      <c r="A406" s="36"/>
    </row>
    <row r="407" spans="1:1" x14ac:dyDescent="0.3">
      <c r="A407" s="36"/>
    </row>
    <row r="408" spans="1:1" x14ac:dyDescent="0.3">
      <c r="A408" s="36"/>
    </row>
    <row r="409" spans="1:1" x14ac:dyDescent="0.3">
      <c r="A409" s="36"/>
    </row>
    <row r="410" spans="1:1" x14ac:dyDescent="0.3">
      <c r="A410" s="36"/>
    </row>
    <row r="411" spans="1:1" x14ac:dyDescent="0.3">
      <c r="A411" s="36"/>
    </row>
    <row r="412" spans="1:1" x14ac:dyDescent="0.3">
      <c r="A412" s="36"/>
    </row>
    <row r="413" spans="1:1" x14ac:dyDescent="0.3">
      <c r="A413" s="36"/>
    </row>
    <row r="414" spans="1:1" x14ac:dyDescent="0.3">
      <c r="A414" s="36"/>
    </row>
    <row r="415" spans="1:1" x14ac:dyDescent="0.3">
      <c r="A415" s="36"/>
    </row>
    <row r="416" spans="1:1" x14ac:dyDescent="0.3">
      <c r="A416" s="36"/>
    </row>
    <row r="417" spans="1:1" x14ac:dyDescent="0.3">
      <c r="A417" s="36"/>
    </row>
    <row r="418" spans="1:1" x14ac:dyDescent="0.3">
      <c r="A418" s="36"/>
    </row>
    <row r="419" spans="1:1" x14ac:dyDescent="0.3">
      <c r="A419" s="36"/>
    </row>
    <row r="420" spans="1:1" x14ac:dyDescent="0.3">
      <c r="A420" s="36"/>
    </row>
    <row r="421" spans="1:1" x14ac:dyDescent="0.3">
      <c r="A421" s="36"/>
    </row>
    <row r="422" spans="1:1" x14ac:dyDescent="0.3">
      <c r="A422" s="36"/>
    </row>
    <row r="423" spans="1:1" x14ac:dyDescent="0.3">
      <c r="A423" s="36"/>
    </row>
    <row r="424" spans="1:1" x14ac:dyDescent="0.3">
      <c r="A424" s="36"/>
    </row>
    <row r="425" spans="1:1" x14ac:dyDescent="0.3">
      <c r="A425" s="36"/>
    </row>
    <row r="426" spans="1:1" x14ac:dyDescent="0.3">
      <c r="A426" s="36"/>
    </row>
    <row r="427" spans="1:1" x14ac:dyDescent="0.3">
      <c r="A427" s="36"/>
    </row>
    <row r="428" spans="1:1" x14ac:dyDescent="0.3">
      <c r="A428" s="36"/>
    </row>
    <row r="429" spans="1:1" x14ac:dyDescent="0.3">
      <c r="A429" s="36"/>
    </row>
    <row r="430" spans="1:1" x14ac:dyDescent="0.3">
      <c r="A430" s="36"/>
    </row>
    <row r="431" spans="1:1" x14ac:dyDescent="0.3">
      <c r="A431" s="36"/>
    </row>
    <row r="432" spans="1:1" x14ac:dyDescent="0.3">
      <c r="A432" s="36"/>
    </row>
    <row r="433" spans="1:1" x14ac:dyDescent="0.3">
      <c r="A433" s="36"/>
    </row>
    <row r="434" spans="1:1" x14ac:dyDescent="0.3">
      <c r="A434" s="36"/>
    </row>
    <row r="435" spans="1:1" x14ac:dyDescent="0.3">
      <c r="A435" s="36"/>
    </row>
    <row r="436" spans="1:1" x14ac:dyDescent="0.3">
      <c r="A436" s="36"/>
    </row>
    <row r="437" spans="1:1" x14ac:dyDescent="0.3">
      <c r="A437" s="36"/>
    </row>
    <row r="438" spans="1:1" x14ac:dyDescent="0.3">
      <c r="A438" s="36"/>
    </row>
    <row r="439" spans="1:1" x14ac:dyDescent="0.3">
      <c r="A439" s="36"/>
    </row>
    <row r="440" spans="1:1" x14ac:dyDescent="0.3">
      <c r="A440" s="36"/>
    </row>
    <row r="441" spans="1:1" x14ac:dyDescent="0.3">
      <c r="A441" s="36"/>
    </row>
    <row r="442" spans="1:1" x14ac:dyDescent="0.3">
      <c r="A442" s="36"/>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252"/>
  <sheetViews>
    <sheetView workbookViewId="0"/>
  </sheetViews>
  <sheetFormatPr defaultColWidth="11.5546875" defaultRowHeight="14.4" x14ac:dyDescent="0.3"/>
  <sheetData>
    <row r="1" spans="1:12" x14ac:dyDescent="0.3">
      <c r="A1" s="50" t="s">
        <v>1550</v>
      </c>
      <c r="B1" s="50" t="s">
        <v>1551</v>
      </c>
      <c r="C1" s="50" t="s">
        <v>1552</v>
      </c>
      <c r="D1" s="50" t="s">
        <v>1553</v>
      </c>
      <c r="E1" s="50" t="s">
        <v>1554</v>
      </c>
      <c r="F1" s="50" t="s">
        <v>1555</v>
      </c>
      <c r="G1" s="50" t="s">
        <v>1021</v>
      </c>
      <c r="H1" s="50" t="s">
        <v>1022</v>
      </c>
      <c r="I1" s="50" t="s">
        <v>1023</v>
      </c>
      <c r="J1" s="50" t="s">
        <v>1024</v>
      </c>
      <c r="K1" s="50" t="s">
        <v>1025</v>
      </c>
      <c r="L1" s="50" t="s">
        <v>1026</v>
      </c>
    </row>
    <row r="2" spans="1:12" x14ac:dyDescent="0.3">
      <c r="A2">
        <v>4.5079018442711401E-2</v>
      </c>
      <c r="B2">
        <v>5.3878515900577198E-2</v>
      </c>
      <c r="C2">
        <v>8.2063006909154398E-2</v>
      </c>
      <c r="D2">
        <v>0.104421067414309</v>
      </c>
      <c r="E2" t="s">
        <v>1556</v>
      </c>
      <c r="F2" t="s">
        <v>1557</v>
      </c>
      <c r="G2">
        <v>13.106999999999999</v>
      </c>
      <c r="H2">
        <v>1.9913023575188999E-2</v>
      </c>
      <c r="I2">
        <v>16.824999999999999</v>
      </c>
      <c r="J2">
        <v>2.51411589895989E-2</v>
      </c>
      <c r="K2" t="s">
        <v>1027</v>
      </c>
      <c r="L2" t="s">
        <v>1028</v>
      </c>
    </row>
    <row r="3" spans="1:12" x14ac:dyDescent="0.3">
      <c r="A3">
        <v>4.5079018442711401E-2</v>
      </c>
      <c r="B3">
        <v>5.3878515900577198E-2</v>
      </c>
      <c r="C3">
        <v>8.2063006909154398E-2</v>
      </c>
      <c r="D3">
        <v>0.104421067414309</v>
      </c>
      <c r="E3" t="s">
        <v>1558</v>
      </c>
      <c r="F3" t="s">
        <v>1557</v>
      </c>
      <c r="G3">
        <v>13.368</v>
      </c>
      <c r="H3">
        <v>1.9913023575188999E-2</v>
      </c>
      <c r="I3">
        <v>17.248000000000001</v>
      </c>
      <c r="J3">
        <v>2.51411589895989E-2</v>
      </c>
      <c r="K3" t="s">
        <v>1029</v>
      </c>
      <c r="L3" t="s">
        <v>1028</v>
      </c>
    </row>
    <row r="4" spans="1:12" x14ac:dyDescent="0.3">
      <c r="A4">
        <v>3.9419555818651898E-2</v>
      </c>
      <c r="B4">
        <v>6.9938689583740596E-2</v>
      </c>
      <c r="C4">
        <v>7.2508506661211405E-2</v>
      </c>
      <c r="D4">
        <v>7.9737360467493398E-2</v>
      </c>
      <c r="E4" t="s">
        <v>1559</v>
      </c>
      <c r="F4" t="s">
        <v>1557</v>
      </c>
      <c r="G4">
        <v>13.603999999999999</v>
      </c>
      <c r="H4">
        <v>1.7654099341711402E-2</v>
      </c>
      <c r="I4">
        <v>17.582000000000001</v>
      </c>
      <c r="J4">
        <v>1.9364564007421099E-2</v>
      </c>
      <c r="K4" t="s">
        <v>1030</v>
      </c>
      <c r="L4" t="s">
        <v>1028</v>
      </c>
    </row>
    <row r="5" spans="1:12" x14ac:dyDescent="0.3">
      <c r="A5">
        <v>5.2824828770235303E-2</v>
      </c>
      <c r="B5">
        <v>5.1823422551402501E-2</v>
      </c>
      <c r="C5">
        <v>6.9052453854286294E-2</v>
      </c>
      <c r="D5">
        <v>0.10539397910227</v>
      </c>
      <c r="E5" t="s">
        <v>1560</v>
      </c>
      <c r="F5" t="s">
        <v>1557</v>
      </c>
      <c r="G5">
        <v>13.833</v>
      </c>
      <c r="H5">
        <v>1.6833284328138898E-2</v>
      </c>
      <c r="I5">
        <v>18.027999999999999</v>
      </c>
      <c r="J5">
        <v>2.5366852462745899E-2</v>
      </c>
      <c r="K5" t="s">
        <v>1031</v>
      </c>
      <c r="L5" t="s">
        <v>1028</v>
      </c>
    </row>
    <row r="6" spans="1:12" x14ac:dyDescent="0.3">
      <c r="A6">
        <v>3.85286878692137E-2</v>
      </c>
      <c r="B6">
        <v>0.132788480581229</v>
      </c>
      <c r="C6">
        <v>0.10231116414477499</v>
      </c>
      <c r="D6">
        <v>6.9175988166702701E-2</v>
      </c>
      <c r="E6" t="s">
        <v>1561</v>
      </c>
      <c r="F6" t="s">
        <v>1557</v>
      </c>
      <c r="G6">
        <v>14.173999999999999</v>
      </c>
      <c r="H6">
        <v>2.4651196414371399E-2</v>
      </c>
      <c r="I6">
        <v>18.332000000000001</v>
      </c>
      <c r="J6">
        <v>1.6862658087419598E-2</v>
      </c>
      <c r="K6" t="s">
        <v>1032</v>
      </c>
      <c r="L6" t="s">
        <v>1028</v>
      </c>
    </row>
    <row r="7" spans="1:12" x14ac:dyDescent="0.3">
      <c r="A7">
        <v>4.6230845754161802E-2</v>
      </c>
      <c r="B7">
        <v>7.6806429060699302E-2</v>
      </c>
      <c r="C7">
        <v>7.6908368677740299E-2</v>
      </c>
      <c r="D7">
        <v>6.5481053360561203E-2</v>
      </c>
      <c r="E7" t="s">
        <v>1562</v>
      </c>
      <c r="F7" t="s">
        <v>1557</v>
      </c>
      <c r="G7">
        <v>14.439</v>
      </c>
      <c r="H7">
        <v>1.8696204317764999E-2</v>
      </c>
      <c r="I7">
        <v>18.625</v>
      </c>
      <c r="J7">
        <v>1.59829805804057E-2</v>
      </c>
      <c r="K7" t="s">
        <v>1033</v>
      </c>
      <c r="L7" t="s">
        <v>1028</v>
      </c>
    </row>
    <row r="8" spans="1:12" x14ac:dyDescent="0.3">
      <c r="A8">
        <v>4.0000704948734103E-2</v>
      </c>
      <c r="B8">
        <v>5.9184461037305798E-2</v>
      </c>
      <c r="C8">
        <v>6.1773509542664397E-2</v>
      </c>
      <c r="D8">
        <v>4.4315280925248897E-2</v>
      </c>
      <c r="E8" t="s">
        <v>1563</v>
      </c>
      <c r="F8" t="s">
        <v>1557</v>
      </c>
      <c r="G8">
        <v>14.657</v>
      </c>
      <c r="H8">
        <v>1.5097998476348899E-2</v>
      </c>
      <c r="I8">
        <v>18.827999999999999</v>
      </c>
      <c r="J8">
        <v>1.0899328859060401E-2</v>
      </c>
      <c r="K8" t="s">
        <v>1034</v>
      </c>
      <c r="L8" t="s">
        <v>1028</v>
      </c>
    </row>
    <row r="9" spans="1:12" x14ac:dyDescent="0.3">
      <c r="A9">
        <v>2.5035607973723999E-2</v>
      </c>
      <c r="B9">
        <v>8.3819893360376693E-2</v>
      </c>
      <c r="C9">
        <v>3.6793688078589702E-2</v>
      </c>
      <c r="D9">
        <v>7.0854524877743894E-2</v>
      </c>
      <c r="E9" t="s">
        <v>1564</v>
      </c>
      <c r="F9" t="s">
        <v>1557</v>
      </c>
      <c r="G9">
        <v>14.79</v>
      </c>
      <c r="H9">
        <v>9.0741625162038507E-3</v>
      </c>
      <c r="I9">
        <v>19.152999999999999</v>
      </c>
      <c r="J9">
        <v>1.7261525387720401E-2</v>
      </c>
      <c r="K9" t="s">
        <v>1035</v>
      </c>
      <c r="L9" t="s">
        <v>1028</v>
      </c>
    </row>
    <row r="10" spans="1:12" x14ac:dyDescent="0.3">
      <c r="A10">
        <v>4.2906681103859E-2</v>
      </c>
      <c r="B10">
        <v>0.175097239288524</v>
      </c>
      <c r="C10">
        <v>0.10446834522691199</v>
      </c>
      <c r="D10">
        <v>5.2157088254066501E-2</v>
      </c>
      <c r="E10" t="s">
        <v>1565</v>
      </c>
      <c r="F10" t="s">
        <v>1557</v>
      </c>
      <c r="G10">
        <v>15.162000000000001</v>
      </c>
      <c r="H10">
        <v>2.5152129817444399E-2</v>
      </c>
      <c r="I10">
        <v>19.398</v>
      </c>
      <c r="J10">
        <v>1.27917297551299E-2</v>
      </c>
      <c r="K10" t="s">
        <v>1036</v>
      </c>
      <c r="L10" t="s">
        <v>1028</v>
      </c>
    </row>
    <row r="11" spans="1:12" x14ac:dyDescent="0.3">
      <c r="A11">
        <v>2.3157030840978501E-2</v>
      </c>
      <c r="B11">
        <v>4.0963848741786497E-2</v>
      </c>
      <c r="C11">
        <v>5.35423244430666E-2</v>
      </c>
      <c r="D11">
        <v>2.83404365976123E-2</v>
      </c>
      <c r="E11" t="s">
        <v>1566</v>
      </c>
      <c r="F11" t="s">
        <v>1557</v>
      </c>
      <c r="G11">
        <v>15.361000000000001</v>
      </c>
      <c r="H11">
        <v>1.3124917557050499E-2</v>
      </c>
      <c r="I11">
        <v>19.533999999999999</v>
      </c>
      <c r="J11">
        <v>7.0110320651612899E-3</v>
      </c>
      <c r="K11" t="s">
        <v>1037</v>
      </c>
      <c r="L11" t="s">
        <v>1028</v>
      </c>
    </row>
    <row r="12" spans="1:12" x14ac:dyDescent="0.3">
      <c r="A12">
        <v>3.55986781186481E-2</v>
      </c>
      <c r="B12">
        <v>3.3186191278740597E-2</v>
      </c>
      <c r="C12">
        <v>6.3703129067968198E-2</v>
      </c>
      <c r="D12">
        <v>5.6658506033298299E-2</v>
      </c>
      <c r="E12" t="s">
        <v>1567</v>
      </c>
      <c r="F12" t="s">
        <v>1557</v>
      </c>
      <c r="G12">
        <v>15.6</v>
      </c>
      <c r="H12">
        <v>1.5558882885228701E-2</v>
      </c>
      <c r="I12">
        <v>19.805</v>
      </c>
      <c r="J12">
        <v>1.38732466468721E-2</v>
      </c>
      <c r="K12" t="s">
        <v>1038</v>
      </c>
      <c r="L12" t="s">
        <v>1028</v>
      </c>
    </row>
    <row r="13" spans="1:12" x14ac:dyDescent="0.3">
      <c r="A13">
        <v>3.3109052200751603E-2</v>
      </c>
      <c r="B13">
        <v>8.9944620716435594E-2</v>
      </c>
      <c r="C13">
        <v>5.0679215853917103E-2</v>
      </c>
      <c r="D13">
        <v>7.6848944278385095E-2</v>
      </c>
      <c r="E13" t="s">
        <v>1568</v>
      </c>
      <c r="F13" t="s">
        <v>1557</v>
      </c>
      <c r="G13">
        <v>15.794</v>
      </c>
      <c r="H13">
        <v>1.2435897435897601E-2</v>
      </c>
      <c r="I13">
        <v>20.175000000000001</v>
      </c>
      <c r="J13">
        <v>1.8682150971976799E-2</v>
      </c>
      <c r="K13" t="s">
        <v>1039</v>
      </c>
      <c r="L13" t="s">
        <v>1028</v>
      </c>
    </row>
    <row r="14" spans="1:12" x14ac:dyDescent="0.3">
      <c r="A14">
        <v>4.91014015888558E-2</v>
      </c>
      <c r="B14">
        <v>6.5908483031781095E-2</v>
      </c>
      <c r="C14">
        <v>8.1389738888574495E-2</v>
      </c>
      <c r="D14">
        <v>7.93845743471608E-2</v>
      </c>
      <c r="E14" t="s">
        <v>1569</v>
      </c>
      <c r="F14" t="s">
        <v>1557</v>
      </c>
      <c r="G14">
        <v>16.106000000000002</v>
      </c>
      <c r="H14">
        <v>1.9754337090034199E-2</v>
      </c>
      <c r="I14">
        <v>20.564</v>
      </c>
      <c r="J14">
        <v>1.9281288723668001E-2</v>
      </c>
      <c r="K14" t="s">
        <v>1040</v>
      </c>
      <c r="L14" t="s">
        <v>1028</v>
      </c>
    </row>
    <row r="15" spans="1:12" x14ac:dyDescent="0.3">
      <c r="A15">
        <v>7.9177652454341899E-2</v>
      </c>
      <c r="B15">
        <v>7.1493559288280994E-2</v>
      </c>
      <c r="C15">
        <v>6.9283063617710403E-2</v>
      </c>
      <c r="D15">
        <v>8.6922582910256702E-2</v>
      </c>
      <c r="E15" t="s">
        <v>1570</v>
      </c>
      <c r="F15" t="s">
        <v>1557</v>
      </c>
      <c r="G15">
        <v>16.378</v>
      </c>
      <c r="H15">
        <v>1.68881162299763E-2</v>
      </c>
      <c r="I15">
        <v>20.997</v>
      </c>
      <c r="J15">
        <v>2.1056214744213299E-2</v>
      </c>
      <c r="K15" t="s">
        <v>1041</v>
      </c>
      <c r="L15" t="s">
        <v>1028</v>
      </c>
    </row>
    <row r="16" spans="1:12" x14ac:dyDescent="0.3">
      <c r="A16">
        <v>7.4767520593947104E-2</v>
      </c>
      <c r="B16">
        <v>8.5362600720222198E-2</v>
      </c>
      <c r="C16">
        <v>4.7217464684975501E-2</v>
      </c>
      <c r="D16">
        <v>8.4062519785650797E-2</v>
      </c>
      <c r="E16" t="s">
        <v>1571</v>
      </c>
      <c r="F16" t="s">
        <v>1557</v>
      </c>
      <c r="G16">
        <v>16.568000000000001</v>
      </c>
      <c r="H16">
        <v>1.1600928074246E-2</v>
      </c>
      <c r="I16">
        <v>21.425000000000001</v>
      </c>
      <c r="J16">
        <v>2.03838643615755E-2</v>
      </c>
      <c r="K16" t="s">
        <v>1042</v>
      </c>
      <c r="L16" t="s">
        <v>1028</v>
      </c>
    </row>
    <row r="17" spans="1:12" x14ac:dyDescent="0.3">
      <c r="A17">
        <v>8.4354048501589896E-2</v>
      </c>
      <c r="B17">
        <v>8.8313277531109999E-2</v>
      </c>
      <c r="C17">
        <v>6.8825586736247696E-2</v>
      </c>
      <c r="D17">
        <v>0.111750672708145</v>
      </c>
      <c r="E17" t="s">
        <v>1572</v>
      </c>
      <c r="F17" t="s">
        <v>1557</v>
      </c>
      <c r="G17">
        <v>16.846</v>
      </c>
      <c r="H17">
        <v>1.6779333655238898E-2</v>
      </c>
      <c r="I17">
        <v>22</v>
      </c>
      <c r="J17">
        <v>2.68378063010501E-2</v>
      </c>
      <c r="K17" t="s">
        <v>1043</v>
      </c>
      <c r="L17" t="s">
        <v>1028</v>
      </c>
    </row>
    <row r="18" spans="1:12" x14ac:dyDescent="0.3">
      <c r="A18">
        <v>0.124536540877934</v>
      </c>
      <c r="B18">
        <v>4.1616768277239702E-2</v>
      </c>
      <c r="C18">
        <v>0.100709384145876</v>
      </c>
      <c r="D18">
        <v>0.19875533747763099</v>
      </c>
      <c r="E18" t="s">
        <v>1573</v>
      </c>
      <c r="F18" t="s">
        <v>1557</v>
      </c>
      <c r="G18">
        <v>17.254999999999999</v>
      </c>
      <c r="H18">
        <v>2.42787605366259E-2</v>
      </c>
      <c r="I18">
        <v>23.02</v>
      </c>
      <c r="J18">
        <v>4.6363636363636399E-2</v>
      </c>
      <c r="K18" t="s">
        <v>1044</v>
      </c>
      <c r="L18" t="s">
        <v>1028</v>
      </c>
    </row>
    <row r="19" spans="1:12" x14ac:dyDescent="0.3">
      <c r="A19">
        <v>0.118186339709689</v>
      </c>
      <c r="B19">
        <v>7.4336480554695494E-2</v>
      </c>
      <c r="C19">
        <v>0.111980004946894</v>
      </c>
      <c r="D19">
        <v>0.27614966476000502</v>
      </c>
      <c r="E19" t="s">
        <v>1574</v>
      </c>
      <c r="F19" t="s">
        <v>1557</v>
      </c>
      <c r="G19">
        <v>17.719000000000001</v>
      </c>
      <c r="H19">
        <v>2.68907563025211E-2</v>
      </c>
      <c r="I19">
        <v>24.466999999999999</v>
      </c>
      <c r="J19">
        <v>6.2858384013900995E-2</v>
      </c>
      <c r="K19" t="s">
        <v>1045</v>
      </c>
      <c r="L19" t="s">
        <v>1028</v>
      </c>
    </row>
    <row r="20" spans="1:12" x14ac:dyDescent="0.3">
      <c r="A20">
        <v>0.112285409166716</v>
      </c>
      <c r="B20">
        <v>0.121923532437656</v>
      </c>
      <c r="C20">
        <v>0.119951580753957</v>
      </c>
      <c r="D20">
        <v>0.28126959643585903</v>
      </c>
      <c r="E20" t="s">
        <v>1575</v>
      </c>
      <c r="F20" t="s">
        <v>1557</v>
      </c>
      <c r="G20">
        <v>18.228000000000002</v>
      </c>
      <c r="H20">
        <v>2.8726226084993398E-2</v>
      </c>
      <c r="I20">
        <v>26.030999999999999</v>
      </c>
      <c r="J20">
        <v>6.3922834838762405E-2</v>
      </c>
      <c r="K20" t="s">
        <v>1046</v>
      </c>
      <c r="L20" t="s">
        <v>1028</v>
      </c>
    </row>
    <row r="21" spans="1:12" x14ac:dyDescent="0.3">
      <c r="A21">
        <v>0.10564888426900799</v>
      </c>
      <c r="B21">
        <v>0.139689749601554</v>
      </c>
      <c r="C21">
        <v>0.10861792322335199</v>
      </c>
      <c r="D21">
        <v>0.17691984955710299</v>
      </c>
      <c r="E21" t="s">
        <v>1576</v>
      </c>
      <c r="F21" t="s">
        <v>1557</v>
      </c>
      <c r="G21">
        <v>18.704000000000001</v>
      </c>
      <c r="H21">
        <v>2.6113671274961399E-2</v>
      </c>
      <c r="I21">
        <v>27.113</v>
      </c>
      <c r="J21">
        <v>4.15658253620683E-2</v>
      </c>
      <c r="K21" t="s">
        <v>1047</v>
      </c>
      <c r="L21" t="s">
        <v>1028</v>
      </c>
    </row>
    <row r="22" spans="1:12" x14ac:dyDescent="0.3">
      <c r="A22">
        <v>7.7418031911128199E-2</v>
      </c>
      <c r="B22">
        <v>7.47377264200315E-2</v>
      </c>
      <c r="C22">
        <v>8.2414004288707196E-2</v>
      </c>
      <c r="D22">
        <v>8.77241949354641E-2</v>
      </c>
      <c r="E22" t="s">
        <v>1577</v>
      </c>
      <c r="F22" t="s">
        <v>1557</v>
      </c>
      <c r="G22">
        <v>19.077999999999999</v>
      </c>
      <c r="H22">
        <v>1.99957228400343E-2</v>
      </c>
      <c r="I22">
        <v>27.689</v>
      </c>
      <c r="J22">
        <v>2.1244421495223698E-2</v>
      </c>
      <c r="K22" t="s">
        <v>1048</v>
      </c>
      <c r="L22" t="s">
        <v>1028</v>
      </c>
    </row>
    <row r="23" spans="1:12" x14ac:dyDescent="0.3">
      <c r="A23">
        <v>5.00188837807687E-2</v>
      </c>
      <c r="B23">
        <v>5.9076854521070303E-2</v>
      </c>
      <c r="C23">
        <v>9.99907756879512E-2</v>
      </c>
      <c r="D23">
        <v>1.9938623083631101E-2</v>
      </c>
      <c r="E23" t="s">
        <v>1578</v>
      </c>
      <c r="F23" t="s">
        <v>1557</v>
      </c>
      <c r="G23">
        <v>19.538</v>
      </c>
      <c r="H23">
        <v>2.4111542090365898E-2</v>
      </c>
      <c r="I23">
        <v>27.826000000000001</v>
      </c>
      <c r="J23">
        <v>4.9478132110223304E-3</v>
      </c>
      <c r="K23" t="s">
        <v>1049</v>
      </c>
      <c r="L23" t="s">
        <v>1028</v>
      </c>
    </row>
    <row r="24" spans="1:12" x14ac:dyDescent="0.3">
      <c r="A24">
        <v>7.6956317974106001E-2</v>
      </c>
      <c r="B24">
        <v>5.5091330920863602E-2</v>
      </c>
      <c r="C24">
        <v>6.2847909413525901E-2</v>
      </c>
      <c r="D24">
        <v>1.2710174962932599E-2</v>
      </c>
      <c r="E24" t="s">
        <v>1579</v>
      </c>
      <c r="F24" t="s">
        <v>1557</v>
      </c>
      <c r="G24">
        <v>19.838000000000001</v>
      </c>
      <c r="H24">
        <v>1.5354693417954699E-2</v>
      </c>
      <c r="I24">
        <v>27.914000000000001</v>
      </c>
      <c r="J24">
        <v>3.16250988284339E-3</v>
      </c>
      <c r="K24" t="s">
        <v>1050</v>
      </c>
      <c r="L24" t="s">
        <v>1028</v>
      </c>
    </row>
    <row r="25" spans="1:12" x14ac:dyDescent="0.3">
      <c r="A25">
        <v>6.8882772668885706E-2</v>
      </c>
      <c r="B25">
        <v>9.5097426388938394E-2</v>
      </c>
      <c r="C25">
        <v>5.9557775023163499E-2</v>
      </c>
      <c r="D25">
        <v>2.4583979224767301E-2</v>
      </c>
      <c r="E25" t="s">
        <v>1580</v>
      </c>
      <c r="F25" t="s">
        <v>1557</v>
      </c>
      <c r="G25">
        <v>20.126999999999999</v>
      </c>
      <c r="H25">
        <v>1.45680008065328E-2</v>
      </c>
      <c r="I25">
        <v>28.084</v>
      </c>
      <c r="J25">
        <v>6.0901339829475499E-3</v>
      </c>
      <c r="K25" t="s">
        <v>1051</v>
      </c>
      <c r="L25" t="s">
        <v>1028</v>
      </c>
    </row>
    <row r="26" spans="1:12" x14ac:dyDescent="0.3">
      <c r="A26">
        <v>4.46796784787249E-2</v>
      </c>
      <c r="B26">
        <v>5.9702158874865199E-2</v>
      </c>
      <c r="C26">
        <v>5.3094918319799497E-2</v>
      </c>
      <c r="D26">
        <v>1.9800669277978002E-2</v>
      </c>
      <c r="E26" t="s">
        <v>1581</v>
      </c>
      <c r="F26" t="s">
        <v>1557</v>
      </c>
      <c r="G26">
        <v>20.388999999999999</v>
      </c>
      <c r="H26">
        <v>1.30173398916877E-2</v>
      </c>
      <c r="I26">
        <v>28.222000000000001</v>
      </c>
      <c r="J26">
        <v>4.91382993875522E-3</v>
      </c>
      <c r="K26" t="s">
        <v>1052</v>
      </c>
      <c r="L26" t="s">
        <v>1028</v>
      </c>
    </row>
    <row r="27" spans="1:12" x14ac:dyDescent="0.3">
      <c r="A27">
        <v>3.3979822161052303E-2</v>
      </c>
      <c r="B27">
        <v>3.3961135638896502E-2</v>
      </c>
      <c r="C27">
        <v>5.3215140717762302E-2</v>
      </c>
      <c r="D27">
        <v>3.4743180507705002E-2</v>
      </c>
      <c r="E27" t="s">
        <v>1582</v>
      </c>
      <c r="F27" t="s">
        <v>1557</v>
      </c>
      <c r="G27">
        <v>20.655000000000001</v>
      </c>
      <c r="H27">
        <v>1.3046250429153101E-2</v>
      </c>
      <c r="I27">
        <v>28.463999999999999</v>
      </c>
      <c r="J27">
        <v>8.5748706682728902E-3</v>
      </c>
      <c r="K27" t="s">
        <v>1053</v>
      </c>
      <c r="L27" t="s">
        <v>1028</v>
      </c>
    </row>
    <row r="28" spans="1:12" x14ac:dyDescent="0.3">
      <c r="A28">
        <v>6.2157602764701697E-2</v>
      </c>
      <c r="B28">
        <v>4.6572413553721298E-2</v>
      </c>
      <c r="C28">
        <v>3.5515485276211803E-2</v>
      </c>
      <c r="D28">
        <v>8.7412684077270396E-3</v>
      </c>
      <c r="E28" t="s">
        <v>1583</v>
      </c>
      <c r="F28" t="s">
        <v>1557</v>
      </c>
      <c r="G28">
        <v>20.835999999999999</v>
      </c>
      <c r="H28">
        <v>8.7630113773904394E-3</v>
      </c>
      <c r="I28">
        <v>28.526</v>
      </c>
      <c r="J28">
        <v>2.17818999437891E-3</v>
      </c>
      <c r="K28" t="s">
        <v>1054</v>
      </c>
      <c r="L28" t="s">
        <v>1028</v>
      </c>
    </row>
    <row r="29" spans="1:12" x14ac:dyDescent="0.3">
      <c r="A29">
        <v>6.4679796349943294E-2</v>
      </c>
      <c r="B29">
        <v>0.11140543202132699</v>
      </c>
      <c r="C29">
        <v>5.3847641567893498E-2</v>
      </c>
      <c r="D29">
        <v>2.7482019859727602E-2</v>
      </c>
      <c r="E29" t="s">
        <v>1584</v>
      </c>
      <c r="F29" t="s">
        <v>1557</v>
      </c>
      <c r="G29">
        <v>21.111000000000001</v>
      </c>
      <c r="H29">
        <v>1.31983106162412E-2</v>
      </c>
      <c r="I29">
        <v>28.72</v>
      </c>
      <c r="J29">
        <v>6.8008132931360902E-3</v>
      </c>
      <c r="K29" t="s">
        <v>1055</v>
      </c>
      <c r="L29" t="s">
        <v>1028</v>
      </c>
    </row>
    <row r="30" spans="1:12" x14ac:dyDescent="0.3">
      <c r="A30">
        <v>7.4088172350420103E-2</v>
      </c>
      <c r="B30">
        <v>5.7739458159661701E-2</v>
      </c>
      <c r="C30">
        <v>8.3796072481744796E-2</v>
      </c>
      <c r="D30">
        <v>5.2825931688943499E-2</v>
      </c>
      <c r="E30" t="s">
        <v>1585</v>
      </c>
      <c r="F30" t="s">
        <v>1557</v>
      </c>
      <c r="G30">
        <v>21.54</v>
      </c>
      <c r="H30">
        <v>2.0321159585050302E-2</v>
      </c>
      <c r="I30">
        <v>29.091999999999999</v>
      </c>
      <c r="J30">
        <v>1.2952646239554401E-2</v>
      </c>
      <c r="K30" t="s">
        <v>1056</v>
      </c>
      <c r="L30" t="s">
        <v>1028</v>
      </c>
    </row>
    <row r="31" spans="1:12" x14ac:dyDescent="0.3">
      <c r="A31">
        <v>7.0308632461715301E-2</v>
      </c>
      <c r="B31">
        <v>4.6296846180206901E-2</v>
      </c>
      <c r="C31">
        <v>8.1880476726010801E-2</v>
      </c>
      <c r="D31">
        <v>4.0048809702137603E-2</v>
      </c>
      <c r="E31" t="s">
        <v>1586</v>
      </c>
      <c r="F31" t="s">
        <v>1557</v>
      </c>
      <c r="G31">
        <v>21.968</v>
      </c>
      <c r="H31">
        <v>1.9870009285051001E-2</v>
      </c>
      <c r="I31">
        <v>29.379000000000001</v>
      </c>
      <c r="J31">
        <v>9.8652550529356696E-3</v>
      </c>
      <c r="K31" t="s">
        <v>1057</v>
      </c>
      <c r="L31" t="s">
        <v>1028</v>
      </c>
    </row>
    <row r="32" spans="1:12" x14ac:dyDescent="0.3">
      <c r="A32">
        <v>6.1553542794543503E-2</v>
      </c>
      <c r="B32">
        <v>1.98663105662467E-2</v>
      </c>
      <c r="C32">
        <v>7.3501873886998997E-2</v>
      </c>
      <c r="D32">
        <v>5.4874269706492597E-2</v>
      </c>
      <c r="E32" t="s">
        <v>1587</v>
      </c>
      <c r="F32" t="s">
        <v>1557</v>
      </c>
      <c r="G32">
        <v>22.361000000000001</v>
      </c>
      <c r="H32">
        <v>1.7889657683903801E-2</v>
      </c>
      <c r="I32">
        <v>29.774000000000001</v>
      </c>
      <c r="J32">
        <v>1.3444977705163501E-2</v>
      </c>
      <c r="K32" t="s">
        <v>1058</v>
      </c>
      <c r="L32" t="s">
        <v>1028</v>
      </c>
    </row>
    <row r="33" spans="1:12" x14ac:dyDescent="0.3">
      <c r="A33">
        <v>5.8025197908700303E-2</v>
      </c>
      <c r="B33">
        <v>0.12112082718011299</v>
      </c>
      <c r="C33">
        <v>7.5383891455237398E-2</v>
      </c>
      <c r="D33">
        <v>4.34111575180351E-2</v>
      </c>
      <c r="E33" t="s">
        <v>1588</v>
      </c>
      <c r="F33" t="s">
        <v>1557</v>
      </c>
      <c r="G33">
        <v>22.771000000000001</v>
      </c>
      <c r="H33">
        <v>1.83354948347569E-2</v>
      </c>
      <c r="I33">
        <v>30.091999999999999</v>
      </c>
      <c r="J33">
        <v>1.0680459461274799E-2</v>
      </c>
      <c r="K33" t="s">
        <v>1059</v>
      </c>
      <c r="L33" t="s">
        <v>1028</v>
      </c>
    </row>
    <row r="34" spans="1:12" x14ac:dyDescent="0.3">
      <c r="A34">
        <v>6.7326294927223501E-2</v>
      </c>
      <c r="B34">
        <v>4.65097292728067E-2</v>
      </c>
      <c r="C34">
        <v>5.9424238450433299E-2</v>
      </c>
      <c r="D34">
        <v>5.0510789433123801E-2</v>
      </c>
      <c r="E34" t="s">
        <v>1589</v>
      </c>
      <c r="F34" t="s">
        <v>1557</v>
      </c>
      <c r="G34">
        <v>23.102</v>
      </c>
      <c r="H34">
        <v>1.4536032673137E-2</v>
      </c>
      <c r="I34">
        <v>30.465</v>
      </c>
      <c r="J34">
        <v>1.23953210155523E-2</v>
      </c>
      <c r="K34" t="s">
        <v>1060</v>
      </c>
      <c r="L34" t="s">
        <v>1028</v>
      </c>
    </row>
    <row r="35" spans="1:12" x14ac:dyDescent="0.3">
      <c r="A35">
        <v>8.4675701203493298E-2</v>
      </c>
      <c r="B35">
        <v>8.09066486989478E-2</v>
      </c>
      <c r="C35">
        <v>6.5619276167123694E-2</v>
      </c>
      <c r="D35">
        <v>8.0997725857898203E-2</v>
      </c>
      <c r="E35" t="s">
        <v>1590</v>
      </c>
      <c r="F35" t="s">
        <v>1557</v>
      </c>
      <c r="G35">
        <v>23.472000000000001</v>
      </c>
      <c r="H35">
        <v>1.6015929356765699E-2</v>
      </c>
      <c r="I35">
        <v>31.064</v>
      </c>
      <c r="J35">
        <v>1.9661907106515601E-2</v>
      </c>
      <c r="K35" t="s">
        <v>1061</v>
      </c>
      <c r="L35" t="s">
        <v>1028</v>
      </c>
    </row>
    <row r="36" spans="1:12" x14ac:dyDescent="0.3">
      <c r="A36">
        <v>7.2050406034996906E-2</v>
      </c>
      <c r="B36">
        <v>6.8549166168664605E-2</v>
      </c>
      <c r="C36">
        <v>5.8500992246239197E-2</v>
      </c>
      <c r="D36">
        <v>7.8709215306017405E-2</v>
      </c>
      <c r="E36" t="s">
        <v>1591</v>
      </c>
      <c r="F36" t="s">
        <v>1557</v>
      </c>
      <c r="G36">
        <v>23.808</v>
      </c>
      <c r="H36">
        <v>1.4314928425357899E-2</v>
      </c>
      <c r="I36">
        <v>31.658000000000001</v>
      </c>
      <c r="J36">
        <v>1.9121813031161401E-2</v>
      </c>
      <c r="K36" t="s">
        <v>1062</v>
      </c>
      <c r="L36" t="s">
        <v>1028</v>
      </c>
    </row>
    <row r="37" spans="1:12" x14ac:dyDescent="0.3">
      <c r="A37">
        <v>7.7759817693589403E-2</v>
      </c>
      <c r="B37">
        <v>7.0826828171957498E-2</v>
      </c>
      <c r="C37">
        <v>5.4682260590980698E-2</v>
      </c>
      <c r="D37">
        <v>7.3455131593814296E-2</v>
      </c>
      <c r="E37" t="s">
        <v>1592</v>
      </c>
      <c r="F37" t="s">
        <v>1557</v>
      </c>
      <c r="G37">
        <v>24.126999999999999</v>
      </c>
      <c r="H37">
        <v>1.33988575268817E-2</v>
      </c>
      <c r="I37">
        <v>32.223999999999997</v>
      </c>
      <c r="J37">
        <v>1.78785772948384E-2</v>
      </c>
      <c r="K37" t="s">
        <v>1063</v>
      </c>
      <c r="L37" t="s">
        <v>1028</v>
      </c>
    </row>
    <row r="38" spans="1:12" x14ac:dyDescent="0.3">
      <c r="A38">
        <v>7.7602845525897898E-2</v>
      </c>
      <c r="B38">
        <v>7.5755853629737399E-2</v>
      </c>
      <c r="C38">
        <v>0.101819091447914</v>
      </c>
      <c r="D38">
        <v>8.5137769356933707E-2</v>
      </c>
      <c r="E38" t="s">
        <v>1593</v>
      </c>
      <c r="F38" t="s">
        <v>1557</v>
      </c>
      <c r="G38">
        <v>24.719000000000001</v>
      </c>
      <c r="H38">
        <v>2.4536825962614601E-2</v>
      </c>
      <c r="I38">
        <v>32.889000000000003</v>
      </c>
      <c r="J38">
        <v>2.0636792452830299E-2</v>
      </c>
      <c r="K38" t="s">
        <v>1064</v>
      </c>
      <c r="L38" t="s">
        <v>1028</v>
      </c>
    </row>
    <row r="39" spans="1:12" x14ac:dyDescent="0.3">
      <c r="A39">
        <v>0.113838252689951</v>
      </c>
      <c r="B39">
        <v>6.1815502695247999E-2</v>
      </c>
      <c r="C39">
        <v>9.0287471336475605E-2</v>
      </c>
      <c r="D39">
        <v>0.11311171886032199</v>
      </c>
      <c r="E39" t="s">
        <v>1594</v>
      </c>
      <c r="F39" t="s">
        <v>1557</v>
      </c>
      <c r="G39">
        <v>25.259</v>
      </c>
      <c r="H39">
        <v>2.18455439135887E-2</v>
      </c>
      <c r="I39">
        <v>33.781999999999996</v>
      </c>
      <c r="J39">
        <v>2.7151935297515601E-2</v>
      </c>
      <c r="K39" t="s">
        <v>1065</v>
      </c>
      <c r="L39" t="s">
        <v>1028</v>
      </c>
    </row>
    <row r="40" spans="1:12" x14ac:dyDescent="0.3">
      <c r="A40">
        <v>0.10293672514128201</v>
      </c>
      <c r="B40">
        <v>9.6664179784869297E-2</v>
      </c>
      <c r="C40">
        <v>0.148038402658868</v>
      </c>
      <c r="D40">
        <v>0.121960082107911</v>
      </c>
      <c r="E40" t="s">
        <v>1595</v>
      </c>
      <c r="F40" t="s">
        <v>1557</v>
      </c>
      <c r="G40">
        <v>26.146000000000001</v>
      </c>
      <c r="H40">
        <v>3.5116196207292602E-2</v>
      </c>
      <c r="I40">
        <v>34.768000000000001</v>
      </c>
      <c r="J40">
        <v>2.9187141081049101E-2</v>
      </c>
      <c r="K40" t="s">
        <v>1066</v>
      </c>
      <c r="L40" t="s">
        <v>1028</v>
      </c>
    </row>
    <row r="41" spans="1:12" x14ac:dyDescent="0.3">
      <c r="A41">
        <v>0.100470180706661</v>
      </c>
      <c r="B41">
        <v>9.1027084037313494E-2</v>
      </c>
      <c r="C41">
        <v>7.0641984000731503E-2</v>
      </c>
      <c r="D41">
        <v>0.118355060703055</v>
      </c>
      <c r="E41" t="s">
        <v>1596</v>
      </c>
      <c r="F41" t="s">
        <v>1557</v>
      </c>
      <c r="G41">
        <v>26.596</v>
      </c>
      <c r="H41">
        <v>1.7211045666641198E-2</v>
      </c>
      <c r="I41">
        <v>35.753999999999998</v>
      </c>
      <c r="J41">
        <v>2.83594109526E-2</v>
      </c>
      <c r="K41" t="s">
        <v>1067</v>
      </c>
      <c r="L41" t="s">
        <v>1028</v>
      </c>
    </row>
    <row r="42" spans="1:12" x14ac:dyDescent="0.3">
      <c r="A42">
        <v>0.12552467874009099</v>
      </c>
      <c r="B42">
        <v>8.1451601423466094E-2</v>
      </c>
      <c r="C42">
        <v>0.106909632651843</v>
      </c>
      <c r="D42">
        <v>0.113864763230328</v>
      </c>
      <c r="E42" t="s">
        <v>1597</v>
      </c>
      <c r="F42" t="s">
        <v>1557</v>
      </c>
      <c r="G42">
        <v>27.28</v>
      </c>
      <c r="H42">
        <v>2.5718153105730199E-2</v>
      </c>
      <c r="I42">
        <v>36.731000000000002</v>
      </c>
      <c r="J42">
        <v>2.7325613917324101E-2</v>
      </c>
      <c r="K42" t="s">
        <v>1068</v>
      </c>
      <c r="L42" t="s">
        <v>1028</v>
      </c>
    </row>
    <row r="43" spans="1:12" x14ac:dyDescent="0.3">
      <c r="A43">
        <v>0.101539889707692</v>
      </c>
      <c r="B43">
        <v>0.163874229132176</v>
      </c>
      <c r="C43">
        <v>0.11299973225785501</v>
      </c>
      <c r="D43">
        <v>0.119816075191493</v>
      </c>
      <c r="E43" t="s">
        <v>1598</v>
      </c>
      <c r="F43" t="s">
        <v>1557</v>
      </c>
      <c r="G43">
        <v>28.02</v>
      </c>
      <c r="H43">
        <v>2.7126099706744799E-2</v>
      </c>
      <c r="I43">
        <v>37.784999999999997</v>
      </c>
      <c r="J43">
        <v>2.8695107674715899E-2</v>
      </c>
      <c r="K43" t="s">
        <v>1069</v>
      </c>
      <c r="L43" t="s">
        <v>1028</v>
      </c>
    </row>
    <row r="44" spans="1:12" x14ac:dyDescent="0.3">
      <c r="A44">
        <v>9.6919062654431398E-2</v>
      </c>
      <c r="B44">
        <v>4.1150587007602997E-2</v>
      </c>
      <c r="C44">
        <v>0.115930396885483</v>
      </c>
      <c r="D44">
        <v>0.138106666956619</v>
      </c>
      <c r="E44" t="s">
        <v>1599</v>
      </c>
      <c r="F44" t="s">
        <v>1557</v>
      </c>
      <c r="G44">
        <v>28.798999999999999</v>
      </c>
      <c r="H44">
        <v>2.7801570306923699E-2</v>
      </c>
      <c r="I44">
        <v>39.027000000000001</v>
      </c>
      <c r="J44">
        <v>3.2870186581977198E-2</v>
      </c>
      <c r="K44" t="s">
        <v>1070</v>
      </c>
      <c r="L44" t="s">
        <v>1028</v>
      </c>
    </row>
    <row r="45" spans="1:12" x14ac:dyDescent="0.3">
      <c r="A45">
        <v>0.102667735598145</v>
      </c>
      <c r="B45">
        <v>0.12591483160208999</v>
      </c>
      <c r="C45">
        <v>0.11071312036879399</v>
      </c>
      <c r="D45">
        <v>0.12373918134004901</v>
      </c>
      <c r="E45" t="s">
        <v>1600</v>
      </c>
      <c r="F45" t="s">
        <v>1557</v>
      </c>
      <c r="G45">
        <v>29.565000000000001</v>
      </c>
      <c r="H45">
        <v>2.65981457689504E-2</v>
      </c>
      <c r="I45">
        <v>40.182000000000002</v>
      </c>
      <c r="J45">
        <v>2.9594895841340601E-2</v>
      </c>
      <c r="K45" t="s">
        <v>1071</v>
      </c>
      <c r="L45" t="s">
        <v>1028</v>
      </c>
    </row>
    <row r="46" spans="1:12" x14ac:dyDescent="0.3">
      <c r="A46">
        <v>0.107873886984393</v>
      </c>
      <c r="B46">
        <v>8.2350511297398302E-2</v>
      </c>
      <c r="C46">
        <v>0.14097064786198199</v>
      </c>
      <c r="D46">
        <v>0.118188584098933</v>
      </c>
      <c r="E46" t="s">
        <v>1601</v>
      </c>
      <c r="F46" t="s">
        <v>1557</v>
      </c>
      <c r="G46">
        <v>30.556000000000001</v>
      </c>
      <c r="H46">
        <v>3.3519364112971399E-2</v>
      </c>
      <c r="I46">
        <v>41.32</v>
      </c>
      <c r="J46">
        <v>2.8321138818376401E-2</v>
      </c>
      <c r="K46" t="s">
        <v>1072</v>
      </c>
      <c r="L46" t="s">
        <v>1028</v>
      </c>
    </row>
    <row r="47" spans="1:12" x14ac:dyDescent="0.3">
      <c r="A47">
        <v>6.8864078536554199E-2</v>
      </c>
      <c r="B47">
        <v>9.6264819656522296E-2</v>
      </c>
      <c r="C47">
        <v>8.6310442735713797E-2</v>
      </c>
      <c r="D47">
        <v>9.9129163647753094E-2</v>
      </c>
      <c r="E47" t="s">
        <v>1602</v>
      </c>
      <c r="F47" t="s">
        <v>1557</v>
      </c>
      <c r="G47">
        <v>31.195</v>
      </c>
      <c r="H47">
        <v>2.0912423092027701E-2</v>
      </c>
      <c r="I47">
        <v>42.308</v>
      </c>
      <c r="J47">
        <v>2.39109390125847E-2</v>
      </c>
      <c r="K47" t="s">
        <v>1073</v>
      </c>
      <c r="L47" t="s">
        <v>1028</v>
      </c>
    </row>
    <row r="48" spans="1:12" x14ac:dyDescent="0.3">
      <c r="A48">
        <v>6.7510216956085903E-2</v>
      </c>
      <c r="B48">
        <v>9.0754628296435505E-2</v>
      </c>
      <c r="C48">
        <v>4.8692861535788202E-2</v>
      </c>
      <c r="D48">
        <v>8.4524586959714404E-2</v>
      </c>
      <c r="E48" t="s">
        <v>1603</v>
      </c>
      <c r="F48" t="s">
        <v>1557</v>
      </c>
      <c r="G48">
        <v>31.568000000000001</v>
      </c>
      <c r="H48">
        <v>1.1957044398140699E-2</v>
      </c>
      <c r="I48">
        <v>43.174999999999997</v>
      </c>
      <c r="J48">
        <v>2.0492578235794499E-2</v>
      </c>
      <c r="K48" t="s">
        <v>1074</v>
      </c>
      <c r="L48" t="s">
        <v>1028</v>
      </c>
    </row>
    <row r="49" spans="1:12" x14ac:dyDescent="0.3">
      <c r="A49">
        <v>6.2684205945477106E-2</v>
      </c>
      <c r="B49">
        <v>7.8781408158281802E-2</v>
      </c>
      <c r="C49">
        <v>6.2752816594642893E-2</v>
      </c>
      <c r="D49">
        <v>7.3171075998094998E-2</v>
      </c>
      <c r="E49" t="s">
        <v>1604</v>
      </c>
      <c r="F49" t="s">
        <v>1557</v>
      </c>
      <c r="G49">
        <v>32.052</v>
      </c>
      <c r="H49">
        <v>1.53319817536746E-2</v>
      </c>
      <c r="I49">
        <v>43.944000000000003</v>
      </c>
      <c r="J49">
        <v>1.7811233352634799E-2</v>
      </c>
      <c r="K49" t="s">
        <v>1075</v>
      </c>
      <c r="L49" t="s">
        <v>1028</v>
      </c>
    </row>
    <row r="50" spans="1:12" x14ac:dyDescent="0.3">
      <c r="A50">
        <v>5.1825632418063497E-2</v>
      </c>
      <c r="B50">
        <v>6.5520529029189395E-2</v>
      </c>
      <c r="C50">
        <v>7.2002334651775995E-2</v>
      </c>
      <c r="D50">
        <v>5.7261419360111997E-2</v>
      </c>
      <c r="E50" t="s">
        <v>1605</v>
      </c>
      <c r="F50" t="s">
        <v>1557</v>
      </c>
      <c r="G50">
        <v>32.613999999999997</v>
      </c>
      <c r="H50">
        <v>1.7534007238237701E-2</v>
      </c>
      <c r="I50">
        <v>44.56</v>
      </c>
      <c r="J50">
        <v>1.40178408884035E-2</v>
      </c>
      <c r="K50" t="s">
        <v>1076</v>
      </c>
      <c r="L50" t="s">
        <v>1028</v>
      </c>
    </row>
    <row r="51" spans="1:12" x14ac:dyDescent="0.3">
      <c r="A51">
        <v>3.9076838958162399E-2</v>
      </c>
      <c r="B51">
        <v>8.1541548822787496E-2</v>
      </c>
      <c r="C51">
        <v>6.5317850608274997E-2</v>
      </c>
      <c r="D51">
        <v>6.8572049720328196E-2</v>
      </c>
      <c r="E51" t="s">
        <v>1606</v>
      </c>
      <c r="F51" t="s">
        <v>1557</v>
      </c>
      <c r="G51">
        <v>33.134</v>
      </c>
      <c r="H51">
        <v>1.5944073097442901E-2</v>
      </c>
      <c r="I51">
        <v>45.305</v>
      </c>
      <c r="J51">
        <v>1.6719030520646199E-2</v>
      </c>
      <c r="K51" t="s">
        <v>1077</v>
      </c>
      <c r="L51" t="s">
        <v>1028</v>
      </c>
    </row>
    <row r="52" spans="1:12" x14ac:dyDescent="0.3">
      <c r="A52">
        <v>6.4698202701339205E-2</v>
      </c>
      <c r="B52">
        <v>3.4072636599968002E-2</v>
      </c>
      <c r="C52">
        <v>6.8068638365729198E-2</v>
      </c>
      <c r="D52">
        <v>4.8078704643683703E-2</v>
      </c>
      <c r="E52" t="s">
        <v>1607</v>
      </c>
      <c r="F52" t="s">
        <v>1557</v>
      </c>
      <c r="G52">
        <v>33.683999999999997</v>
      </c>
      <c r="H52">
        <v>1.65992635963059E-2</v>
      </c>
      <c r="I52">
        <v>45.84</v>
      </c>
      <c r="J52">
        <v>1.1808851120185501E-2</v>
      </c>
      <c r="K52" t="s">
        <v>1078</v>
      </c>
      <c r="L52" t="s">
        <v>1028</v>
      </c>
    </row>
    <row r="53" spans="1:12" x14ac:dyDescent="0.3">
      <c r="A53">
        <v>4.4829664945906803E-2</v>
      </c>
      <c r="B53">
        <v>4.8009313734526098E-2</v>
      </c>
      <c r="C53">
        <v>6.1455443169872802E-2</v>
      </c>
      <c r="D53">
        <v>1.01606507354322E-2</v>
      </c>
      <c r="E53" t="s">
        <v>1608</v>
      </c>
      <c r="F53" t="s">
        <v>1557</v>
      </c>
      <c r="G53">
        <v>34.19</v>
      </c>
      <c r="H53">
        <v>1.5021968887305399E-2</v>
      </c>
      <c r="I53">
        <v>45.956000000000003</v>
      </c>
      <c r="J53">
        <v>2.5305410122164998E-3</v>
      </c>
      <c r="K53" t="s">
        <v>1079</v>
      </c>
      <c r="L53" t="s">
        <v>1028</v>
      </c>
    </row>
    <row r="54" spans="1:12" x14ac:dyDescent="0.3">
      <c r="A54">
        <v>3.3496613159939903E-2</v>
      </c>
      <c r="B54">
        <v>7.5539459294806698E-3</v>
      </c>
      <c r="C54">
        <v>3.4722196261408399E-2</v>
      </c>
      <c r="D54">
        <v>3.7479666516224701E-3</v>
      </c>
      <c r="E54" t="s">
        <v>1609</v>
      </c>
      <c r="F54" t="s">
        <v>1557</v>
      </c>
      <c r="G54">
        <v>34.482999999999997</v>
      </c>
      <c r="H54">
        <v>8.5697572389587008E-3</v>
      </c>
      <c r="I54">
        <v>45.999000000000002</v>
      </c>
      <c r="J54">
        <v>9.3567760466539696E-4</v>
      </c>
      <c r="K54" t="s">
        <v>1080</v>
      </c>
      <c r="L54" t="s">
        <v>1028</v>
      </c>
    </row>
    <row r="55" spans="1:12" x14ac:dyDescent="0.3">
      <c r="A55">
        <v>3.7100673423204902E-2</v>
      </c>
      <c r="B55">
        <v>3.1269437697415199E-2</v>
      </c>
      <c r="C55">
        <v>5.5765239502398901E-2</v>
      </c>
      <c r="D55">
        <v>-5.3805310591299397E-3</v>
      </c>
      <c r="E55" t="s">
        <v>1610</v>
      </c>
      <c r="F55" t="s">
        <v>1557</v>
      </c>
      <c r="G55">
        <v>34.954000000000001</v>
      </c>
      <c r="H55">
        <v>1.36589043876694E-2</v>
      </c>
      <c r="I55">
        <v>45.936999999999998</v>
      </c>
      <c r="J55">
        <v>-1.3478553881607299E-3</v>
      </c>
      <c r="K55" t="s">
        <v>1081</v>
      </c>
      <c r="L55" t="s">
        <v>1028</v>
      </c>
    </row>
    <row r="56" spans="1:12" x14ac:dyDescent="0.3">
      <c r="A56">
        <v>5.3607020035561601E-2</v>
      </c>
      <c r="B56">
        <v>4.5007889346835098E-2</v>
      </c>
      <c r="C56">
        <v>4.7632291898301399E-2</v>
      </c>
      <c r="D56">
        <v>2.2658930308778699E-3</v>
      </c>
      <c r="E56" t="s">
        <v>1611</v>
      </c>
      <c r="F56" t="s">
        <v>1557</v>
      </c>
      <c r="G56">
        <v>35.363</v>
      </c>
      <c r="H56">
        <v>1.17010928649082E-2</v>
      </c>
      <c r="I56">
        <v>45.963000000000001</v>
      </c>
      <c r="J56">
        <v>5.6599255502098899E-4</v>
      </c>
      <c r="K56" t="s">
        <v>1082</v>
      </c>
      <c r="L56" t="s">
        <v>1028</v>
      </c>
    </row>
    <row r="57" spans="1:12" x14ac:dyDescent="0.3">
      <c r="A57">
        <v>2.6644627827705498E-2</v>
      </c>
      <c r="B57">
        <v>2.64126969592136E-2</v>
      </c>
      <c r="C57">
        <v>3.7969215238040602E-2</v>
      </c>
      <c r="D57">
        <v>-1.13086488994096E-3</v>
      </c>
      <c r="E57" t="s">
        <v>1612</v>
      </c>
      <c r="F57" t="s">
        <v>1557</v>
      </c>
      <c r="G57">
        <v>35.694000000000003</v>
      </c>
      <c r="H57">
        <v>9.3600656052936805E-3</v>
      </c>
      <c r="I57">
        <v>45.95</v>
      </c>
      <c r="J57">
        <v>-2.82836194330227E-4</v>
      </c>
      <c r="K57" t="s">
        <v>1083</v>
      </c>
      <c r="L57" t="s">
        <v>1028</v>
      </c>
    </row>
    <row r="58" spans="1:12" x14ac:dyDescent="0.3">
      <c r="A58">
        <v>4.3935723897537297E-2</v>
      </c>
      <c r="B58">
        <v>5.28225710519643E-2</v>
      </c>
      <c r="C58">
        <v>7.2018998740306803E-2</v>
      </c>
      <c r="D58">
        <v>4.3596665649268101E-3</v>
      </c>
      <c r="E58" t="s">
        <v>1613</v>
      </c>
      <c r="F58" t="s">
        <v>1557</v>
      </c>
      <c r="G58">
        <v>36.32</v>
      </c>
      <c r="H58">
        <v>1.7537961562167099E-2</v>
      </c>
      <c r="I58">
        <v>46</v>
      </c>
      <c r="J58">
        <v>1.0881392818280499E-3</v>
      </c>
      <c r="K58" t="s">
        <v>1084</v>
      </c>
      <c r="L58" t="s">
        <v>1028</v>
      </c>
    </row>
    <row r="59" spans="1:12" x14ac:dyDescent="0.3">
      <c r="A59">
        <v>3.93022623248813E-2</v>
      </c>
      <c r="B59">
        <v>4.0487191821635002E-2</v>
      </c>
      <c r="C59">
        <v>4.4330796852368702E-2</v>
      </c>
      <c r="D59">
        <v>1.4249428601276599E-2</v>
      </c>
      <c r="E59" t="s">
        <v>1614</v>
      </c>
      <c r="F59" t="s">
        <v>1557</v>
      </c>
      <c r="G59">
        <v>36.716000000000001</v>
      </c>
      <c r="H59">
        <v>1.09030837004405E-2</v>
      </c>
      <c r="I59">
        <v>46.162999999999997</v>
      </c>
      <c r="J59">
        <v>3.5434782608694299E-3</v>
      </c>
      <c r="K59" t="s">
        <v>1085</v>
      </c>
      <c r="L59" t="s">
        <v>1028</v>
      </c>
    </row>
    <row r="60" spans="1:12" x14ac:dyDescent="0.3">
      <c r="A60">
        <v>3.1206818640470101E-2</v>
      </c>
      <c r="B60">
        <v>6.08178890509075E-2</v>
      </c>
      <c r="C60">
        <v>4.3619950255883798E-2</v>
      </c>
      <c r="D60">
        <v>1.29734153291148E-2</v>
      </c>
      <c r="E60" t="s">
        <v>1615</v>
      </c>
      <c r="F60" t="s">
        <v>1557</v>
      </c>
      <c r="G60">
        <v>37.11</v>
      </c>
      <c r="H60">
        <v>1.07310164505936E-2</v>
      </c>
      <c r="I60">
        <v>46.311999999999998</v>
      </c>
      <c r="J60">
        <v>3.22769317418703E-3</v>
      </c>
      <c r="K60" t="s">
        <v>1086</v>
      </c>
      <c r="L60" t="s">
        <v>1028</v>
      </c>
    </row>
    <row r="61" spans="1:12" x14ac:dyDescent="0.3">
      <c r="A61">
        <v>2.4937045869749999E-2</v>
      </c>
      <c r="B61">
        <v>5.0188195911601098E-2</v>
      </c>
      <c r="C61">
        <v>4.8053419713626901E-2</v>
      </c>
      <c r="D61">
        <v>8.1435979249952998E-3</v>
      </c>
      <c r="E61" t="s">
        <v>1616</v>
      </c>
      <c r="F61" t="s">
        <v>1557</v>
      </c>
      <c r="G61">
        <v>37.548000000000002</v>
      </c>
      <c r="H61">
        <v>1.1802748585286999E-2</v>
      </c>
      <c r="I61">
        <v>46.405999999999999</v>
      </c>
      <c r="J61">
        <v>2.0297115218517198E-3</v>
      </c>
      <c r="K61" t="s">
        <v>1087</v>
      </c>
      <c r="L61" t="s">
        <v>1028</v>
      </c>
    </row>
    <row r="62" spans="1:12" x14ac:dyDescent="0.3">
      <c r="A62">
        <v>4.8021891562025902E-2</v>
      </c>
      <c r="B62">
        <v>-1.5869949670850401E-2</v>
      </c>
      <c r="C62">
        <v>5.3895269710959599E-2</v>
      </c>
      <c r="D62">
        <v>2.2424648618448499E-2</v>
      </c>
      <c r="E62" t="s">
        <v>1617</v>
      </c>
      <c r="F62" t="s">
        <v>1557</v>
      </c>
      <c r="G62">
        <v>38.043999999999997</v>
      </c>
      <c r="H62">
        <v>1.3209758176201E-2</v>
      </c>
      <c r="I62">
        <v>46.664000000000001</v>
      </c>
      <c r="J62">
        <v>5.5596259104426799E-3</v>
      </c>
      <c r="K62" t="s">
        <v>1088</v>
      </c>
      <c r="L62" t="s">
        <v>1028</v>
      </c>
    </row>
    <row r="63" spans="1:12" x14ac:dyDescent="0.3">
      <c r="A63">
        <v>3.2831975950411901E-2</v>
      </c>
      <c r="B63">
        <v>9.4485381047573203E-3</v>
      </c>
      <c r="C63">
        <v>4.6526948089148097E-2</v>
      </c>
      <c r="D63">
        <v>1.2400816449865701E-2</v>
      </c>
      <c r="E63" t="s">
        <v>1618</v>
      </c>
      <c r="F63" t="s">
        <v>1557</v>
      </c>
      <c r="G63">
        <v>38.478999999999999</v>
      </c>
      <c r="H63">
        <v>1.1434128903375E-2</v>
      </c>
      <c r="I63">
        <v>46.808</v>
      </c>
      <c r="J63">
        <v>3.0858906223212301E-3</v>
      </c>
      <c r="K63" t="s">
        <v>1089</v>
      </c>
      <c r="L63" t="s">
        <v>1028</v>
      </c>
    </row>
    <row r="64" spans="1:12" x14ac:dyDescent="0.3">
      <c r="A64">
        <v>3.1711964087017402E-2</v>
      </c>
      <c r="B64">
        <v>2.1519541922931699E-2</v>
      </c>
      <c r="C64">
        <v>3.7630817464174598E-2</v>
      </c>
      <c r="D64">
        <v>1.6508679737656601E-2</v>
      </c>
      <c r="E64" t="s">
        <v>1619</v>
      </c>
      <c r="F64" t="s">
        <v>1557</v>
      </c>
      <c r="G64">
        <v>38.835999999999999</v>
      </c>
      <c r="H64">
        <v>9.2777878843004497E-3</v>
      </c>
      <c r="I64">
        <v>47</v>
      </c>
      <c r="J64">
        <v>4.1018629294138397E-3</v>
      </c>
      <c r="K64" t="s">
        <v>1090</v>
      </c>
      <c r="L64" t="s">
        <v>1028</v>
      </c>
    </row>
    <row r="65" spans="1:12" x14ac:dyDescent="0.3">
      <c r="A65">
        <v>2.8237310351865798E-2</v>
      </c>
      <c r="B65">
        <v>2.6513418939119401E-2</v>
      </c>
      <c r="C65">
        <v>4.0884190168569902E-2</v>
      </c>
      <c r="D65">
        <v>2.40435812756121E-2</v>
      </c>
      <c r="E65" t="s">
        <v>1620</v>
      </c>
      <c r="F65" t="s">
        <v>1557</v>
      </c>
      <c r="G65">
        <v>39.226999999999997</v>
      </c>
      <c r="H65">
        <v>1.0067978164589601E-2</v>
      </c>
      <c r="I65">
        <v>47.28</v>
      </c>
      <c r="J65">
        <v>5.9574468085106204E-3</v>
      </c>
      <c r="K65" t="s">
        <v>1091</v>
      </c>
      <c r="L65" t="s">
        <v>1028</v>
      </c>
    </row>
    <row r="66" spans="1:12" x14ac:dyDescent="0.3">
      <c r="A66">
        <v>2.86487834236928E-2</v>
      </c>
      <c r="B66">
        <v>-1.00878062845416E-2</v>
      </c>
      <c r="C66">
        <v>1.47648166353573E-2</v>
      </c>
      <c r="D66">
        <v>2.5106061305751201E-2</v>
      </c>
      <c r="E66" t="s">
        <v>1621</v>
      </c>
      <c r="F66" t="s">
        <v>1557</v>
      </c>
      <c r="G66">
        <v>39.371000000000002</v>
      </c>
      <c r="H66">
        <v>3.6709409335409201E-3</v>
      </c>
      <c r="I66">
        <v>47.573999999999998</v>
      </c>
      <c r="J66">
        <v>6.2182741116749698E-3</v>
      </c>
      <c r="K66" t="s">
        <v>1092</v>
      </c>
      <c r="L66" t="s">
        <v>1028</v>
      </c>
    </row>
    <row r="67" spans="1:12" x14ac:dyDescent="0.3">
      <c r="A67">
        <v>-4.2153079272678803E-3</v>
      </c>
      <c r="B67">
        <v>-9.8843189037382002E-3</v>
      </c>
      <c r="C67">
        <v>1.2042523964300099E-2</v>
      </c>
      <c r="D67">
        <v>4.1753162692227598E-2</v>
      </c>
      <c r="E67" t="s">
        <v>1622</v>
      </c>
      <c r="F67" t="s">
        <v>1557</v>
      </c>
      <c r="G67">
        <v>39.488999999999997</v>
      </c>
      <c r="H67">
        <v>2.9971298671609401E-3</v>
      </c>
      <c r="I67">
        <v>48.063000000000002</v>
      </c>
      <c r="J67">
        <v>1.02787236725943E-2</v>
      </c>
      <c r="K67" t="s">
        <v>1093</v>
      </c>
      <c r="L67" t="s">
        <v>1028</v>
      </c>
    </row>
    <row r="68" spans="1:12" x14ac:dyDescent="0.3">
      <c r="A68">
        <v>2.1224970793817698E-2</v>
      </c>
      <c r="B68">
        <v>5.6401548408471199E-3</v>
      </c>
      <c r="C68">
        <v>3.4679470629119601E-2</v>
      </c>
      <c r="D68">
        <v>3.6953475595025202E-2</v>
      </c>
      <c r="E68" t="s">
        <v>1623</v>
      </c>
      <c r="F68" t="s">
        <v>1557</v>
      </c>
      <c r="G68">
        <v>39.826999999999998</v>
      </c>
      <c r="H68">
        <v>8.5593456405581598E-3</v>
      </c>
      <c r="I68">
        <v>48.500999999999998</v>
      </c>
      <c r="J68">
        <v>9.1130391361338194E-3</v>
      </c>
      <c r="K68" t="s">
        <v>1094</v>
      </c>
      <c r="L68" t="s">
        <v>1028</v>
      </c>
    </row>
    <row r="69" spans="1:12" x14ac:dyDescent="0.3">
      <c r="A69">
        <v>2.4413629868112598E-2</v>
      </c>
      <c r="B69">
        <v>4.55022354216461E-3</v>
      </c>
      <c r="C69">
        <v>5.3779833992726497E-2</v>
      </c>
      <c r="D69">
        <v>4.4006184582173501E-2</v>
      </c>
      <c r="E69" t="s">
        <v>1624</v>
      </c>
      <c r="F69" t="s">
        <v>1557</v>
      </c>
      <c r="G69">
        <v>40.351999999999997</v>
      </c>
      <c r="H69">
        <v>1.3182012202777E-2</v>
      </c>
      <c r="I69">
        <v>49.026000000000003</v>
      </c>
      <c r="J69">
        <v>1.08245190820808E-2</v>
      </c>
      <c r="K69" t="s">
        <v>1095</v>
      </c>
      <c r="L69" t="s">
        <v>1028</v>
      </c>
    </row>
    <row r="70" spans="1:12" x14ac:dyDescent="0.3">
      <c r="A70">
        <v>3.8220568833408297E-2</v>
      </c>
      <c r="B70">
        <v>-6.8268953681047701E-3</v>
      </c>
      <c r="C70">
        <v>6.6318650583382599E-2</v>
      </c>
      <c r="D70">
        <v>2.5866237951436302E-2</v>
      </c>
      <c r="E70" t="s">
        <v>1625</v>
      </c>
      <c r="F70" t="s">
        <v>1557</v>
      </c>
      <c r="G70">
        <v>41.005000000000003</v>
      </c>
      <c r="H70">
        <v>1.61825931800159E-2</v>
      </c>
      <c r="I70">
        <v>49.34</v>
      </c>
      <c r="J70">
        <v>6.4047648186675897E-3</v>
      </c>
      <c r="K70" t="s">
        <v>1096</v>
      </c>
      <c r="L70" t="s">
        <v>1028</v>
      </c>
    </row>
    <row r="71" spans="1:12" x14ac:dyDescent="0.3">
      <c r="A71">
        <v>3.9129087464599803E-2</v>
      </c>
      <c r="B71">
        <v>1.9164012541417402E-2</v>
      </c>
      <c r="C71">
        <v>5.3726223643289599E-2</v>
      </c>
      <c r="D71">
        <v>3.4070959420577702E-2</v>
      </c>
      <c r="E71" t="s">
        <v>1626</v>
      </c>
      <c r="F71" t="s">
        <v>1557</v>
      </c>
      <c r="G71">
        <v>41.545000000000002</v>
      </c>
      <c r="H71">
        <v>1.3169125716376E-2</v>
      </c>
      <c r="I71">
        <v>49.755000000000003</v>
      </c>
      <c r="J71">
        <v>8.4110255370895004E-3</v>
      </c>
      <c r="K71" t="s">
        <v>1097</v>
      </c>
      <c r="L71" t="s">
        <v>1028</v>
      </c>
    </row>
    <row r="72" spans="1:12" x14ac:dyDescent="0.3">
      <c r="A72">
        <v>3.8454021368670203E-2</v>
      </c>
      <c r="B72">
        <v>2.9219770282175001E-2</v>
      </c>
      <c r="C72">
        <v>5.1713813262120399E-2</v>
      </c>
      <c r="D72">
        <v>3.6092988240003197E-2</v>
      </c>
      <c r="E72" t="s">
        <v>1627</v>
      </c>
      <c r="F72" t="s">
        <v>1557</v>
      </c>
      <c r="G72">
        <v>42.072000000000003</v>
      </c>
      <c r="H72">
        <v>1.2685040317727899E-2</v>
      </c>
      <c r="I72">
        <v>50.198</v>
      </c>
      <c r="J72">
        <v>8.9036277761027592E-3</v>
      </c>
      <c r="K72" t="s">
        <v>1098</v>
      </c>
      <c r="L72" t="s">
        <v>1028</v>
      </c>
    </row>
    <row r="73" spans="1:12" x14ac:dyDescent="0.3">
      <c r="A73">
        <v>3.5013174112648898E-2</v>
      </c>
      <c r="B73">
        <v>8.3996255435596599E-3</v>
      </c>
      <c r="C73">
        <v>2.4659104438458999E-2</v>
      </c>
      <c r="D73">
        <v>2.13651369698558E-2</v>
      </c>
      <c r="E73" t="s">
        <v>1628</v>
      </c>
      <c r="F73" t="s">
        <v>1557</v>
      </c>
      <c r="G73">
        <v>42.329000000000001</v>
      </c>
      <c r="H73">
        <v>6.1085757748620103E-3</v>
      </c>
      <c r="I73">
        <v>50.463999999999999</v>
      </c>
      <c r="J73">
        <v>5.29901589704762E-3</v>
      </c>
      <c r="K73" t="s">
        <v>1099</v>
      </c>
      <c r="L73" t="s">
        <v>1028</v>
      </c>
    </row>
    <row r="74" spans="1:12" x14ac:dyDescent="0.3">
      <c r="A74">
        <v>3.19577361885768E-2</v>
      </c>
      <c r="B74">
        <v>5.5666299963321703E-2</v>
      </c>
      <c r="C74">
        <v>1.7884305064996799E-2</v>
      </c>
      <c r="D74">
        <v>3.2571809116936898E-2</v>
      </c>
      <c r="E74" t="s">
        <v>1629</v>
      </c>
      <c r="F74" t="s">
        <v>1557</v>
      </c>
      <c r="G74">
        <v>42.517000000000003</v>
      </c>
      <c r="H74">
        <v>4.4413995133361101E-3</v>
      </c>
      <c r="I74">
        <v>50.87</v>
      </c>
      <c r="J74">
        <v>8.0453392517438899E-3</v>
      </c>
      <c r="K74" t="s">
        <v>1100</v>
      </c>
      <c r="L74" t="s">
        <v>1028</v>
      </c>
    </row>
    <row r="75" spans="1:12" x14ac:dyDescent="0.3">
      <c r="A75">
        <v>4.4899260052234199E-2</v>
      </c>
      <c r="B75">
        <v>3.99278081765242E-2</v>
      </c>
      <c r="C75">
        <v>4.3789897152202203E-2</v>
      </c>
      <c r="D75">
        <v>2.2279292577718199E-2</v>
      </c>
      <c r="E75" t="s">
        <v>1630</v>
      </c>
      <c r="F75" t="s">
        <v>1557</v>
      </c>
      <c r="G75">
        <v>42.975000000000001</v>
      </c>
      <c r="H75">
        <v>1.0772161723545901E-2</v>
      </c>
      <c r="I75">
        <v>51.151000000000003</v>
      </c>
      <c r="J75">
        <v>5.5238844112444098E-3</v>
      </c>
      <c r="K75" t="s">
        <v>1101</v>
      </c>
      <c r="L75" t="s">
        <v>1028</v>
      </c>
    </row>
    <row r="76" spans="1:12" x14ac:dyDescent="0.3">
      <c r="A76">
        <v>5.0215068802573502E-2</v>
      </c>
      <c r="B76">
        <v>2.3053377277420399E-2</v>
      </c>
      <c r="C76">
        <v>3.6032445200426998E-2</v>
      </c>
      <c r="D76">
        <v>2.6056753006691701E-2</v>
      </c>
      <c r="E76" t="s">
        <v>1631</v>
      </c>
      <c r="F76" t="s">
        <v>1557</v>
      </c>
      <c r="G76">
        <v>43.356999999999999</v>
      </c>
      <c r="H76">
        <v>8.8888888888889496E-3</v>
      </c>
      <c r="I76">
        <v>51.481000000000002</v>
      </c>
      <c r="J76">
        <v>6.45148677445206E-3</v>
      </c>
      <c r="K76" t="s">
        <v>1102</v>
      </c>
      <c r="L76" t="s">
        <v>1028</v>
      </c>
    </row>
    <row r="77" spans="1:12" x14ac:dyDescent="0.3">
      <c r="A77">
        <v>4.1025346631292002E-2</v>
      </c>
      <c r="B77">
        <v>3.2561998713341901E-2</v>
      </c>
      <c r="C77">
        <v>5.2865449677459202E-2</v>
      </c>
      <c r="D77">
        <v>2.13020937510979E-2</v>
      </c>
      <c r="E77" t="s">
        <v>1632</v>
      </c>
      <c r="F77" t="s">
        <v>1557</v>
      </c>
      <c r="G77">
        <v>43.918999999999997</v>
      </c>
      <c r="H77">
        <v>1.29621514403671E-2</v>
      </c>
      <c r="I77">
        <v>51.753</v>
      </c>
      <c r="J77">
        <v>5.2835026514637101E-3</v>
      </c>
      <c r="K77" t="s">
        <v>1103</v>
      </c>
      <c r="L77" t="s">
        <v>1028</v>
      </c>
    </row>
    <row r="78" spans="1:12" x14ac:dyDescent="0.3">
      <c r="A78">
        <v>4.6770164599538401E-2</v>
      </c>
      <c r="B78">
        <v>3.00519488200592E-2</v>
      </c>
      <c r="C78">
        <v>6.2050852369377699E-2</v>
      </c>
      <c r="D78">
        <v>1.9463013158635498E-2</v>
      </c>
      <c r="E78" t="s">
        <v>1633</v>
      </c>
      <c r="F78" t="s">
        <v>1557</v>
      </c>
      <c r="G78">
        <v>44.585000000000001</v>
      </c>
      <c r="H78">
        <v>1.5164279696714401E-2</v>
      </c>
      <c r="I78">
        <v>52.003</v>
      </c>
      <c r="J78">
        <v>4.8306378374200999E-3</v>
      </c>
      <c r="K78" t="s">
        <v>1104</v>
      </c>
      <c r="L78" t="s">
        <v>1028</v>
      </c>
    </row>
    <row r="79" spans="1:12" x14ac:dyDescent="0.3">
      <c r="A79">
        <v>5.4994617531312101E-2</v>
      </c>
      <c r="B79">
        <v>2.9679316947533299E-2</v>
      </c>
      <c r="C79">
        <v>6.0821876360983101E-2</v>
      </c>
      <c r="D79">
        <v>3.2856918868300999E-2</v>
      </c>
      <c r="E79" t="s">
        <v>1634</v>
      </c>
      <c r="F79" t="s">
        <v>1557</v>
      </c>
      <c r="G79">
        <v>45.247999999999998</v>
      </c>
      <c r="H79">
        <v>1.48704721318829E-2</v>
      </c>
      <c r="I79">
        <v>52.424999999999997</v>
      </c>
      <c r="J79">
        <v>8.1149164471279196E-3</v>
      </c>
      <c r="K79" t="s">
        <v>1105</v>
      </c>
      <c r="L79" t="s">
        <v>1028</v>
      </c>
    </row>
    <row r="80" spans="1:12" x14ac:dyDescent="0.3">
      <c r="A80">
        <v>2.3822978628153201E-2</v>
      </c>
      <c r="B80">
        <v>2.0057150963272801E-2</v>
      </c>
      <c r="C80">
        <v>3.9922896172757301E-2</v>
      </c>
      <c r="D80">
        <v>3.0012482573731999E-2</v>
      </c>
      <c r="E80" t="s">
        <v>1635</v>
      </c>
      <c r="F80" t="s">
        <v>1557</v>
      </c>
      <c r="G80">
        <v>45.692999999999998</v>
      </c>
      <c r="H80">
        <v>9.8346888260254506E-3</v>
      </c>
      <c r="I80">
        <v>52.814</v>
      </c>
      <c r="J80">
        <v>7.4201239866476002E-3</v>
      </c>
      <c r="K80" t="s">
        <v>1106</v>
      </c>
      <c r="L80" t="s">
        <v>1028</v>
      </c>
    </row>
    <row r="81" spans="1:12" x14ac:dyDescent="0.3">
      <c r="A81">
        <v>3.1803231650019199E-2</v>
      </c>
      <c r="B81">
        <v>1.4432124176051201E-2</v>
      </c>
      <c r="C81">
        <v>6.0046453160524503E-2</v>
      </c>
      <c r="D81">
        <v>2.2222434897181301E-2</v>
      </c>
      <c r="E81" t="s">
        <v>1636</v>
      </c>
      <c r="F81" t="s">
        <v>1557</v>
      </c>
      <c r="G81">
        <v>46.363999999999997</v>
      </c>
      <c r="H81">
        <v>1.46849626857506E-2</v>
      </c>
      <c r="I81">
        <v>53.104999999999997</v>
      </c>
      <c r="J81">
        <v>5.5099026773204303E-3</v>
      </c>
      <c r="K81" t="s">
        <v>1107</v>
      </c>
      <c r="L81" t="s">
        <v>1028</v>
      </c>
    </row>
    <row r="82" spans="1:12" x14ac:dyDescent="0.3">
      <c r="A82">
        <v>5.92740793130948E-2</v>
      </c>
      <c r="B82">
        <v>2.8330647899498702E-2</v>
      </c>
      <c r="C82">
        <v>6.4935137330784501E-2</v>
      </c>
      <c r="D82">
        <v>2.9085137772108E-2</v>
      </c>
      <c r="E82" t="s">
        <v>1637</v>
      </c>
      <c r="F82" t="s">
        <v>1557</v>
      </c>
      <c r="G82">
        <v>47.098999999999997</v>
      </c>
      <c r="H82">
        <v>1.5852816840652199E-2</v>
      </c>
      <c r="I82">
        <v>53.487000000000002</v>
      </c>
      <c r="J82">
        <v>7.1932962997835999E-3</v>
      </c>
      <c r="K82" t="s">
        <v>1108</v>
      </c>
      <c r="L82" t="s">
        <v>1028</v>
      </c>
    </row>
    <row r="83" spans="1:12" x14ac:dyDescent="0.3">
      <c r="A83">
        <v>3.6833081072387398E-2</v>
      </c>
      <c r="B83">
        <v>7.0464261662823505E-2</v>
      </c>
      <c r="C83">
        <v>4.34077415784246E-2</v>
      </c>
      <c r="D83">
        <v>3.5768290293157798E-2</v>
      </c>
      <c r="E83" t="s">
        <v>1638</v>
      </c>
      <c r="F83" t="s">
        <v>1557</v>
      </c>
      <c r="G83">
        <v>47.601999999999997</v>
      </c>
      <c r="H83">
        <v>1.0679632263954599E-2</v>
      </c>
      <c r="I83">
        <v>53.959000000000003</v>
      </c>
      <c r="J83">
        <v>8.8245741955990092E-3</v>
      </c>
      <c r="K83" t="s">
        <v>1109</v>
      </c>
      <c r="L83" t="s">
        <v>1028</v>
      </c>
    </row>
    <row r="84" spans="1:12" x14ac:dyDescent="0.3">
      <c r="A84">
        <v>5.1769155239957503E-2</v>
      </c>
      <c r="B84">
        <v>5.3870047588526803E-3</v>
      </c>
      <c r="C84">
        <v>5.9429132401131797E-2</v>
      </c>
      <c r="D84">
        <v>3.9413809912278698E-2</v>
      </c>
      <c r="E84" t="s">
        <v>1639</v>
      </c>
      <c r="F84" t="s">
        <v>1557</v>
      </c>
      <c r="G84">
        <v>48.293999999999997</v>
      </c>
      <c r="H84">
        <v>1.4537204319146299E-2</v>
      </c>
      <c r="I84">
        <v>54.482999999999997</v>
      </c>
      <c r="J84">
        <v>9.7110769287791499E-3</v>
      </c>
      <c r="K84" t="s">
        <v>1110</v>
      </c>
      <c r="L84" t="s">
        <v>1028</v>
      </c>
    </row>
    <row r="85" spans="1:12" x14ac:dyDescent="0.3">
      <c r="A85">
        <v>5.3985249536158401E-2</v>
      </c>
      <c r="B85">
        <v>4.8480456964960797E-2</v>
      </c>
      <c r="C85">
        <v>7.7879333039596599E-2</v>
      </c>
      <c r="D85">
        <v>1.0688095589023601E-2</v>
      </c>
      <c r="E85" t="s">
        <v>1640</v>
      </c>
      <c r="F85" t="s">
        <v>1557</v>
      </c>
      <c r="G85">
        <v>49.207999999999998</v>
      </c>
      <c r="H85">
        <v>1.8925746469540702E-2</v>
      </c>
      <c r="I85">
        <v>54.628</v>
      </c>
      <c r="J85">
        <v>2.66138061413668E-3</v>
      </c>
      <c r="K85" t="s">
        <v>1111</v>
      </c>
      <c r="L85" t="s">
        <v>1028</v>
      </c>
    </row>
    <row r="86" spans="1:12" x14ac:dyDescent="0.3">
      <c r="A86">
        <v>2.1158982786186002E-2</v>
      </c>
      <c r="B86">
        <v>3.6386290478485302E-2</v>
      </c>
      <c r="C86">
        <v>1.91574066493869E-2</v>
      </c>
      <c r="D86">
        <v>7.9315148019272197E-3</v>
      </c>
      <c r="E86" t="s">
        <v>1641</v>
      </c>
      <c r="F86" t="s">
        <v>1557</v>
      </c>
      <c r="G86">
        <v>49.442</v>
      </c>
      <c r="H86">
        <v>4.7553243375060301E-3</v>
      </c>
      <c r="I86">
        <v>54.735999999999997</v>
      </c>
      <c r="J86">
        <v>1.9770081276999601E-3</v>
      </c>
      <c r="K86" t="s">
        <v>1112</v>
      </c>
      <c r="L86" t="s">
        <v>1028</v>
      </c>
    </row>
    <row r="87" spans="1:12" x14ac:dyDescent="0.3">
      <c r="A87">
        <v>2.2052154501282398E-2</v>
      </c>
      <c r="B87">
        <v>1.9883287825612099E-2</v>
      </c>
      <c r="C87">
        <v>2.5316754451185201E-2</v>
      </c>
      <c r="D87">
        <v>2.0767815828135701E-2</v>
      </c>
      <c r="E87" t="s">
        <v>1642</v>
      </c>
      <c r="F87" t="s">
        <v>1557</v>
      </c>
      <c r="G87">
        <v>49.752000000000002</v>
      </c>
      <c r="H87">
        <v>6.2699728975366097E-3</v>
      </c>
      <c r="I87">
        <v>55.018000000000001</v>
      </c>
      <c r="J87">
        <v>5.1520023384976597E-3</v>
      </c>
      <c r="K87" t="s">
        <v>1113</v>
      </c>
      <c r="L87" t="s">
        <v>1028</v>
      </c>
    </row>
    <row r="88" spans="1:12" x14ac:dyDescent="0.3">
      <c r="A88">
        <v>2.7438615126695699E-2</v>
      </c>
      <c r="B88">
        <v>5.2374465161812503E-2</v>
      </c>
      <c r="C88">
        <v>3.8739820782161899E-2</v>
      </c>
      <c r="D88">
        <v>1.0657034721188501E-2</v>
      </c>
      <c r="E88" t="s">
        <v>1643</v>
      </c>
      <c r="F88" t="s">
        <v>1557</v>
      </c>
      <c r="G88">
        <v>50.226999999999997</v>
      </c>
      <c r="H88">
        <v>9.5473548802056402E-3</v>
      </c>
      <c r="I88">
        <v>55.164000000000001</v>
      </c>
      <c r="J88">
        <v>2.6536769784435399E-3</v>
      </c>
      <c r="K88" t="s">
        <v>1114</v>
      </c>
      <c r="L88" t="s">
        <v>1028</v>
      </c>
    </row>
    <row r="89" spans="1:12" x14ac:dyDescent="0.3">
      <c r="A89">
        <v>2.9370792816648401E-2</v>
      </c>
      <c r="B89">
        <v>4.1076934031538899E-2</v>
      </c>
      <c r="C89">
        <v>4.6254885206873202E-2</v>
      </c>
      <c r="D89">
        <v>-9.9690396175571294E-3</v>
      </c>
      <c r="E89" t="s">
        <v>1644</v>
      </c>
      <c r="F89" t="s">
        <v>1557</v>
      </c>
      <c r="G89">
        <v>50.798000000000002</v>
      </c>
      <c r="H89">
        <v>1.13683875206563E-2</v>
      </c>
      <c r="I89">
        <v>55.026000000000003</v>
      </c>
      <c r="J89">
        <v>-2.5016314988035599E-3</v>
      </c>
      <c r="K89" t="s">
        <v>1115</v>
      </c>
      <c r="L89" t="s">
        <v>1028</v>
      </c>
    </row>
    <row r="90" spans="1:12" x14ac:dyDescent="0.3">
      <c r="A90">
        <v>2.5261592124571599E-2</v>
      </c>
      <c r="B90">
        <v>5.8581566563336001E-3</v>
      </c>
      <c r="C90">
        <v>3.8335869645315497E-2</v>
      </c>
      <c r="D90">
        <v>-1.04267601108922E-2</v>
      </c>
      <c r="E90" t="s">
        <v>1645</v>
      </c>
      <c r="F90" t="s">
        <v>1557</v>
      </c>
      <c r="G90">
        <v>51.277999999999999</v>
      </c>
      <c r="H90">
        <v>9.4491909130280903E-3</v>
      </c>
      <c r="I90">
        <v>54.881999999999998</v>
      </c>
      <c r="J90">
        <v>-2.61694471704299E-3</v>
      </c>
      <c r="K90" t="s">
        <v>1116</v>
      </c>
      <c r="L90" t="s">
        <v>1028</v>
      </c>
    </row>
    <row r="91" spans="1:12" x14ac:dyDescent="0.3">
      <c r="A91">
        <v>2.6883329197386899E-2</v>
      </c>
      <c r="B91">
        <v>1.4672046081608801E-2</v>
      </c>
      <c r="C91">
        <v>5.5488923116520997E-2</v>
      </c>
      <c r="D91">
        <v>1.90848323659343E-2</v>
      </c>
      <c r="E91" t="s">
        <v>1646</v>
      </c>
      <c r="F91" t="s">
        <v>1557</v>
      </c>
      <c r="G91">
        <v>51.975000000000001</v>
      </c>
      <c r="H91">
        <v>1.35925738133313E-2</v>
      </c>
      <c r="I91">
        <v>55.142000000000003</v>
      </c>
      <c r="J91">
        <v>4.7374366823367299E-3</v>
      </c>
      <c r="K91" t="s">
        <v>1117</v>
      </c>
      <c r="L91" t="s">
        <v>1028</v>
      </c>
    </row>
    <row r="92" spans="1:12" x14ac:dyDescent="0.3">
      <c r="A92">
        <v>2.57889573012124E-2</v>
      </c>
      <c r="B92">
        <v>3.5352763805176303E-2</v>
      </c>
      <c r="C92">
        <v>3.4689577494526398E-2</v>
      </c>
      <c r="D92">
        <v>8.1492648352745594E-3</v>
      </c>
      <c r="E92" t="s">
        <v>1647</v>
      </c>
      <c r="F92" t="s">
        <v>1557</v>
      </c>
      <c r="G92">
        <v>52.42</v>
      </c>
      <c r="H92">
        <v>8.5618085618086592E-3</v>
      </c>
      <c r="I92">
        <v>55.253999999999998</v>
      </c>
      <c r="J92">
        <v>2.03111965470959E-3</v>
      </c>
      <c r="K92" t="s">
        <v>1118</v>
      </c>
      <c r="L92" t="s">
        <v>1028</v>
      </c>
    </row>
    <row r="93" spans="1:12" x14ac:dyDescent="0.3">
      <c r="A93">
        <v>2.8170464275272301E-2</v>
      </c>
      <c r="B93">
        <v>2.5395981622951001E-2</v>
      </c>
      <c r="C93">
        <v>2.9547347848341E-2</v>
      </c>
      <c r="D93">
        <v>1.8368205985927599E-2</v>
      </c>
      <c r="E93" t="s">
        <v>1648</v>
      </c>
      <c r="F93" t="s">
        <v>1557</v>
      </c>
      <c r="G93">
        <v>52.802999999999997</v>
      </c>
      <c r="H93">
        <v>7.3063716138877001E-3</v>
      </c>
      <c r="I93">
        <v>55.506</v>
      </c>
      <c r="J93">
        <v>4.5607557823867896E-3</v>
      </c>
      <c r="K93" t="s">
        <v>1119</v>
      </c>
      <c r="L93" t="s">
        <v>1028</v>
      </c>
    </row>
    <row r="94" spans="1:12" x14ac:dyDescent="0.3">
      <c r="A94">
        <v>2.40619409805858E-2</v>
      </c>
      <c r="B94">
        <v>9.9983702538513092E-3</v>
      </c>
      <c r="C94">
        <v>2.2073085991106502E-2</v>
      </c>
      <c r="D94">
        <v>3.0096377482488099E-2</v>
      </c>
      <c r="E94" t="s">
        <v>1649</v>
      </c>
      <c r="F94" t="s">
        <v>1557</v>
      </c>
      <c r="G94">
        <v>53.091999999999999</v>
      </c>
      <c r="H94">
        <v>5.4731738726967504E-3</v>
      </c>
      <c r="I94">
        <v>55.918999999999997</v>
      </c>
      <c r="J94">
        <v>7.4406370482469298E-3</v>
      </c>
      <c r="K94" t="s">
        <v>1120</v>
      </c>
      <c r="L94" t="s">
        <v>1028</v>
      </c>
    </row>
    <row r="95" spans="1:12" x14ac:dyDescent="0.3">
      <c r="A95">
        <v>2.70873737268695E-2</v>
      </c>
      <c r="B95">
        <v>1.7716185249098602E-2</v>
      </c>
      <c r="C95">
        <v>2.3867747826854101E-2</v>
      </c>
      <c r="D95">
        <v>2.3524161594785199E-2</v>
      </c>
      <c r="E95" t="s">
        <v>1650</v>
      </c>
      <c r="F95" t="s">
        <v>1557</v>
      </c>
      <c r="G95">
        <v>53.405999999999999</v>
      </c>
      <c r="H95">
        <v>5.91426203571155E-3</v>
      </c>
      <c r="I95">
        <v>56.244999999999997</v>
      </c>
      <c r="J95">
        <v>5.8298610490172802E-3</v>
      </c>
      <c r="K95" t="s">
        <v>1121</v>
      </c>
      <c r="L95" t="s">
        <v>1028</v>
      </c>
    </row>
    <row r="96" spans="1:12" x14ac:dyDescent="0.3">
      <c r="A96">
        <v>1.7542540867755401E-2</v>
      </c>
      <c r="B96">
        <v>2.9283418694515902E-2</v>
      </c>
      <c r="C96">
        <v>1.3096071782226999E-2</v>
      </c>
      <c r="D96">
        <v>4.0598599880798903E-3</v>
      </c>
      <c r="E96" t="s">
        <v>1651</v>
      </c>
      <c r="F96" t="s">
        <v>1557</v>
      </c>
      <c r="G96">
        <v>53.58</v>
      </c>
      <c r="H96">
        <v>3.2580608920345102E-3</v>
      </c>
      <c r="I96">
        <v>56.302</v>
      </c>
      <c r="J96">
        <v>1.01342341541466E-3</v>
      </c>
      <c r="K96" t="s">
        <v>1122</v>
      </c>
      <c r="L96" t="s">
        <v>1028</v>
      </c>
    </row>
    <row r="97" spans="1:12" x14ac:dyDescent="0.3">
      <c r="A97">
        <v>2.3240038949048102E-2</v>
      </c>
      <c r="B97">
        <v>3.6370296177081797E-2</v>
      </c>
      <c r="C97">
        <v>2.0612838101556001E-2</v>
      </c>
      <c r="D97">
        <v>1.8816279960193898E-2</v>
      </c>
      <c r="E97" t="s">
        <v>1652</v>
      </c>
      <c r="F97" t="s">
        <v>1557</v>
      </c>
      <c r="G97">
        <v>53.853999999999999</v>
      </c>
      <c r="H97">
        <v>5.1138484509145599E-3</v>
      </c>
      <c r="I97">
        <v>56.564999999999998</v>
      </c>
      <c r="J97">
        <v>4.6712372562254202E-3</v>
      </c>
      <c r="K97" t="s">
        <v>1123</v>
      </c>
      <c r="L97" t="s">
        <v>1028</v>
      </c>
    </row>
    <row r="98" spans="1:12" x14ac:dyDescent="0.3">
      <c r="A98">
        <v>1.4387423449919501E-2</v>
      </c>
      <c r="B98">
        <v>1.8449816517922799E-2</v>
      </c>
      <c r="C98">
        <v>3.3921123111567301E-2</v>
      </c>
      <c r="D98">
        <v>2.9526755688726598E-2</v>
      </c>
      <c r="E98" t="s">
        <v>1653</v>
      </c>
      <c r="F98" t="s">
        <v>1557</v>
      </c>
      <c r="G98">
        <v>54.305</v>
      </c>
      <c r="H98">
        <v>8.3744940023024999E-3</v>
      </c>
      <c r="I98">
        <v>56.978000000000002</v>
      </c>
      <c r="J98">
        <v>7.3013347476356101E-3</v>
      </c>
      <c r="K98" t="s">
        <v>1124</v>
      </c>
      <c r="L98" t="s">
        <v>1028</v>
      </c>
    </row>
    <row r="99" spans="1:12" x14ac:dyDescent="0.3">
      <c r="A99">
        <v>2.2496438657089599E-2</v>
      </c>
      <c r="B99">
        <v>3.3991498444716703E-2</v>
      </c>
      <c r="C99">
        <v>2.3479894269272002E-2</v>
      </c>
      <c r="D99">
        <v>1.7453105874537699E-2</v>
      </c>
      <c r="E99" t="s">
        <v>1654</v>
      </c>
      <c r="F99" t="s">
        <v>1557</v>
      </c>
      <c r="G99">
        <v>54.621000000000002</v>
      </c>
      <c r="H99">
        <v>5.8189853604639899E-3</v>
      </c>
      <c r="I99">
        <v>57.225000000000001</v>
      </c>
      <c r="J99">
        <v>4.3350064937344203E-3</v>
      </c>
      <c r="K99" t="s">
        <v>1125</v>
      </c>
      <c r="L99" t="s">
        <v>1028</v>
      </c>
    </row>
    <row r="100" spans="1:12" x14ac:dyDescent="0.3">
      <c r="A100">
        <v>2.90726218207682E-2</v>
      </c>
      <c r="B100">
        <v>2.3185974053502999E-2</v>
      </c>
      <c r="C100">
        <v>3.5391871305663798E-2</v>
      </c>
      <c r="D100">
        <v>3.5482240520336501E-2</v>
      </c>
      <c r="E100" t="s">
        <v>1655</v>
      </c>
      <c r="F100" t="s">
        <v>1557</v>
      </c>
      <c r="G100">
        <v>55.097999999999999</v>
      </c>
      <c r="H100">
        <v>8.7329049266764401E-3</v>
      </c>
      <c r="I100">
        <v>57.725999999999999</v>
      </c>
      <c r="J100">
        <v>8.7549148099605994E-3</v>
      </c>
      <c r="K100" t="s">
        <v>1126</v>
      </c>
      <c r="L100" t="s">
        <v>1028</v>
      </c>
    </row>
    <row r="101" spans="1:12" x14ac:dyDescent="0.3">
      <c r="A101">
        <v>1.88663260541506E-2</v>
      </c>
      <c r="B101">
        <v>3.3254108726641599E-2</v>
      </c>
      <c r="C101">
        <v>3.4634574022881899E-2</v>
      </c>
      <c r="D101">
        <v>3.3748767658719397E-2</v>
      </c>
      <c r="E101" t="s">
        <v>1656</v>
      </c>
      <c r="F101" t="s">
        <v>1557</v>
      </c>
      <c r="G101">
        <v>55.569000000000003</v>
      </c>
      <c r="H101">
        <v>8.5484046607862095E-3</v>
      </c>
      <c r="I101">
        <v>58.207000000000001</v>
      </c>
      <c r="J101">
        <v>8.3324671725046907E-3</v>
      </c>
      <c r="K101" t="s">
        <v>1127</v>
      </c>
      <c r="L101" t="s">
        <v>1028</v>
      </c>
    </row>
    <row r="102" spans="1:12" x14ac:dyDescent="0.3">
      <c r="A102">
        <v>1.9752209109685798E-2</v>
      </c>
      <c r="B102">
        <v>3.4122786590531799E-2</v>
      </c>
      <c r="C102">
        <v>1.8555272424330301E-2</v>
      </c>
      <c r="D102">
        <v>4.0528253340275301E-2</v>
      </c>
      <c r="E102" t="s">
        <v>1657</v>
      </c>
      <c r="F102" t="s">
        <v>1557</v>
      </c>
      <c r="G102">
        <v>55.825000000000003</v>
      </c>
      <c r="H102">
        <v>4.6068851337977001E-3</v>
      </c>
      <c r="I102">
        <v>58.787999999999997</v>
      </c>
      <c r="J102">
        <v>9.9816173312487991E-3</v>
      </c>
      <c r="K102" t="s">
        <v>1128</v>
      </c>
      <c r="L102" t="s">
        <v>1028</v>
      </c>
    </row>
    <row r="103" spans="1:12" x14ac:dyDescent="0.3">
      <c r="A103">
        <v>2.3426148348960799E-2</v>
      </c>
      <c r="B103">
        <v>2.6924495262994098E-2</v>
      </c>
      <c r="C103">
        <v>3.10950653969519E-2</v>
      </c>
      <c r="D103">
        <v>2.8884969324625399E-2</v>
      </c>
      <c r="E103" t="s">
        <v>1658</v>
      </c>
      <c r="F103" t="s">
        <v>1557</v>
      </c>
      <c r="G103">
        <v>56.253999999999998</v>
      </c>
      <c r="H103">
        <v>7.6847290640393896E-3</v>
      </c>
      <c r="I103">
        <v>59.207999999999998</v>
      </c>
      <c r="J103">
        <v>7.1443151663605998E-3</v>
      </c>
      <c r="K103" t="s">
        <v>1129</v>
      </c>
      <c r="L103" t="s">
        <v>1028</v>
      </c>
    </row>
    <row r="104" spans="1:12" x14ac:dyDescent="0.3">
      <c r="A104">
        <v>1.6481276503132601E-2</v>
      </c>
      <c r="B104">
        <v>2.0844963333619401E-2</v>
      </c>
      <c r="C104">
        <v>1.5303746558651399E-2</v>
      </c>
      <c r="D104">
        <v>2.2275298720186399E-2</v>
      </c>
      <c r="E104" t="s">
        <v>1659</v>
      </c>
      <c r="F104" t="s">
        <v>1557</v>
      </c>
      <c r="G104">
        <v>56.468000000000004</v>
      </c>
      <c r="H104">
        <v>3.8041739254097702E-3</v>
      </c>
      <c r="I104">
        <v>59.534999999999997</v>
      </c>
      <c r="J104">
        <v>5.5229023104985701E-3</v>
      </c>
      <c r="K104" t="s">
        <v>1130</v>
      </c>
      <c r="L104" t="s">
        <v>1028</v>
      </c>
    </row>
    <row r="105" spans="1:12" x14ac:dyDescent="0.3">
      <c r="A105">
        <v>1.77105887350755E-2</v>
      </c>
      <c r="B105">
        <v>5.6392491810183902E-2</v>
      </c>
      <c r="C105">
        <v>1.3670147091618101E-2</v>
      </c>
      <c r="D105">
        <v>2.3245190160411201E-2</v>
      </c>
      <c r="E105" t="s">
        <v>1660</v>
      </c>
      <c r="F105" t="s">
        <v>1557</v>
      </c>
      <c r="G105">
        <v>56.66</v>
      </c>
      <c r="H105">
        <v>3.4001558404759299E-3</v>
      </c>
      <c r="I105">
        <v>59.878</v>
      </c>
      <c r="J105">
        <v>5.7613168724279804E-3</v>
      </c>
      <c r="K105" t="s">
        <v>1131</v>
      </c>
      <c r="L105" t="s">
        <v>1028</v>
      </c>
    </row>
    <row r="106" spans="1:12" x14ac:dyDescent="0.3">
      <c r="A106">
        <v>2.24149830534284E-2</v>
      </c>
      <c r="B106">
        <v>9.43340099661172E-3</v>
      </c>
      <c r="C106">
        <v>4.4785324127958097E-2</v>
      </c>
      <c r="D106">
        <v>2.1616654614663E-2</v>
      </c>
      <c r="E106" t="s">
        <v>1661</v>
      </c>
      <c r="F106" t="s">
        <v>1557</v>
      </c>
      <c r="G106">
        <v>57.283999999999999</v>
      </c>
      <c r="H106">
        <v>1.1013060360042499E-2</v>
      </c>
      <c r="I106">
        <v>60.198999999999998</v>
      </c>
      <c r="J106">
        <v>5.3609004976786804E-3</v>
      </c>
      <c r="K106" t="s">
        <v>1132</v>
      </c>
      <c r="L106" t="s">
        <v>1028</v>
      </c>
    </row>
    <row r="107" spans="1:12" x14ac:dyDescent="0.3">
      <c r="A107">
        <v>2.7006131410312901E-2</v>
      </c>
      <c r="B107">
        <v>-2.1272525988481301E-2</v>
      </c>
      <c r="C107">
        <v>5.7381634098421204E-3</v>
      </c>
      <c r="D107">
        <v>4.4593389946305803E-3</v>
      </c>
      <c r="E107" t="s">
        <v>1662</v>
      </c>
      <c r="F107" t="s">
        <v>1557</v>
      </c>
      <c r="G107">
        <v>57.366</v>
      </c>
      <c r="H107">
        <v>1.4314642832204999E-3</v>
      </c>
      <c r="I107">
        <v>60.265999999999998</v>
      </c>
      <c r="J107">
        <v>1.1129752985929999E-3</v>
      </c>
      <c r="K107" t="s">
        <v>1133</v>
      </c>
      <c r="L107" t="s">
        <v>1028</v>
      </c>
    </row>
    <row r="108" spans="1:12" x14ac:dyDescent="0.3">
      <c r="A108">
        <v>1.7195373350960198E-2</v>
      </c>
      <c r="B108">
        <v>2.3444846886997699E-2</v>
      </c>
      <c r="C108">
        <v>2.6760970425558899E-2</v>
      </c>
      <c r="D108">
        <v>1.9993530620905801E-2</v>
      </c>
      <c r="E108" t="s">
        <v>1663</v>
      </c>
      <c r="F108" t="s">
        <v>1557</v>
      </c>
      <c r="G108">
        <v>57.746000000000002</v>
      </c>
      <c r="H108">
        <v>6.62413276156615E-3</v>
      </c>
      <c r="I108">
        <v>60.564999999999998</v>
      </c>
      <c r="J108">
        <v>4.9613380678989998E-3</v>
      </c>
      <c r="K108" t="s">
        <v>1134</v>
      </c>
      <c r="L108" t="s">
        <v>1028</v>
      </c>
    </row>
    <row r="109" spans="1:12" x14ac:dyDescent="0.3">
      <c r="A109">
        <v>2.7544322225657499E-2</v>
      </c>
      <c r="B109">
        <v>1.3803868113502E-2</v>
      </c>
      <c r="C109">
        <v>3.2814056779429501E-2</v>
      </c>
      <c r="D109">
        <v>1.3007743413415899E-2</v>
      </c>
      <c r="E109" t="s">
        <v>1664</v>
      </c>
      <c r="F109" t="s">
        <v>1557</v>
      </c>
      <c r="G109">
        <v>58.213999999999999</v>
      </c>
      <c r="H109">
        <v>8.1044574515982699E-3</v>
      </c>
      <c r="I109">
        <v>60.761000000000003</v>
      </c>
      <c r="J109">
        <v>3.2361925204327201E-3</v>
      </c>
      <c r="K109" t="s">
        <v>1135</v>
      </c>
      <c r="L109" t="s">
        <v>1028</v>
      </c>
    </row>
    <row r="110" spans="1:12" x14ac:dyDescent="0.3">
      <c r="A110">
        <v>1.7773223680601899E-2</v>
      </c>
      <c r="B110">
        <v>1.36962800731413E-2</v>
      </c>
      <c r="C110">
        <v>2.76992412803541E-2</v>
      </c>
      <c r="D110">
        <v>2.2772194889475902E-2</v>
      </c>
      <c r="E110" t="s">
        <v>1665</v>
      </c>
      <c r="F110" t="s">
        <v>1557</v>
      </c>
      <c r="G110">
        <v>58.613</v>
      </c>
      <c r="H110">
        <v>6.8540213694301402E-3</v>
      </c>
      <c r="I110">
        <v>61.103999999999999</v>
      </c>
      <c r="J110">
        <v>5.6450683826796402E-3</v>
      </c>
      <c r="K110" t="s">
        <v>1136</v>
      </c>
      <c r="L110" t="s">
        <v>1028</v>
      </c>
    </row>
    <row r="111" spans="1:12" x14ac:dyDescent="0.3">
      <c r="A111">
        <v>1.0067171002752701E-2</v>
      </c>
      <c r="B111">
        <v>2.65913479501769E-2</v>
      </c>
      <c r="C111">
        <v>9.5884799897107999E-3</v>
      </c>
      <c r="D111">
        <v>2.7578432526699701E-2</v>
      </c>
      <c r="E111" t="s">
        <v>1666</v>
      </c>
      <c r="F111" t="s">
        <v>1557</v>
      </c>
      <c r="G111">
        <v>58.753</v>
      </c>
      <c r="H111">
        <v>2.3885486154948698E-3</v>
      </c>
      <c r="I111">
        <v>61.521000000000001</v>
      </c>
      <c r="J111">
        <v>6.8244304791831301E-3</v>
      </c>
      <c r="K111" t="s">
        <v>1137</v>
      </c>
      <c r="L111" t="s">
        <v>1028</v>
      </c>
    </row>
    <row r="112" spans="1:12" x14ac:dyDescent="0.3">
      <c r="A112">
        <v>1.05839184448571E-2</v>
      </c>
      <c r="B112">
        <v>9.2223862003817398E-3</v>
      </c>
      <c r="C112">
        <v>1.9268623425193102E-2</v>
      </c>
      <c r="D112">
        <v>1.0181522541022199E-2</v>
      </c>
      <c r="E112" t="s">
        <v>1667</v>
      </c>
      <c r="F112" t="s">
        <v>1557</v>
      </c>
      <c r="G112">
        <v>59.033999999999999</v>
      </c>
      <c r="H112">
        <v>4.7827344986639498E-3</v>
      </c>
      <c r="I112">
        <v>61.677</v>
      </c>
      <c r="J112">
        <v>2.5357195104109801E-3</v>
      </c>
      <c r="K112" t="s">
        <v>1138</v>
      </c>
      <c r="L112" t="s">
        <v>1028</v>
      </c>
    </row>
    <row r="113" spans="1:12" x14ac:dyDescent="0.3">
      <c r="A113">
        <v>1.26121897911931E-2</v>
      </c>
      <c r="B113">
        <v>2.8333969394931401E-2</v>
      </c>
      <c r="C113">
        <v>3.3061309623051399E-2</v>
      </c>
      <c r="D113">
        <v>2.5996696664996499E-2</v>
      </c>
      <c r="E113" t="s">
        <v>1668</v>
      </c>
      <c r="F113" t="s">
        <v>1557</v>
      </c>
      <c r="G113">
        <v>59.515999999999998</v>
      </c>
      <c r="H113">
        <v>8.1647863942813093E-3</v>
      </c>
      <c r="I113">
        <v>62.073999999999998</v>
      </c>
      <c r="J113">
        <v>6.4367592457479396E-3</v>
      </c>
      <c r="K113" t="s">
        <v>1139</v>
      </c>
      <c r="L113" t="s">
        <v>1028</v>
      </c>
    </row>
    <row r="114" spans="1:12" x14ac:dyDescent="0.3">
      <c r="A114">
        <v>3.2090280398078302E-4</v>
      </c>
      <c r="B114">
        <v>-1.66473304304918E-2</v>
      </c>
      <c r="C114">
        <v>6.3326118015940604E-3</v>
      </c>
      <c r="D114">
        <v>1.3539104320199301E-3</v>
      </c>
      <c r="E114" t="s">
        <v>1669</v>
      </c>
      <c r="F114" t="s">
        <v>1557</v>
      </c>
      <c r="G114">
        <v>59.61</v>
      </c>
      <c r="H114">
        <v>1.57940721822714E-3</v>
      </c>
      <c r="I114">
        <v>62.094999999999999</v>
      </c>
      <c r="J114">
        <v>3.3830589296646201E-4</v>
      </c>
      <c r="K114" t="s">
        <v>1140</v>
      </c>
      <c r="L114" t="s">
        <v>1028</v>
      </c>
    </row>
    <row r="115" spans="1:12" x14ac:dyDescent="0.3">
      <c r="A115">
        <v>7.2384308298694099E-3</v>
      </c>
      <c r="B115">
        <v>2.5981704959145799E-2</v>
      </c>
      <c r="C115">
        <v>2.14418814289523E-2</v>
      </c>
      <c r="D115">
        <v>2.5146473935451202E-3</v>
      </c>
      <c r="E115" t="s">
        <v>1670</v>
      </c>
      <c r="F115" t="s">
        <v>1557</v>
      </c>
      <c r="G115">
        <v>59.927</v>
      </c>
      <c r="H115">
        <v>5.3178996812615099E-3</v>
      </c>
      <c r="I115">
        <v>62.134</v>
      </c>
      <c r="J115">
        <v>6.2806989290598004E-4</v>
      </c>
      <c r="K115" t="s">
        <v>1141</v>
      </c>
      <c r="L115" t="s">
        <v>1028</v>
      </c>
    </row>
    <row r="116" spans="1:12" x14ac:dyDescent="0.3">
      <c r="A116">
        <v>1.2387156771827E-2</v>
      </c>
      <c r="B116">
        <v>2.6407820145390601E-2</v>
      </c>
      <c r="C116">
        <v>3.1605845001569703E-2</v>
      </c>
      <c r="D116">
        <v>2.4885302644445099E-2</v>
      </c>
      <c r="E116" t="s">
        <v>1671</v>
      </c>
      <c r="F116" t="s">
        <v>1557</v>
      </c>
      <c r="G116">
        <v>60.395000000000003</v>
      </c>
      <c r="H116">
        <v>7.8095015602317498E-3</v>
      </c>
      <c r="I116">
        <v>62.517000000000003</v>
      </c>
      <c r="J116">
        <v>6.1640969517495802E-3</v>
      </c>
      <c r="K116" t="s">
        <v>1142</v>
      </c>
      <c r="L116" t="s">
        <v>1028</v>
      </c>
    </row>
    <row r="117" spans="1:12" x14ac:dyDescent="0.3">
      <c r="A117">
        <v>1.0631455336088899E-2</v>
      </c>
      <c r="B117">
        <v>1.29075602616771E-2</v>
      </c>
      <c r="C117">
        <v>3.6519198475668799E-2</v>
      </c>
      <c r="D117">
        <v>2.2777873103542599E-2</v>
      </c>
      <c r="E117" t="s">
        <v>1672</v>
      </c>
      <c r="F117" t="s">
        <v>1557</v>
      </c>
      <c r="G117">
        <v>60.939</v>
      </c>
      <c r="H117">
        <v>9.0073681596158899E-3</v>
      </c>
      <c r="I117">
        <v>62.87</v>
      </c>
      <c r="J117">
        <v>5.6464641617479704E-3</v>
      </c>
      <c r="K117" t="s">
        <v>1143</v>
      </c>
      <c r="L117" t="s">
        <v>1028</v>
      </c>
    </row>
    <row r="118" spans="1:12" x14ac:dyDescent="0.3">
      <c r="A118">
        <v>7.8778546175835001E-3</v>
      </c>
      <c r="B118">
        <v>1.19346323256166E-2</v>
      </c>
      <c r="C118">
        <v>3.4639204699016303E-2</v>
      </c>
      <c r="D118">
        <v>1.61297394114919E-2</v>
      </c>
      <c r="E118" t="s">
        <v>1673</v>
      </c>
      <c r="F118" t="s">
        <v>1557</v>
      </c>
      <c r="G118">
        <v>61.46</v>
      </c>
      <c r="H118">
        <v>8.5495331396971998E-3</v>
      </c>
      <c r="I118">
        <v>63.122</v>
      </c>
      <c r="J118">
        <v>4.0082710354700799E-3</v>
      </c>
      <c r="K118" t="s">
        <v>1144</v>
      </c>
      <c r="L118" t="s">
        <v>1028</v>
      </c>
    </row>
    <row r="119" spans="1:12" x14ac:dyDescent="0.3">
      <c r="A119">
        <v>2.2971603454798002E-2</v>
      </c>
      <c r="B119">
        <v>3.4068264295770097E-2</v>
      </c>
      <c r="C119">
        <v>6.1370356227924201E-2</v>
      </c>
      <c r="D119">
        <v>2.99883116478201E-2</v>
      </c>
      <c r="E119" t="s">
        <v>1674</v>
      </c>
      <c r="F119" t="s">
        <v>1557</v>
      </c>
      <c r="G119">
        <v>62.381999999999998</v>
      </c>
      <c r="H119">
        <v>1.5001627074519901E-2</v>
      </c>
      <c r="I119">
        <v>63.59</v>
      </c>
      <c r="J119">
        <v>7.4142137448116596E-3</v>
      </c>
      <c r="K119" t="s">
        <v>1145</v>
      </c>
      <c r="L119" t="s">
        <v>1028</v>
      </c>
    </row>
    <row r="120" spans="1:12" x14ac:dyDescent="0.3">
      <c r="A120">
        <v>2.21977740334749E-2</v>
      </c>
      <c r="B120">
        <v>3.6824162588046098E-2</v>
      </c>
      <c r="C120">
        <v>5.6562220210462498E-2</v>
      </c>
      <c r="D120">
        <v>1.6964868305367399E-2</v>
      </c>
      <c r="E120" t="s">
        <v>1675</v>
      </c>
      <c r="F120" t="s">
        <v>1557</v>
      </c>
      <c r="G120">
        <v>63.246000000000002</v>
      </c>
      <c r="H120">
        <v>1.3850149081466E-2</v>
      </c>
      <c r="I120">
        <v>63.857999999999997</v>
      </c>
      <c r="J120">
        <v>4.2144991350840898E-3</v>
      </c>
      <c r="K120" t="s">
        <v>1146</v>
      </c>
      <c r="L120" t="s">
        <v>1028</v>
      </c>
    </row>
    <row r="121" spans="1:12" x14ac:dyDescent="0.3">
      <c r="A121">
        <v>2.4473399596212499E-2</v>
      </c>
      <c r="B121">
        <v>5.00811045761866E-2</v>
      </c>
      <c r="C121">
        <v>4.9726482376824199E-2</v>
      </c>
      <c r="D121">
        <v>3.4513513517111301E-2</v>
      </c>
      <c r="E121" t="s">
        <v>1676</v>
      </c>
      <c r="F121" t="s">
        <v>1557</v>
      </c>
      <c r="G121">
        <v>64.018000000000001</v>
      </c>
      <c r="H121">
        <v>1.2206305537109099E-2</v>
      </c>
      <c r="I121">
        <v>64.402000000000001</v>
      </c>
      <c r="J121">
        <v>8.5189013122866104E-3</v>
      </c>
      <c r="K121" t="s">
        <v>1147</v>
      </c>
      <c r="L121" t="s">
        <v>1028</v>
      </c>
    </row>
    <row r="122" spans="1:12" x14ac:dyDescent="0.3">
      <c r="A122">
        <v>3.2886107964122897E-2</v>
      </c>
      <c r="B122">
        <v>3.9540884737924602E-2</v>
      </c>
      <c r="C122">
        <v>5.7040318663066601E-2</v>
      </c>
      <c r="D122">
        <v>3.2054289459933799E-2</v>
      </c>
      <c r="E122" t="s">
        <v>1677</v>
      </c>
      <c r="F122" t="s">
        <v>1557</v>
      </c>
      <c r="G122">
        <v>64.912000000000006</v>
      </c>
      <c r="H122">
        <v>1.3964822393701899E-2</v>
      </c>
      <c r="I122">
        <v>64.912000000000006</v>
      </c>
      <c r="J122">
        <v>7.9190087264371396E-3</v>
      </c>
      <c r="K122" t="s">
        <v>1148</v>
      </c>
      <c r="L122" t="s">
        <v>1028</v>
      </c>
    </row>
    <row r="123" spans="1:12" x14ac:dyDescent="0.3">
      <c r="A123">
        <v>1.9193585341739101E-2</v>
      </c>
      <c r="B123">
        <v>1.5459188057563401E-2</v>
      </c>
      <c r="C123">
        <v>4.2438786901308999E-2</v>
      </c>
      <c r="D123">
        <v>4.6322155050911397E-2</v>
      </c>
      <c r="E123" t="s">
        <v>1678</v>
      </c>
      <c r="F123" t="s">
        <v>1557</v>
      </c>
      <c r="G123">
        <v>65.59</v>
      </c>
      <c r="H123">
        <v>1.0444910032043399E-2</v>
      </c>
      <c r="I123">
        <v>65.650999999999996</v>
      </c>
      <c r="J123">
        <v>1.13846438254868E-2</v>
      </c>
      <c r="K123" t="s">
        <v>1149</v>
      </c>
      <c r="L123" t="s">
        <v>1028</v>
      </c>
    </row>
    <row r="124" spans="1:12" x14ac:dyDescent="0.3">
      <c r="A124">
        <v>2.6053548554263901E-2</v>
      </c>
      <c r="B124">
        <v>2.8949345820011199E-2</v>
      </c>
      <c r="C124">
        <v>4.7728620369875199E-2</v>
      </c>
      <c r="D124">
        <v>2.6457667912965801E-2</v>
      </c>
      <c r="E124" t="s">
        <v>1679</v>
      </c>
      <c r="F124" t="s">
        <v>1557</v>
      </c>
      <c r="G124">
        <v>66.358999999999995</v>
      </c>
      <c r="H124">
        <v>1.1724348223814501E-2</v>
      </c>
      <c r="I124">
        <v>66.081000000000003</v>
      </c>
      <c r="J124">
        <v>6.5497859895509202E-3</v>
      </c>
      <c r="K124" t="s">
        <v>1150</v>
      </c>
      <c r="L124" t="s">
        <v>1028</v>
      </c>
    </row>
    <row r="125" spans="1:12" x14ac:dyDescent="0.3">
      <c r="A125">
        <v>2.2816932316492001E-2</v>
      </c>
      <c r="B125">
        <v>1.82242710503548E-2</v>
      </c>
      <c r="C125">
        <v>5.7499642478727998E-2</v>
      </c>
      <c r="D125">
        <v>2.3755596803619598E-2</v>
      </c>
      <c r="E125" t="s">
        <v>1680</v>
      </c>
      <c r="F125" t="s">
        <v>1557</v>
      </c>
      <c r="G125">
        <v>67.293000000000006</v>
      </c>
      <c r="H125">
        <v>1.40749559215783E-2</v>
      </c>
      <c r="I125">
        <v>66.47</v>
      </c>
      <c r="J125">
        <v>5.8867147894250396E-3</v>
      </c>
      <c r="K125" t="s">
        <v>1151</v>
      </c>
      <c r="L125" t="s">
        <v>1028</v>
      </c>
    </row>
    <row r="126" spans="1:12" x14ac:dyDescent="0.3">
      <c r="A126">
        <v>2.9937016463394299E-2</v>
      </c>
      <c r="B126">
        <v>6.8223280329673397E-3</v>
      </c>
      <c r="C126">
        <v>5.4456520671492398E-2</v>
      </c>
      <c r="D126">
        <v>2.4902004743710501E-2</v>
      </c>
      <c r="E126" t="s">
        <v>1681</v>
      </c>
      <c r="F126" t="s">
        <v>1557</v>
      </c>
      <c r="G126">
        <v>68.191000000000003</v>
      </c>
      <c r="H126">
        <v>1.33446272272004E-2</v>
      </c>
      <c r="I126">
        <v>66.88</v>
      </c>
      <c r="J126">
        <v>6.16819617872721E-3</v>
      </c>
      <c r="K126" t="s">
        <v>1152</v>
      </c>
      <c r="L126" t="s">
        <v>1028</v>
      </c>
    </row>
    <row r="127" spans="1:12" x14ac:dyDescent="0.3">
      <c r="A127">
        <v>1.8884884410707199E-2</v>
      </c>
      <c r="B127">
        <v>2.1198789662036002E-2</v>
      </c>
      <c r="C127">
        <v>1.7060457300781501E-2</v>
      </c>
      <c r="D127">
        <v>1.0326833438175601E-2</v>
      </c>
      <c r="E127" t="s">
        <v>1682</v>
      </c>
      <c r="F127" t="s">
        <v>1557</v>
      </c>
      <c r="G127">
        <v>68.48</v>
      </c>
      <c r="H127">
        <v>4.2380959364138899E-3</v>
      </c>
      <c r="I127">
        <v>67.052000000000007</v>
      </c>
      <c r="J127">
        <v>2.5717703349283898E-3</v>
      </c>
      <c r="K127" t="s">
        <v>1153</v>
      </c>
      <c r="L127" t="s">
        <v>1028</v>
      </c>
    </row>
    <row r="128" spans="1:12" x14ac:dyDescent="0.3">
      <c r="A128">
        <v>2.0085104332627801E-3</v>
      </c>
      <c r="B128">
        <v>2.5873085754739799E-2</v>
      </c>
      <c r="C128">
        <v>1.0084643678167899E-2</v>
      </c>
      <c r="D128">
        <v>1.25865662000337E-2</v>
      </c>
      <c r="E128" t="s">
        <v>1683</v>
      </c>
      <c r="F128" t="s">
        <v>1557</v>
      </c>
      <c r="G128">
        <v>68.652000000000001</v>
      </c>
      <c r="H128">
        <v>2.5116822429906999E-3</v>
      </c>
      <c r="I128">
        <v>67.262</v>
      </c>
      <c r="J128">
        <v>3.1318976316887502E-3</v>
      </c>
      <c r="K128" t="s">
        <v>1154</v>
      </c>
      <c r="L128" t="s">
        <v>1028</v>
      </c>
    </row>
    <row r="129" spans="1:12" x14ac:dyDescent="0.3">
      <c r="A129">
        <v>1.65597149400032E-3</v>
      </c>
      <c r="B129">
        <v>2.61448943379867E-2</v>
      </c>
      <c r="C129">
        <v>4.4939487008062197E-3</v>
      </c>
      <c r="D129">
        <v>2.16417401943385E-2</v>
      </c>
      <c r="E129" t="s">
        <v>1684</v>
      </c>
      <c r="F129" t="s">
        <v>1557</v>
      </c>
      <c r="G129">
        <v>68.728999999999999</v>
      </c>
      <c r="H129">
        <v>1.1215987880905901E-3</v>
      </c>
      <c r="I129">
        <v>67.623000000000005</v>
      </c>
      <c r="J129">
        <v>5.3670720466236803E-3</v>
      </c>
      <c r="K129" t="s">
        <v>1155</v>
      </c>
      <c r="L129" t="s">
        <v>1028</v>
      </c>
    </row>
    <row r="130" spans="1:12" x14ac:dyDescent="0.3">
      <c r="A130">
        <v>8.0448095256371293E-3</v>
      </c>
      <c r="B130">
        <v>2.6192779718551499E-2</v>
      </c>
      <c r="C130">
        <v>2.6210777008154801E-2</v>
      </c>
      <c r="D130">
        <v>1.77439998941584E-2</v>
      </c>
      <c r="E130" t="s">
        <v>1685</v>
      </c>
      <c r="F130" t="s">
        <v>1557</v>
      </c>
      <c r="G130">
        <v>69.174999999999997</v>
      </c>
      <c r="H130">
        <v>6.4892548996784401E-3</v>
      </c>
      <c r="I130">
        <v>67.921000000000006</v>
      </c>
      <c r="J130">
        <v>4.4067846738535801E-3</v>
      </c>
      <c r="K130" t="s">
        <v>1156</v>
      </c>
      <c r="L130" t="s">
        <v>1028</v>
      </c>
    </row>
    <row r="131" spans="1:12" x14ac:dyDescent="0.3">
      <c r="A131">
        <v>2.9998743908273201E-2</v>
      </c>
      <c r="B131">
        <v>3.8349371649444103E-2</v>
      </c>
      <c r="C131">
        <v>3.99637104830428E-2</v>
      </c>
      <c r="D131">
        <v>2.19088618142655E-2</v>
      </c>
      <c r="E131" t="s">
        <v>1686</v>
      </c>
      <c r="F131" t="s">
        <v>1557</v>
      </c>
      <c r="G131">
        <v>69.855999999999995</v>
      </c>
      <c r="H131">
        <v>9.8445970365015293E-3</v>
      </c>
      <c r="I131">
        <v>68.290000000000006</v>
      </c>
      <c r="J131">
        <v>5.4327822028532599E-3</v>
      </c>
      <c r="K131" t="s">
        <v>1157</v>
      </c>
      <c r="L131" t="s">
        <v>1028</v>
      </c>
    </row>
    <row r="132" spans="1:12" x14ac:dyDescent="0.3">
      <c r="A132">
        <v>2.0869776308943801E-2</v>
      </c>
      <c r="B132">
        <v>3.4801584391165798E-2</v>
      </c>
      <c r="C132">
        <v>3.3157579483975103E-2</v>
      </c>
      <c r="D132">
        <v>1.23573378485025E-2</v>
      </c>
      <c r="E132" t="s">
        <v>1687</v>
      </c>
      <c r="F132" t="s">
        <v>1557</v>
      </c>
      <c r="G132">
        <v>70.427999999999997</v>
      </c>
      <c r="H132">
        <v>8.1882730187814393E-3</v>
      </c>
      <c r="I132">
        <v>68.5</v>
      </c>
      <c r="J132">
        <v>3.07512080831729E-3</v>
      </c>
      <c r="K132" t="s">
        <v>1158</v>
      </c>
      <c r="L132" t="s">
        <v>1028</v>
      </c>
    </row>
    <row r="133" spans="1:12" x14ac:dyDescent="0.3">
      <c r="A133">
        <v>1.8806157080279301E-2</v>
      </c>
      <c r="B133">
        <v>7.6203068975526894E-2</v>
      </c>
      <c r="C133">
        <v>4.04120889716926E-2</v>
      </c>
      <c r="D133">
        <v>6.9083360828583497E-3</v>
      </c>
      <c r="E133" t="s">
        <v>1688</v>
      </c>
      <c r="F133" t="s">
        <v>1557</v>
      </c>
      <c r="G133">
        <v>71.129000000000005</v>
      </c>
      <c r="H133">
        <v>9.9534276140171903E-3</v>
      </c>
      <c r="I133">
        <v>68.617999999999995</v>
      </c>
      <c r="J133">
        <v>1.7226277372262E-3</v>
      </c>
      <c r="K133" t="s">
        <v>1159</v>
      </c>
      <c r="L133" t="s">
        <v>1028</v>
      </c>
    </row>
    <row r="134" spans="1:12" x14ac:dyDescent="0.3">
      <c r="A134">
        <v>3.0939531110064901E-2</v>
      </c>
      <c r="B134">
        <v>4.5343406532494003E-2</v>
      </c>
      <c r="C134">
        <v>6.4192818314913899E-2</v>
      </c>
      <c r="D134">
        <v>3.35839967225895E-2</v>
      </c>
      <c r="E134" t="s">
        <v>1689</v>
      </c>
      <c r="F134" t="s">
        <v>1557</v>
      </c>
      <c r="G134">
        <v>72.244</v>
      </c>
      <c r="H134">
        <v>1.5675744070632099E-2</v>
      </c>
      <c r="I134">
        <v>69.186999999999998</v>
      </c>
      <c r="J134">
        <v>8.2922848232243104E-3</v>
      </c>
      <c r="K134" t="s">
        <v>1160</v>
      </c>
      <c r="L134" t="s">
        <v>1028</v>
      </c>
    </row>
    <row r="135" spans="1:12" x14ac:dyDescent="0.3">
      <c r="A135">
        <v>4.0077661469082298E-3</v>
      </c>
      <c r="B135">
        <v>2.8726975579467701E-2</v>
      </c>
      <c r="C135">
        <v>2.60483280529056E-3</v>
      </c>
      <c r="D135">
        <v>4.1691340309692997E-3</v>
      </c>
      <c r="E135" t="s">
        <v>1690</v>
      </c>
      <c r="F135" t="s">
        <v>1557</v>
      </c>
      <c r="G135">
        <v>72.290999999999997</v>
      </c>
      <c r="H135">
        <v>6.5057305797022703E-4</v>
      </c>
      <c r="I135">
        <v>69.259</v>
      </c>
      <c r="J135">
        <v>1.0406579270672001E-3</v>
      </c>
      <c r="K135" t="s">
        <v>1161</v>
      </c>
      <c r="L135" t="s">
        <v>1028</v>
      </c>
    </row>
    <row r="136" spans="1:12" x14ac:dyDescent="0.3">
      <c r="A136">
        <v>2.6637470683258401E-2</v>
      </c>
      <c r="B136">
        <v>3.6701160751028999E-2</v>
      </c>
      <c r="C136">
        <v>3.2537484109284899E-2</v>
      </c>
      <c r="D136">
        <v>5.0920666130191998E-3</v>
      </c>
      <c r="E136" t="s">
        <v>1691</v>
      </c>
      <c r="F136" t="s">
        <v>1557</v>
      </c>
      <c r="G136">
        <v>72.872</v>
      </c>
      <c r="H136">
        <v>8.0369617241426994E-3</v>
      </c>
      <c r="I136">
        <v>69.346999999999994</v>
      </c>
      <c r="J136">
        <v>1.2705929915244299E-3</v>
      </c>
      <c r="K136" t="s">
        <v>1162</v>
      </c>
      <c r="L136" t="s">
        <v>1028</v>
      </c>
    </row>
    <row r="137" spans="1:12" x14ac:dyDescent="0.3">
      <c r="A137">
        <v>1.9809591582912799E-2</v>
      </c>
      <c r="B137">
        <v>3.0297839189273201E-2</v>
      </c>
      <c r="C137">
        <v>3.6723057880070603E-2</v>
      </c>
      <c r="D137">
        <v>1.11208187291489E-2</v>
      </c>
      <c r="E137" t="s">
        <v>1692</v>
      </c>
      <c r="F137" t="s">
        <v>1557</v>
      </c>
      <c r="G137">
        <v>73.531999999999996</v>
      </c>
      <c r="H137">
        <v>9.0569766165331505E-3</v>
      </c>
      <c r="I137">
        <v>69.539000000000001</v>
      </c>
      <c r="J137">
        <v>2.7686850188184402E-3</v>
      </c>
      <c r="K137" t="s">
        <v>1163</v>
      </c>
      <c r="L137" t="s">
        <v>1028</v>
      </c>
    </row>
    <row r="138" spans="1:12" x14ac:dyDescent="0.3">
      <c r="A138">
        <v>3.1204615634115699E-2</v>
      </c>
      <c r="B138">
        <v>3.4471201135703997E-2</v>
      </c>
      <c r="C138">
        <v>5.7672124037001303E-2</v>
      </c>
      <c r="D138">
        <v>2.6313046913832801E-2</v>
      </c>
      <c r="E138" t="s">
        <v>1693</v>
      </c>
      <c r="F138" t="s">
        <v>1557</v>
      </c>
      <c r="G138">
        <v>74.569999999999993</v>
      </c>
      <c r="H138">
        <v>1.41163031061307E-2</v>
      </c>
      <c r="I138">
        <v>69.992000000000004</v>
      </c>
      <c r="J138">
        <v>6.5143300881520504E-3</v>
      </c>
      <c r="K138" t="s">
        <v>1164</v>
      </c>
      <c r="L138" t="s">
        <v>1028</v>
      </c>
    </row>
    <row r="139" spans="1:12" x14ac:dyDescent="0.3">
      <c r="A139">
        <v>2.7200294389546201E-2</v>
      </c>
      <c r="B139">
        <v>3.5181669062461299E-2</v>
      </c>
      <c r="C139">
        <v>5.42271951092188E-2</v>
      </c>
      <c r="D139">
        <v>7.5544557477534205E-2</v>
      </c>
      <c r="E139" t="s">
        <v>1694</v>
      </c>
      <c r="F139" t="s">
        <v>1557</v>
      </c>
      <c r="G139">
        <v>75.561000000000007</v>
      </c>
      <c r="H139">
        <v>1.3289526619284101E-2</v>
      </c>
      <c r="I139">
        <v>71.278000000000006</v>
      </c>
      <c r="J139">
        <v>1.8373528403245999E-2</v>
      </c>
      <c r="K139" t="s">
        <v>1165</v>
      </c>
      <c r="L139" t="s">
        <v>1028</v>
      </c>
    </row>
    <row r="140" spans="1:12" x14ac:dyDescent="0.3">
      <c r="A140">
        <v>1.9813936050087699E-2</v>
      </c>
      <c r="B140">
        <v>3.71188179062025E-2</v>
      </c>
      <c r="C140">
        <v>5.5705667373545202E-2</v>
      </c>
      <c r="D140">
        <v>0.112118604043563</v>
      </c>
      <c r="E140" t="s">
        <v>1695</v>
      </c>
      <c r="F140" t="s">
        <v>1557</v>
      </c>
      <c r="G140">
        <v>76.591999999999999</v>
      </c>
      <c r="H140">
        <v>1.3644605021108799E-2</v>
      </c>
      <c r="I140">
        <v>73.197000000000003</v>
      </c>
      <c r="J140">
        <v>2.6922753163668899E-2</v>
      </c>
      <c r="K140" t="s">
        <v>1166</v>
      </c>
      <c r="L140" t="s">
        <v>1028</v>
      </c>
    </row>
    <row r="141" spans="1:12" x14ac:dyDescent="0.3">
      <c r="A141">
        <v>3.4620969363609901E-2</v>
      </c>
      <c r="B141">
        <v>3.9499400752586601E-2</v>
      </c>
      <c r="C141">
        <v>6.4048552869122796E-2</v>
      </c>
      <c r="D141">
        <v>9.9586266592777403E-2</v>
      </c>
      <c r="E141" t="s">
        <v>1696</v>
      </c>
      <c r="F141" t="s">
        <v>1557</v>
      </c>
      <c r="G141">
        <v>77.790000000000006</v>
      </c>
      <c r="H141">
        <v>1.5641320242323099E-2</v>
      </c>
      <c r="I141">
        <v>74.954999999999998</v>
      </c>
      <c r="J141">
        <v>2.4017377761383699E-2</v>
      </c>
      <c r="K141" t="s">
        <v>1167</v>
      </c>
      <c r="L141" t="s">
        <v>1028</v>
      </c>
    </row>
    <row r="142" spans="1:12" x14ac:dyDescent="0.3">
      <c r="A142">
        <v>2.34535899973984E-2</v>
      </c>
      <c r="B142">
        <v>5.3706890981395999E-2</v>
      </c>
      <c r="C142">
        <v>3.69057460702173E-2</v>
      </c>
      <c r="D142">
        <v>3.4210597371460802E-2</v>
      </c>
      <c r="E142" t="s">
        <v>1697</v>
      </c>
      <c r="F142" t="s">
        <v>1557</v>
      </c>
      <c r="G142">
        <v>78.498000000000005</v>
      </c>
      <c r="H142">
        <v>9.1014269186271406E-3</v>
      </c>
      <c r="I142">
        <v>75.587999999999994</v>
      </c>
      <c r="J142">
        <v>8.4450670402240694E-3</v>
      </c>
      <c r="K142" t="s">
        <v>1168</v>
      </c>
      <c r="L142" t="s">
        <v>1028</v>
      </c>
    </row>
    <row r="143" spans="1:12" x14ac:dyDescent="0.3">
      <c r="A143">
        <v>2.5499802950129401E-2</v>
      </c>
      <c r="B143">
        <v>3.6566859174503898E-2</v>
      </c>
      <c r="C143">
        <v>4.6392177019789503E-2</v>
      </c>
      <c r="D143">
        <v>7.7400259900339399E-2</v>
      </c>
      <c r="E143" t="s">
        <v>1698</v>
      </c>
      <c r="F143" t="s">
        <v>1557</v>
      </c>
      <c r="G143">
        <v>79.393000000000001</v>
      </c>
      <c r="H143">
        <v>1.14015643710668E-2</v>
      </c>
      <c r="I143">
        <v>77.010000000000005</v>
      </c>
      <c r="J143">
        <v>1.8812509922210102E-2</v>
      </c>
      <c r="K143" t="s">
        <v>1169</v>
      </c>
      <c r="L143" t="s">
        <v>1028</v>
      </c>
    </row>
    <row r="144" spans="1:12" x14ac:dyDescent="0.3">
      <c r="A144">
        <v>4.3914132970667798E-2</v>
      </c>
      <c r="B144">
        <v>4.2425430776049898E-2</v>
      </c>
      <c r="C144">
        <v>5.93159029125543E-2</v>
      </c>
      <c r="D144">
        <v>9.2099438138909306E-2</v>
      </c>
      <c r="E144" t="s">
        <v>1699</v>
      </c>
      <c r="F144" t="s">
        <v>1557</v>
      </c>
      <c r="G144">
        <v>80.545000000000002</v>
      </c>
      <c r="H144">
        <v>1.45100953484565E-2</v>
      </c>
      <c r="I144">
        <v>78.724999999999994</v>
      </c>
      <c r="J144">
        <v>2.2269835086352399E-2</v>
      </c>
      <c r="K144" t="s">
        <v>1170</v>
      </c>
      <c r="L144" t="s">
        <v>1028</v>
      </c>
    </row>
    <row r="145" spans="1:12" x14ac:dyDescent="0.3">
      <c r="A145">
        <v>3.2225013743436802E-2</v>
      </c>
      <c r="B145">
        <v>2.9052051363888599E-2</v>
      </c>
      <c r="C145">
        <v>6.9322056053448003E-2</v>
      </c>
      <c r="D145">
        <v>5.6967190258747399E-2</v>
      </c>
      <c r="E145" t="s">
        <v>1700</v>
      </c>
      <c r="F145" t="s">
        <v>1557</v>
      </c>
      <c r="G145">
        <v>81.906000000000006</v>
      </c>
      <c r="H145">
        <v>1.68973865541002E-2</v>
      </c>
      <c r="I145">
        <v>79.822999999999993</v>
      </c>
      <c r="J145">
        <v>1.39472848523341E-2</v>
      </c>
      <c r="K145" t="s">
        <v>1171</v>
      </c>
      <c r="L145" t="s">
        <v>1028</v>
      </c>
    </row>
    <row r="146" spans="1:12" x14ac:dyDescent="0.3">
      <c r="A146">
        <v>2.0935342800184199E-2</v>
      </c>
      <c r="B146">
        <v>3.4093201961780999E-2</v>
      </c>
      <c r="C146">
        <v>2.9725271896635399E-2</v>
      </c>
      <c r="D146">
        <v>2.50876168066392E-2</v>
      </c>
      <c r="E146" t="s">
        <v>1701</v>
      </c>
      <c r="F146" t="s">
        <v>1557</v>
      </c>
      <c r="G146">
        <v>82.507999999999996</v>
      </c>
      <c r="H146">
        <v>7.3498888970282604E-3</v>
      </c>
      <c r="I146">
        <v>80.319000000000003</v>
      </c>
      <c r="J146">
        <v>6.2137479172670301E-3</v>
      </c>
      <c r="K146" t="s">
        <v>1172</v>
      </c>
      <c r="L146" t="s">
        <v>1028</v>
      </c>
    </row>
    <row r="147" spans="1:12" x14ac:dyDescent="0.3">
      <c r="A147">
        <v>3.5555363218846101E-2</v>
      </c>
      <c r="B147">
        <v>2.8135458399094499E-2</v>
      </c>
      <c r="C147">
        <v>5.61203132204302E-2</v>
      </c>
      <c r="D147">
        <v>9.1105361450751501E-2</v>
      </c>
      <c r="E147" t="s">
        <v>1702</v>
      </c>
      <c r="F147" t="s">
        <v>1557</v>
      </c>
      <c r="G147">
        <v>83.641999999999996</v>
      </c>
      <c r="H147">
        <v>1.37441217821301E-2</v>
      </c>
      <c r="I147">
        <v>82.088999999999999</v>
      </c>
      <c r="J147">
        <v>2.20371269562618E-2</v>
      </c>
      <c r="K147" t="s">
        <v>1173</v>
      </c>
      <c r="L147" t="s">
        <v>1028</v>
      </c>
    </row>
    <row r="148" spans="1:12" x14ac:dyDescent="0.3">
      <c r="A148">
        <v>2.9090990484891902E-2</v>
      </c>
      <c r="B148">
        <v>2.9966625510563099E-2</v>
      </c>
      <c r="C148">
        <v>3.6843754178801799E-2</v>
      </c>
      <c r="D148">
        <v>5.6869734933791702E-2</v>
      </c>
      <c r="E148" t="s">
        <v>1703</v>
      </c>
      <c r="F148" t="s">
        <v>1557</v>
      </c>
      <c r="G148">
        <v>84.402000000000001</v>
      </c>
      <c r="H148">
        <v>9.0863441811530592E-3</v>
      </c>
      <c r="I148">
        <v>83.231999999999999</v>
      </c>
      <c r="J148">
        <v>1.39239118517707E-2</v>
      </c>
      <c r="K148" t="s">
        <v>1174</v>
      </c>
      <c r="L148" t="s">
        <v>1028</v>
      </c>
    </row>
    <row r="149" spans="1:12" x14ac:dyDescent="0.3">
      <c r="A149">
        <v>-6.5707467210734897E-3</v>
      </c>
      <c r="B149">
        <v>2.09838687014814E-2</v>
      </c>
      <c r="C149">
        <v>3.0338463665483501E-2</v>
      </c>
      <c r="D149">
        <v>9.7213617262259494E-2</v>
      </c>
      <c r="E149" t="s">
        <v>1704</v>
      </c>
      <c r="F149" t="s">
        <v>1557</v>
      </c>
      <c r="G149">
        <v>85.034999999999997</v>
      </c>
      <c r="H149">
        <v>7.4998222790929603E-3</v>
      </c>
      <c r="I149">
        <v>85.185000000000002</v>
      </c>
      <c r="J149">
        <v>2.34645328719723E-2</v>
      </c>
      <c r="K149" t="s">
        <v>1175</v>
      </c>
      <c r="L149" t="s">
        <v>1028</v>
      </c>
    </row>
    <row r="150" spans="1:12" x14ac:dyDescent="0.3">
      <c r="A150">
        <v>3.7059917165470399E-2</v>
      </c>
      <c r="B150">
        <v>3.4651107406359301E-2</v>
      </c>
      <c r="C150">
        <v>7.2299496950969405E-2</v>
      </c>
      <c r="D150">
        <v>0.104792955269219</v>
      </c>
      <c r="E150" t="s">
        <v>1705</v>
      </c>
      <c r="F150" t="s">
        <v>1557</v>
      </c>
      <c r="G150">
        <v>86.531999999999996</v>
      </c>
      <c r="H150">
        <v>1.7604515787616799E-2</v>
      </c>
      <c r="I150">
        <v>87.334000000000003</v>
      </c>
      <c r="J150">
        <v>2.5227446146622E-2</v>
      </c>
      <c r="K150" t="s">
        <v>1176</v>
      </c>
      <c r="L150" t="s">
        <v>1028</v>
      </c>
    </row>
    <row r="151" spans="1:12" x14ac:dyDescent="0.3">
      <c r="A151">
        <v>3.4406916686266602E-2</v>
      </c>
      <c r="B151">
        <v>3.2361806516408201E-2</v>
      </c>
      <c r="C151">
        <v>4.4022069506022297E-2</v>
      </c>
      <c r="D151">
        <v>4.2476788274359099E-2</v>
      </c>
      <c r="E151" t="s">
        <v>1706</v>
      </c>
      <c r="F151" t="s">
        <v>1557</v>
      </c>
      <c r="G151">
        <v>87.468999999999994</v>
      </c>
      <c r="H151">
        <v>1.0828364073406401E-2</v>
      </c>
      <c r="I151">
        <v>88.247</v>
      </c>
      <c r="J151">
        <v>1.0454118670849799E-2</v>
      </c>
      <c r="K151" t="s">
        <v>1177</v>
      </c>
      <c r="L151" t="s">
        <v>1028</v>
      </c>
    </row>
    <row r="152" spans="1:12" x14ac:dyDescent="0.3">
      <c r="A152">
        <v>2.2795387185985401E-2</v>
      </c>
      <c r="B152">
        <v>2.78463672712683E-2</v>
      </c>
      <c r="C152">
        <v>4.5480126137950501E-2</v>
      </c>
      <c r="D152">
        <v>3.9088464000031499E-2</v>
      </c>
      <c r="E152" t="s">
        <v>1707</v>
      </c>
      <c r="F152" t="s">
        <v>1557</v>
      </c>
      <c r="G152">
        <v>88.447000000000003</v>
      </c>
      <c r="H152">
        <v>1.11811041626177E-2</v>
      </c>
      <c r="I152">
        <v>89.096999999999994</v>
      </c>
      <c r="J152">
        <v>9.6320554806394992E-3</v>
      </c>
      <c r="K152" t="s">
        <v>1178</v>
      </c>
      <c r="L152" t="s">
        <v>1028</v>
      </c>
    </row>
    <row r="153" spans="1:12" x14ac:dyDescent="0.3">
      <c r="A153">
        <v>4.1308326629664098E-2</v>
      </c>
      <c r="B153">
        <v>3.2459146974833902E-2</v>
      </c>
      <c r="C153">
        <v>6.2039731527971001E-2</v>
      </c>
      <c r="D153">
        <v>4.7886506250196997E-2</v>
      </c>
      <c r="E153" t="s">
        <v>1708</v>
      </c>
      <c r="F153" t="s">
        <v>1557</v>
      </c>
      <c r="G153">
        <v>89.787999999999997</v>
      </c>
      <c r="H153">
        <v>1.51616222144335E-2</v>
      </c>
      <c r="I153">
        <v>90.144999999999996</v>
      </c>
      <c r="J153">
        <v>1.1762461137861099E-2</v>
      </c>
      <c r="K153" t="s">
        <v>1179</v>
      </c>
      <c r="L153" t="s">
        <v>1028</v>
      </c>
    </row>
    <row r="154" spans="1:12" x14ac:dyDescent="0.3">
      <c r="A154">
        <v>3.2954987594988598E-2</v>
      </c>
      <c r="B154">
        <v>3.4144429632388298E-2</v>
      </c>
      <c r="C154">
        <v>7.23147883586404E-2</v>
      </c>
      <c r="D154">
        <v>3.8436409888859401E-2</v>
      </c>
      <c r="E154" t="s">
        <v>1709</v>
      </c>
      <c r="F154" t="s">
        <v>1557</v>
      </c>
      <c r="G154">
        <v>91.369</v>
      </c>
      <c r="H154">
        <v>1.7608143627210901E-2</v>
      </c>
      <c r="I154">
        <v>90.998999999999995</v>
      </c>
      <c r="J154">
        <v>9.4736258250596207E-3</v>
      </c>
      <c r="K154" t="s">
        <v>1180</v>
      </c>
      <c r="L154" t="s">
        <v>1028</v>
      </c>
    </row>
    <row r="155" spans="1:12" x14ac:dyDescent="0.3">
      <c r="A155">
        <v>3.9493950261418401E-2</v>
      </c>
      <c r="B155">
        <v>4.1602053152730099E-2</v>
      </c>
      <c r="C155">
        <v>6.3263019462217004E-2</v>
      </c>
      <c r="D155">
        <v>3.1126430511134499E-2</v>
      </c>
      <c r="E155" t="s">
        <v>1710</v>
      </c>
      <c r="F155" t="s">
        <v>1557</v>
      </c>
      <c r="G155">
        <v>92.781000000000006</v>
      </c>
      <c r="H155">
        <v>1.5453819129026301E-2</v>
      </c>
      <c r="I155">
        <v>91.698999999999998</v>
      </c>
      <c r="J155">
        <v>7.6923922240903497E-3</v>
      </c>
      <c r="K155" t="s">
        <v>1181</v>
      </c>
      <c r="L155" t="s">
        <v>1028</v>
      </c>
    </row>
    <row r="156" spans="1:12" x14ac:dyDescent="0.3">
      <c r="A156">
        <v>4.3386852489040402E-2</v>
      </c>
      <c r="B156">
        <v>3.03408157550791E-2</v>
      </c>
      <c r="C156">
        <v>5.52136316684275E-2</v>
      </c>
      <c r="D156">
        <v>5.2701497522020399E-2</v>
      </c>
      <c r="E156" t="s">
        <v>1711</v>
      </c>
      <c r="F156" t="s">
        <v>1557</v>
      </c>
      <c r="G156">
        <v>94.036000000000001</v>
      </c>
      <c r="H156">
        <v>1.35264763259719E-2</v>
      </c>
      <c r="I156">
        <v>92.884</v>
      </c>
      <c r="J156">
        <v>1.29227145334192E-2</v>
      </c>
      <c r="K156" t="s">
        <v>1182</v>
      </c>
      <c r="L156" t="s">
        <v>1028</v>
      </c>
    </row>
    <row r="157" spans="1:12" x14ac:dyDescent="0.3">
      <c r="A157">
        <v>-6.2360196436278902E-2</v>
      </c>
      <c r="B157">
        <v>-1.8917326805224201E-2</v>
      </c>
      <c r="C157">
        <v>-7.4155067193705196E-2</v>
      </c>
      <c r="D157">
        <v>7.5335045349203197E-2</v>
      </c>
      <c r="E157" t="s">
        <v>1712</v>
      </c>
      <c r="F157" t="s">
        <v>1557</v>
      </c>
      <c r="G157">
        <v>92.242000000000004</v>
      </c>
      <c r="H157">
        <v>-1.9077799991492599E-2</v>
      </c>
      <c r="I157">
        <v>94.585999999999999</v>
      </c>
      <c r="J157">
        <v>1.8323930924594199E-2</v>
      </c>
      <c r="K157" t="s">
        <v>1183</v>
      </c>
      <c r="L157" t="s">
        <v>1028</v>
      </c>
    </row>
    <row r="158" spans="1:12" x14ac:dyDescent="0.3">
      <c r="A158">
        <v>-2.6731212813050201E-2</v>
      </c>
      <c r="B158">
        <v>-3.3135327897025703E-2</v>
      </c>
      <c r="C158">
        <v>-6.8462037949067106E-2</v>
      </c>
      <c r="D158">
        <v>2.5185264843212301E-2</v>
      </c>
      <c r="E158" t="s">
        <v>1713</v>
      </c>
      <c r="F158" t="s">
        <v>1557</v>
      </c>
      <c r="G158">
        <v>90.620999999999995</v>
      </c>
      <c r="H158">
        <v>-1.7573339693415201E-2</v>
      </c>
      <c r="I158">
        <v>95.176000000000002</v>
      </c>
      <c r="J158">
        <v>6.2377095976149403E-3</v>
      </c>
      <c r="K158" t="s">
        <v>1184</v>
      </c>
      <c r="L158" t="s">
        <v>1028</v>
      </c>
    </row>
    <row r="159" spans="1:12" x14ac:dyDescent="0.3">
      <c r="A159">
        <v>1.6004255010514602E-2</v>
      </c>
      <c r="B159">
        <v>7.2471101838833497E-4</v>
      </c>
      <c r="C159">
        <v>1.9832196265286098E-2</v>
      </c>
      <c r="D159">
        <v>-3.4674689642026801E-2</v>
      </c>
      <c r="E159" t="s">
        <v>1714</v>
      </c>
      <c r="F159" t="s">
        <v>1557</v>
      </c>
      <c r="G159">
        <v>91.066999999999993</v>
      </c>
      <c r="H159">
        <v>4.9215965394333603E-3</v>
      </c>
      <c r="I159">
        <v>94.34</v>
      </c>
      <c r="J159">
        <v>-8.7837269899974108E-3</v>
      </c>
      <c r="K159" t="s">
        <v>1185</v>
      </c>
      <c r="L159" t="s">
        <v>1028</v>
      </c>
    </row>
    <row r="160" spans="1:12" x14ac:dyDescent="0.3">
      <c r="A160">
        <v>2.78350080421834E-2</v>
      </c>
      <c r="B160">
        <v>1.22854862155337E-2</v>
      </c>
      <c r="C160">
        <v>3.47933032481611E-2</v>
      </c>
      <c r="D160">
        <v>-3.55556982427905E-2</v>
      </c>
      <c r="E160" t="s">
        <v>1715</v>
      </c>
      <c r="F160" t="s">
        <v>1557</v>
      </c>
      <c r="G160">
        <v>91.849000000000004</v>
      </c>
      <c r="H160">
        <v>8.5870842346844594E-3</v>
      </c>
      <c r="I160">
        <v>93.49</v>
      </c>
      <c r="J160">
        <v>-9.0099639601441996E-3</v>
      </c>
      <c r="K160" t="s">
        <v>1186</v>
      </c>
      <c r="L160" t="s">
        <v>1028</v>
      </c>
    </row>
    <row r="161" spans="1:12" x14ac:dyDescent="0.3">
      <c r="A161">
        <v>3.1240948480233E-2</v>
      </c>
      <c r="B161">
        <v>3.11127095791379E-2</v>
      </c>
      <c r="C161">
        <v>3.76238534925952E-2</v>
      </c>
      <c r="D161">
        <v>-3.0769865450653898E-3</v>
      </c>
      <c r="E161" t="s">
        <v>1716</v>
      </c>
      <c r="F161" t="s">
        <v>1557</v>
      </c>
      <c r="G161">
        <v>92.700999999999993</v>
      </c>
      <c r="H161">
        <v>9.2760944593843798E-3</v>
      </c>
      <c r="I161">
        <v>93.418000000000006</v>
      </c>
      <c r="J161">
        <v>-7.7013584340557305E-4</v>
      </c>
      <c r="K161" t="s">
        <v>1187</v>
      </c>
      <c r="L161" t="s">
        <v>1028</v>
      </c>
    </row>
    <row r="162" spans="1:12" x14ac:dyDescent="0.3">
      <c r="A162">
        <v>1.5538458112328299E-2</v>
      </c>
      <c r="B162">
        <v>2.5706833981413501E-2</v>
      </c>
      <c r="C162">
        <v>4.6975487060338501E-2</v>
      </c>
      <c r="D162">
        <v>1.13952226394907E-2</v>
      </c>
      <c r="E162" t="s">
        <v>1717</v>
      </c>
      <c r="F162" t="s">
        <v>1557</v>
      </c>
      <c r="G162">
        <v>93.771000000000001</v>
      </c>
      <c r="H162">
        <v>1.15424860573241E-2</v>
      </c>
      <c r="I162">
        <v>93.683000000000007</v>
      </c>
      <c r="J162">
        <v>2.8367124108843499E-3</v>
      </c>
      <c r="K162" t="s">
        <v>1188</v>
      </c>
      <c r="L162" t="s">
        <v>1028</v>
      </c>
    </row>
    <row r="163" spans="1:12" x14ac:dyDescent="0.3">
      <c r="A163">
        <v>6.2204942357442202E-3</v>
      </c>
      <c r="B163">
        <v>3.1017939025557401E-2</v>
      </c>
      <c r="C163">
        <v>2.9062361366274402E-2</v>
      </c>
      <c r="D163">
        <v>1.7491325837778699E-2</v>
      </c>
      <c r="E163" t="s">
        <v>1718</v>
      </c>
      <c r="F163" t="s">
        <v>1557</v>
      </c>
      <c r="G163">
        <v>94.444999999999993</v>
      </c>
      <c r="H163">
        <v>7.18772328331774E-3</v>
      </c>
      <c r="I163">
        <v>94.09</v>
      </c>
      <c r="J163">
        <v>4.3444381584705196E-3</v>
      </c>
      <c r="K163" t="s">
        <v>1189</v>
      </c>
      <c r="L163" t="s">
        <v>1028</v>
      </c>
    </row>
    <row r="164" spans="1:12" x14ac:dyDescent="0.3">
      <c r="A164">
        <v>7.72594376628044E-3</v>
      </c>
      <c r="B164">
        <v>1.59750935835106E-2</v>
      </c>
      <c r="C164">
        <v>2.3067349052007899E-2</v>
      </c>
      <c r="D164">
        <v>1.2643202128826501E-2</v>
      </c>
      <c r="E164" t="s">
        <v>1719</v>
      </c>
      <c r="F164" t="s">
        <v>1557</v>
      </c>
      <c r="G164">
        <v>94.984999999999999</v>
      </c>
      <c r="H164">
        <v>5.7176134258034601E-3</v>
      </c>
      <c r="I164">
        <v>94.385999999999996</v>
      </c>
      <c r="J164">
        <v>3.1459241152087501E-3</v>
      </c>
      <c r="K164" t="s">
        <v>1190</v>
      </c>
      <c r="L164" t="s">
        <v>1028</v>
      </c>
    </row>
    <row r="165" spans="1:12" x14ac:dyDescent="0.3">
      <c r="A165">
        <v>2.5862689650447499E-2</v>
      </c>
      <c r="B165">
        <v>3.29452826155043E-2</v>
      </c>
      <c r="C165">
        <v>3.7879756208726099E-2</v>
      </c>
      <c r="D165">
        <v>1.8090208281751299E-2</v>
      </c>
      <c r="E165" t="s">
        <v>1720</v>
      </c>
      <c r="F165" t="s">
        <v>1557</v>
      </c>
      <c r="G165">
        <v>95.872</v>
      </c>
      <c r="H165">
        <v>9.3383165763014607E-3</v>
      </c>
      <c r="I165">
        <v>94.81</v>
      </c>
      <c r="J165">
        <v>4.4921916385904899E-3</v>
      </c>
      <c r="K165" t="s">
        <v>1191</v>
      </c>
      <c r="L165" t="s">
        <v>1028</v>
      </c>
    </row>
    <row r="166" spans="1:12" x14ac:dyDescent="0.3">
      <c r="A166">
        <v>3.4016266815046298E-2</v>
      </c>
      <c r="B166">
        <v>3.64259738306612E-2</v>
      </c>
      <c r="C166">
        <v>4.5137017344844002E-2</v>
      </c>
      <c r="D166">
        <v>2.4394704867924499E-2</v>
      </c>
      <c r="E166" t="s">
        <v>1721</v>
      </c>
      <c r="F166" t="s">
        <v>1557</v>
      </c>
      <c r="G166">
        <v>96.936000000000007</v>
      </c>
      <c r="H166">
        <v>1.10981308411215E-2</v>
      </c>
      <c r="I166">
        <v>95.382999999999996</v>
      </c>
      <c r="J166">
        <v>6.0436662799281402E-3</v>
      </c>
      <c r="K166" t="s">
        <v>1192</v>
      </c>
      <c r="L166" t="s">
        <v>1028</v>
      </c>
    </row>
    <row r="167" spans="1:12" x14ac:dyDescent="0.3">
      <c r="A167">
        <v>3.9906323464895102E-2</v>
      </c>
      <c r="B167">
        <v>3.6682670107609103E-2</v>
      </c>
      <c r="C167">
        <v>5.0829697512543702E-2</v>
      </c>
      <c r="D167">
        <v>4.1043493786856698E-2</v>
      </c>
      <c r="E167" t="s">
        <v>1722</v>
      </c>
      <c r="F167" t="s">
        <v>1557</v>
      </c>
      <c r="G167">
        <v>98.144999999999996</v>
      </c>
      <c r="H167">
        <v>1.24721465709332E-2</v>
      </c>
      <c r="I167">
        <v>96.346999999999994</v>
      </c>
      <c r="J167">
        <v>1.01066227734501E-2</v>
      </c>
      <c r="K167" t="s">
        <v>1193</v>
      </c>
      <c r="L167" t="s">
        <v>1028</v>
      </c>
    </row>
    <row r="168" spans="1:12" x14ac:dyDescent="0.3">
      <c r="A168">
        <v>1.8640626124373699E-2</v>
      </c>
      <c r="B168">
        <v>1.39908352832361E-2</v>
      </c>
      <c r="C168">
        <v>1.5247657751557699E-2</v>
      </c>
      <c r="D168">
        <v>4.5983903903995101E-2</v>
      </c>
      <c r="E168" t="s">
        <v>1723</v>
      </c>
      <c r="F168" t="s">
        <v>1557</v>
      </c>
      <c r="G168">
        <v>98.516999999999996</v>
      </c>
      <c r="H168">
        <v>3.7903102552345699E-3</v>
      </c>
      <c r="I168">
        <v>97.436000000000007</v>
      </c>
      <c r="J168">
        <v>1.13028947450362E-2</v>
      </c>
      <c r="K168" t="s">
        <v>1194</v>
      </c>
      <c r="L168" t="s">
        <v>1028</v>
      </c>
    </row>
    <row r="169" spans="1:12" x14ac:dyDescent="0.3">
      <c r="A169">
        <v>1.32561299755005E-2</v>
      </c>
      <c r="B169">
        <v>-5.33618345022691E-3</v>
      </c>
      <c r="C169">
        <v>-1.40950235359611E-2</v>
      </c>
      <c r="D169">
        <v>3.8137779822804398E-2</v>
      </c>
      <c r="E169" t="s">
        <v>1724</v>
      </c>
      <c r="F169" t="s">
        <v>1557</v>
      </c>
      <c r="G169">
        <v>98.168000000000006</v>
      </c>
      <c r="H169">
        <v>-3.54253580600294E-3</v>
      </c>
      <c r="I169">
        <v>98.352000000000004</v>
      </c>
      <c r="J169">
        <v>9.4010427357444897E-3</v>
      </c>
      <c r="K169" t="s">
        <v>1195</v>
      </c>
      <c r="L169" t="s">
        <v>1028</v>
      </c>
    </row>
    <row r="170" spans="1:12" x14ac:dyDescent="0.3">
      <c r="A170">
        <v>2.6761481120787502E-2</v>
      </c>
      <c r="B170">
        <v>1.39201532997375E-2</v>
      </c>
      <c r="C170">
        <v>5.4116713606157101E-2</v>
      </c>
      <c r="D170">
        <v>3.0312571909831599E-2</v>
      </c>
      <c r="E170" t="s">
        <v>1725</v>
      </c>
      <c r="F170" t="s">
        <v>1557</v>
      </c>
      <c r="G170">
        <v>99.47</v>
      </c>
      <c r="H170">
        <v>1.32629777524242E-2</v>
      </c>
      <c r="I170">
        <v>99.088999999999999</v>
      </c>
      <c r="J170">
        <v>7.4934927606962196E-3</v>
      </c>
      <c r="K170" t="s">
        <v>1196</v>
      </c>
      <c r="L170" t="s">
        <v>1028</v>
      </c>
    </row>
    <row r="171" spans="1:12" x14ac:dyDescent="0.3">
      <c r="A171">
        <v>9.7203652064314899E-3</v>
      </c>
      <c r="B171">
        <v>8.8550245823753003E-3</v>
      </c>
      <c r="C171">
        <v>-6.9787462524018001E-3</v>
      </c>
      <c r="D171">
        <v>3.2273930792219303E-2</v>
      </c>
      <c r="E171" t="s">
        <v>1726</v>
      </c>
      <c r="F171" t="s">
        <v>1557</v>
      </c>
      <c r="G171">
        <v>99.296000000000006</v>
      </c>
      <c r="H171">
        <v>-1.7492711370261599E-3</v>
      </c>
      <c r="I171">
        <v>99.879000000000005</v>
      </c>
      <c r="J171">
        <v>7.9726306653615797E-3</v>
      </c>
      <c r="K171" t="s">
        <v>1197</v>
      </c>
      <c r="L171" t="s">
        <v>1028</v>
      </c>
    </row>
    <row r="172" spans="1:12" x14ac:dyDescent="0.3">
      <c r="A172">
        <v>1.1676944984941699E-2</v>
      </c>
      <c r="B172">
        <v>7.7077122555302396E-3</v>
      </c>
      <c r="C172">
        <v>2.44311343320835E-2</v>
      </c>
      <c r="D172">
        <v>2.17207841742009E-2</v>
      </c>
      <c r="E172" t="s">
        <v>1727</v>
      </c>
      <c r="F172" t="s">
        <v>1557</v>
      </c>
      <c r="G172">
        <v>99.897000000000006</v>
      </c>
      <c r="H172">
        <v>6.0526103770543998E-3</v>
      </c>
      <c r="I172">
        <v>100.417</v>
      </c>
      <c r="J172">
        <v>5.3865176864005297E-3</v>
      </c>
      <c r="K172" t="s">
        <v>1198</v>
      </c>
      <c r="L172" t="s">
        <v>1028</v>
      </c>
    </row>
    <row r="173" spans="1:12" x14ac:dyDescent="0.3">
      <c r="A173">
        <v>2.2614716677978E-2</v>
      </c>
      <c r="B173">
        <v>4.9632662336496196E-3</v>
      </c>
      <c r="C173">
        <v>5.8918140200379103E-2</v>
      </c>
      <c r="D173">
        <v>7.9104688711333394E-3</v>
      </c>
      <c r="E173" t="s">
        <v>1728</v>
      </c>
      <c r="F173" t="s">
        <v>1557</v>
      </c>
      <c r="G173">
        <v>101.337</v>
      </c>
      <c r="H173">
        <v>1.4414847292711501E-2</v>
      </c>
      <c r="I173">
        <v>100.61499999999999</v>
      </c>
      <c r="J173">
        <v>1.9717776870449301E-3</v>
      </c>
      <c r="K173" t="s">
        <v>1199</v>
      </c>
      <c r="L173" t="s">
        <v>1028</v>
      </c>
    </row>
    <row r="174" spans="1:12" x14ac:dyDescent="0.3">
      <c r="A174">
        <v>1.45079389824292E-2</v>
      </c>
      <c r="B174">
        <v>-1.9949826125076301E-4</v>
      </c>
      <c r="C174">
        <v>5.3376513955371498E-2</v>
      </c>
      <c r="D174">
        <v>1.6319173615011201E-2</v>
      </c>
      <c r="E174" t="s">
        <v>1729</v>
      </c>
      <c r="F174" t="s">
        <v>1557</v>
      </c>
      <c r="G174">
        <v>102.663</v>
      </c>
      <c r="H174">
        <v>1.3085052843482501E-2</v>
      </c>
      <c r="I174">
        <v>101.023</v>
      </c>
      <c r="J174">
        <v>4.05506137255873E-3</v>
      </c>
      <c r="K174" t="s">
        <v>1200</v>
      </c>
      <c r="L174" t="s">
        <v>1028</v>
      </c>
    </row>
    <row r="175" spans="1:12" x14ac:dyDescent="0.3">
      <c r="A175">
        <v>2.8548469670495202E-3</v>
      </c>
      <c r="B175">
        <v>7.9245575399269404E-3</v>
      </c>
      <c r="C175">
        <v>2.14833879994034E-2</v>
      </c>
      <c r="D175">
        <v>2.0547855013869399E-2</v>
      </c>
      <c r="E175" t="s">
        <v>1730</v>
      </c>
      <c r="F175" t="s">
        <v>1557</v>
      </c>
      <c r="G175">
        <v>103.21</v>
      </c>
      <c r="H175">
        <v>5.3281123676494103E-3</v>
      </c>
      <c r="I175">
        <v>101.538</v>
      </c>
      <c r="J175">
        <v>5.0978490046820202E-3</v>
      </c>
      <c r="K175" t="s">
        <v>1201</v>
      </c>
      <c r="L175" t="s">
        <v>1028</v>
      </c>
    </row>
    <row r="176" spans="1:12" x14ac:dyDescent="0.3">
      <c r="A176">
        <v>1.6326843500240801E-2</v>
      </c>
      <c r="B176">
        <v>1.3006397529373E-2</v>
      </c>
      <c r="C176">
        <v>3.4225885044726997E-2</v>
      </c>
      <c r="D176">
        <v>2.1723337040250802E-2</v>
      </c>
      <c r="E176" t="s">
        <v>1731</v>
      </c>
      <c r="F176" t="s">
        <v>1557</v>
      </c>
      <c r="G176">
        <v>104.08199999999999</v>
      </c>
      <c r="H176">
        <v>8.4487937215385108E-3</v>
      </c>
      <c r="I176">
        <v>102.08499999999999</v>
      </c>
      <c r="J176">
        <v>5.3871456991470001E-3</v>
      </c>
      <c r="K176" t="s">
        <v>1202</v>
      </c>
      <c r="L176" t="s">
        <v>1028</v>
      </c>
    </row>
    <row r="177" spans="1:12" x14ac:dyDescent="0.3">
      <c r="A177">
        <v>1.6859105016114002E-2</v>
      </c>
      <c r="B177">
        <v>6.2259222369993199E-2</v>
      </c>
      <c r="C177">
        <v>2.1461497744286601E-2</v>
      </c>
      <c r="D177">
        <v>3.0554089712781E-2</v>
      </c>
      <c r="E177" t="s">
        <v>1732</v>
      </c>
      <c r="F177" t="s">
        <v>1557</v>
      </c>
      <c r="G177">
        <v>104.636</v>
      </c>
      <c r="H177">
        <v>5.3227263119464104E-3</v>
      </c>
      <c r="I177">
        <v>102.85599999999999</v>
      </c>
      <c r="J177">
        <v>7.55252975461618E-3</v>
      </c>
      <c r="K177" t="s">
        <v>1203</v>
      </c>
      <c r="L177" t="s">
        <v>1028</v>
      </c>
    </row>
    <row r="178" spans="1:12" x14ac:dyDescent="0.3">
      <c r="A178">
        <v>1.93744928521071E-2</v>
      </c>
      <c r="B178">
        <v>-1.02831916231174E-2</v>
      </c>
      <c r="C178">
        <v>3.4027993671362999E-2</v>
      </c>
      <c r="D178">
        <v>2.27077607090642E-2</v>
      </c>
      <c r="E178" t="s">
        <v>1733</v>
      </c>
      <c r="F178" t="s">
        <v>1557</v>
      </c>
      <c r="G178">
        <v>105.515</v>
      </c>
      <c r="H178">
        <v>8.4005504797584098E-3</v>
      </c>
      <c r="I178">
        <v>103.435</v>
      </c>
      <c r="J178">
        <v>5.6292292136579398E-3</v>
      </c>
      <c r="K178" t="s">
        <v>1204</v>
      </c>
      <c r="L178" t="s">
        <v>1028</v>
      </c>
    </row>
    <row r="179" spans="1:12" x14ac:dyDescent="0.3">
      <c r="A179">
        <v>2.0192934056340501E-2</v>
      </c>
      <c r="B179">
        <v>1.7798477087045E-2</v>
      </c>
      <c r="C179">
        <v>1.2683683496116101E-2</v>
      </c>
      <c r="D179">
        <v>1.8378329285591199E-2</v>
      </c>
      <c r="E179" t="s">
        <v>1734</v>
      </c>
      <c r="F179" t="s">
        <v>1557</v>
      </c>
      <c r="G179">
        <v>105.848</v>
      </c>
      <c r="H179">
        <v>3.1559493910817702E-3</v>
      </c>
      <c r="I179">
        <v>103.907</v>
      </c>
      <c r="J179">
        <v>4.5632522840430801E-3</v>
      </c>
      <c r="K179" t="s">
        <v>1205</v>
      </c>
      <c r="L179" t="s">
        <v>1028</v>
      </c>
    </row>
    <row r="180" spans="1:12" x14ac:dyDescent="0.3">
      <c r="A180">
        <v>1.13601398604235E-2</v>
      </c>
      <c r="B180">
        <v>1.8827452214838801E-2</v>
      </c>
      <c r="C180">
        <v>2.3098181930942801E-2</v>
      </c>
      <c r="D180">
        <v>1.94654703730235E-2</v>
      </c>
      <c r="E180" t="s">
        <v>1735</v>
      </c>
      <c r="F180" t="s">
        <v>1557</v>
      </c>
      <c r="G180">
        <v>106.45399999999999</v>
      </c>
      <c r="H180">
        <v>5.7251908396946903E-3</v>
      </c>
      <c r="I180">
        <v>104.40900000000001</v>
      </c>
      <c r="J180">
        <v>4.8312433233566E-3</v>
      </c>
      <c r="K180" t="s">
        <v>1206</v>
      </c>
      <c r="L180" t="s">
        <v>1028</v>
      </c>
    </row>
    <row r="181" spans="1:12" x14ac:dyDescent="0.3">
      <c r="A181">
        <v>-4.6048768205230201E-3</v>
      </c>
      <c r="B181">
        <v>5.3720415632923001E-3</v>
      </c>
      <c r="C181">
        <v>-3.1150724387948299E-3</v>
      </c>
      <c r="D181">
        <v>7.0678568534106E-3</v>
      </c>
      <c r="E181" t="s">
        <v>1736</v>
      </c>
      <c r="F181" t="s">
        <v>1557</v>
      </c>
      <c r="G181">
        <v>106.371</v>
      </c>
      <c r="H181">
        <v>-7.7967948597512703E-4</v>
      </c>
      <c r="I181">
        <v>104.593</v>
      </c>
      <c r="J181">
        <v>1.76230018484991E-3</v>
      </c>
      <c r="K181" t="s">
        <v>1207</v>
      </c>
      <c r="L181" t="s">
        <v>1028</v>
      </c>
    </row>
    <row r="182" spans="1:12" x14ac:dyDescent="0.3">
      <c r="A182">
        <v>-1.65067373701384E-2</v>
      </c>
      <c r="B182">
        <v>-6.4248737444822001E-3</v>
      </c>
      <c r="C182">
        <v>-3.9305105462135198E-2</v>
      </c>
      <c r="D182">
        <v>-1.18502082280647E-3</v>
      </c>
      <c r="E182" t="s">
        <v>1737</v>
      </c>
      <c r="F182" t="s">
        <v>1557</v>
      </c>
      <c r="G182">
        <v>105.31</v>
      </c>
      <c r="H182">
        <v>-9.9745231313045392E-3</v>
      </c>
      <c r="I182">
        <v>104.562</v>
      </c>
      <c r="J182">
        <v>-2.9638694750133698E-4</v>
      </c>
      <c r="K182" t="s">
        <v>1208</v>
      </c>
      <c r="L182" t="s">
        <v>1028</v>
      </c>
    </row>
    <row r="183" spans="1:12" x14ac:dyDescent="0.3">
      <c r="A183">
        <v>1.9548766403745001E-2</v>
      </c>
      <c r="B183">
        <v>7.87290366046434E-3</v>
      </c>
      <c r="C183">
        <v>2.82887807392058E-2</v>
      </c>
      <c r="D183">
        <v>1.76749178700988E-2</v>
      </c>
      <c r="E183" t="s">
        <v>1738</v>
      </c>
      <c r="F183" t="s">
        <v>1557</v>
      </c>
      <c r="G183">
        <v>106.047</v>
      </c>
      <c r="H183">
        <v>6.9983857183553199E-3</v>
      </c>
      <c r="I183">
        <v>105.021</v>
      </c>
      <c r="J183">
        <v>4.3897400585299904E-3</v>
      </c>
      <c r="K183" t="s">
        <v>1209</v>
      </c>
      <c r="L183" t="s">
        <v>1028</v>
      </c>
    </row>
    <row r="184" spans="1:12" x14ac:dyDescent="0.3">
      <c r="A184">
        <v>9.6917092109320997E-3</v>
      </c>
      <c r="B184">
        <v>6.1419866574232698E-3</v>
      </c>
      <c r="C184">
        <v>2.4162101667697402E-3</v>
      </c>
      <c r="D184">
        <v>1.1398511762960899E-2</v>
      </c>
      <c r="E184" t="s">
        <v>1739</v>
      </c>
      <c r="F184" t="s">
        <v>1557</v>
      </c>
      <c r="G184">
        <v>106.111</v>
      </c>
      <c r="H184">
        <v>6.0350599262592997E-4</v>
      </c>
      <c r="I184">
        <v>105.319</v>
      </c>
      <c r="J184">
        <v>2.8375277325487498E-3</v>
      </c>
      <c r="K184" t="s">
        <v>1210</v>
      </c>
      <c r="L184" t="s">
        <v>1028</v>
      </c>
    </row>
    <row r="185" spans="1:12" x14ac:dyDescent="0.3">
      <c r="A185">
        <v>-3.9403871252573497E-3</v>
      </c>
      <c r="B185">
        <v>-3.1716537268759999E-3</v>
      </c>
      <c r="C185">
        <v>-1.5664221695060501E-2</v>
      </c>
      <c r="D185">
        <v>-2.2010123911118101E-3</v>
      </c>
      <c r="E185" t="s">
        <v>1740</v>
      </c>
      <c r="F185" t="s">
        <v>1557</v>
      </c>
      <c r="G185">
        <v>105.693</v>
      </c>
      <c r="H185">
        <v>-3.9392711405981098E-3</v>
      </c>
      <c r="I185">
        <v>105.261</v>
      </c>
      <c r="J185">
        <v>-5.5070784948596497E-4</v>
      </c>
      <c r="K185" t="s">
        <v>1211</v>
      </c>
      <c r="L185" t="s">
        <v>1028</v>
      </c>
    </row>
    <row r="186" spans="1:12" x14ac:dyDescent="0.3">
      <c r="A186">
        <v>2.1316685833889801E-3</v>
      </c>
      <c r="B186">
        <v>-9.9615046560082004E-3</v>
      </c>
      <c r="C186">
        <v>-3.3665208430493802E-2</v>
      </c>
      <c r="D186">
        <v>-9.6550430027560995E-3</v>
      </c>
      <c r="E186" t="s">
        <v>1741</v>
      </c>
      <c r="F186" t="s">
        <v>1557</v>
      </c>
      <c r="G186">
        <v>104.792</v>
      </c>
      <c r="H186">
        <v>-8.5246894307096106E-3</v>
      </c>
      <c r="I186">
        <v>105.006</v>
      </c>
      <c r="J186">
        <v>-2.4225496622680702E-3</v>
      </c>
      <c r="K186" t="s">
        <v>1212</v>
      </c>
      <c r="L186" t="s">
        <v>1028</v>
      </c>
    </row>
    <row r="187" spans="1:12" x14ac:dyDescent="0.3">
      <c r="A187">
        <v>2.5357857709627601E-2</v>
      </c>
      <c r="B187">
        <v>2.1698746196001199E-2</v>
      </c>
      <c r="C187">
        <v>3.0770998377488399E-2</v>
      </c>
      <c r="D187">
        <v>3.3008554152673703E-2</v>
      </c>
      <c r="E187" t="s">
        <v>1742</v>
      </c>
      <c r="F187" t="s">
        <v>1557</v>
      </c>
      <c r="G187">
        <v>105.589</v>
      </c>
      <c r="H187">
        <v>7.6055424078174099E-3</v>
      </c>
      <c r="I187">
        <v>105.86199999999999</v>
      </c>
      <c r="J187">
        <v>8.1519151286593202E-3</v>
      </c>
      <c r="K187" t="s">
        <v>1213</v>
      </c>
      <c r="L187" t="s">
        <v>1028</v>
      </c>
    </row>
    <row r="188" spans="1:12" x14ac:dyDescent="0.3">
      <c r="A188">
        <v>1.5085753101185199E-2</v>
      </c>
      <c r="B188">
        <v>1.5625918949128799E-2</v>
      </c>
      <c r="C188">
        <v>1.5469326265677499E-2</v>
      </c>
      <c r="D188">
        <v>3.0262315011426702E-3</v>
      </c>
      <c r="E188" t="s">
        <v>1743</v>
      </c>
      <c r="F188" t="s">
        <v>1557</v>
      </c>
      <c r="G188">
        <v>105.995</v>
      </c>
      <c r="H188">
        <v>3.8450975006867299E-3</v>
      </c>
      <c r="I188">
        <v>105.94199999999999</v>
      </c>
      <c r="J188">
        <v>7.5570081804610101E-4</v>
      </c>
      <c r="K188" t="s">
        <v>1214</v>
      </c>
      <c r="L188" t="s">
        <v>1028</v>
      </c>
    </row>
    <row r="189" spans="1:12" x14ac:dyDescent="0.3">
      <c r="A189">
        <v>1.9065277405527499E-2</v>
      </c>
      <c r="B189">
        <v>1.9426037707255001E-2</v>
      </c>
      <c r="C189">
        <v>1.98067429774604E-2</v>
      </c>
      <c r="D189">
        <v>1.9471921944120799E-2</v>
      </c>
      <c r="E189" t="s">
        <v>1744</v>
      </c>
      <c r="F189" t="s">
        <v>1557</v>
      </c>
      <c r="G189">
        <v>106.51600000000001</v>
      </c>
      <c r="H189">
        <v>4.9153261946317502E-3</v>
      </c>
      <c r="I189">
        <v>106.45399999999999</v>
      </c>
      <c r="J189">
        <v>4.8328330595985803E-3</v>
      </c>
      <c r="K189" t="s">
        <v>1215</v>
      </c>
      <c r="L189" t="s">
        <v>1028</v>
      </c>
    </row>
    <row r="190" spans="1:12" x14ac:dyDescent="0.3">
      <c r="A190">
        <v>2.3896314746341098E-2</v>
      </c>
      <c r="B190">
        <v>1.9409885132803301E-2</v>
      </c>
      <c r="C190">
        <v>3.9514900887574103E-2</v>
      </c>
      <c r="D190">
        <v>2.7099611156277601E-2</v>
      </c>
      <c r="E190" t="s">
        <v>1745</v>
      </c>
      <c r="F190" t="s">
        <v>1557</v>
      </c>
      <c r="G190">
        <v>107.53400000000001</v>
      </c>
      <c r="H190">
        <v>9.5572496150813108E-3</v>
      </c>
      <c r="I190">
        <v>107.188</v>
      </c>
      <c r="J190">
        <v>6.8949969000695601E-3</v>
      </c>
      <c r="K190" t="s">
        <v>1216</v>
      </c>
      <c r="L190" t="s">
        <v>1028</v>
      </c>
    </row>
    <row r="191" spans="1:12" x14ac:dyDescent="0.3">
      <c r="A191">
        <v>9.9328007831764892E-3</v>
      </c>
      <c r="B191">
        <v>1.3103273651826199E-2</v>
      </c>
      <c r="C191">
        <v>9.0306358829268501E-3</v>
      </c>
      <c r="D191">
        <v>2.1521193573355E-2</v>
      </c>
      <c r="E191" t="s">
        <v>1746</v>
      </c>
      <c r="F191" t="s">
        <v>1557</v>
      </c>
      <c r="G191">
        <v>107.80200000000001</v>
      </c>
      <c r="H191">
        <v>2.49223501404217E-3</v>
      </c>
      <c r="I191">
        <v>107.712</v>
      </c>
      <c r="J191">
        <v>4.8886069336120403E-3</v>
      </c>
      <c r="K191" t="s">
        <v>1217</v>
      </c>
      <c r="L191" t="s">
        <v>1028</v>
      </c>
    </row>
    <row r="192" spans="1:12" x14ac:dyDescent="0.3">
      <c r="A192">
        <v>1.4603017582518699E-2</v>
      </c>
      <c r="B192">
        <v>1.7788818797953999E-2</v>
      </c>
      <c r="C192">
        <v>3.6635495652026999E-2</v>
      </c>
      <c r="D192">
        <v>3.6311211479282998E-2</v>
      </c>
      <c r="E192" t="s">
        <v>1747</v>
      </c>
      <c r="F192" t="s">
        <v>1557</v>
      </c>
      <c r="G192">
        <v>108.785</v>
      </c>
      <c r="H192">
        <v>9.1185692287711895E-3</v>
      </c>
      <c r="I192">
        <v>108.676</v>
      </c>
      <c r="J192">
        <v>8.94979203802726E-3</v>
      </c>
      <c r="K192" t="s">
        <v>1218</v>
      </c>
      <c r="L192" t="s">
        <v>1028</v>
      </c>
    </row>
    <row r="193" spans="1:12" x14ac:dyDescent="0.3">
      <c r="A193">
        <v>2.5719713356744601E-2</v>
      </c>
      <c r="B193">
        <v>2.90667642529692E-2</v>
      </c>
      <c r="C193">
        <v>5.7042627848445E-2</v>
      </c>
      <c r="D193">
        <v>2.3197124388088401E-2</v>
      </c>
      <c r="E193" t="s">
        <v>1748</v>
      </c>
      <c r="F193" t="s">
        <v>1557</v>
      </c>
      <c r="G193">
        <v>110.252</v>
      </c>
      <c r="H193">
        <v>1.3485315071011699E-2</v>
      </c>
      <c r="I193">
        <v>109.285</v>
      </c>
      <c r="J193">
        <v>5.6038131694209304E-3</v>
      </c>
      <c r="K193" t="s">
        <v>1219</v>
      </c>
      <c r="L193" t="s">
        <v>1028</v>
      </c>
    </row>
    <row r="194" spans="1:12" x14ac:dyDescent="0.3">
      <c r="A194">
        <v>2.9147369447939799E-2</v>
      </c>
      <c r="B194">
        <v>4.11537159385129E-2</v>
      </c>
      <c r="C194">
        <v>5.2316315130779299E-2</v>
      </c>
      <c r="D194">
        <v>3.8107075575473298E-2</v>
      </c>
      <c r="E194" t="s">
        <v>1749</v>
      </c>
      <c r="F194" t="s">
        <v>1557</v>
      </c>
      <c r="G194">
        <v>111.627</v>
      </c>
      <c r="H194">
        <v>1.24714290897217E-2</v>
      </c>
      <c r="I194">
        <v>110.291</v>
      </c>
      <c r="J194">
        <v>9.2052889234570702E-3</v>
      </c>
      <c r="K194" t="s">
        <v>1220</v>
      </c>
      <c r="L194" t="s">
        <v>1028</v>
      </c>
    </row>
    <row r="195" spans="1:12" x14ac:dyDescent="0.3">
      <c r="A195">
        <v>2.1663179127611398E-2</v>
      </c>
      <c r="B195">
        <v>2.95524402709311E-2</v>
      </c>
      <c r="C195">
        <v>4.1414814571916599E-2</v>
      </c>
      <c r="D195">
        <v>5.71493007542314E-2</v>
      </c>
      <c r="E195" t="s">
        <v>1750</v>
      </c>
      <c r="F195" t="s">
        <v>1557</v>
      </c>
      <c r="G195">
        <v>112.81100000000001</v>
      </c>
      <c r="H195">
        <v>1.06067528465337E-2</v>
      </c>
      <c r="I195">
        <v>111.736</v>
      </c>
      <c r="J195">
        <v>1.3101703674824E-2</v>
      </c>
      <c r="K195" t="s">
        <v>1221</v>
      </c>
      <c r="L195" t="s">
        <v>1028</v>
      </c>
    </row>
    <row r="196" spans="1:12" x14ac:dyDescent="0.3">
      <c r="A196">
        <v>1.4350946991545E-2</v>
      </c>
      <c r="B196">
        <v>2.3387558006987101E-2</v>
      </c>
      <c r="C196">
        <v>3.8836746328921902E-2</v>
      </c>
      <c r="D196">
        <v>2.9745006586506799E-2</v>
      </c>
      <c r="E196" t="s">
        <v>1751</v>
      </c>
      <c r="F196" t="s">
        <v>1557</v>
      </c>
      <c r="G196">
        <v>113.875</v>
      </c>
      <c r="H196">
        <v>9.4317043550717905E-3</v>
      </c>
      <c r="I196">
        <v>112.542</v>
      </c>
      <c r="J196">
        <v>7.2134316603422698E-3</v>
      </c>
      <c r="K196" t="s">
        <v>1222</v>
      </c>
      <c r="L196" t="s">
        <v>1028</v>
      </c>
    </row>
    <row r="197" spans="1:12" x14ac:dyDescent="0.3">
      <c r="A197">
        <v>1.51565091171486E-2</v>
      </c>
      <c r="B197">
        <v>2.9652502701153601E-2</v>
      </c>
      <c r="C197">
        <v>1.6036274889288799E-2</v>
      </c>
      <c r="D197">
        <v>4.1912016313216102E-2</v>
      </c>
      <c r="E197" t="s">
        <v>1752</v>
      </c>
      <c r="F197" t="s">
        <v>1557</v>
      </c>
      <c r="G197">
        <v>114.43899999999999</v>
      </c>
      <c r="H197">
        <v>4.9527991218440998E-3</v>
      </c>
      <c r="I197">
        <v>113.715</v>
      </c>
      <c r="J197">
        <v>1.0422775497147801E-2</v>
      </c>
      <c r="K197" t="s">
        <v>1223</v>
      </c>
      <c r="L197" t="s">
        <v>1028</v>
      </c>
    </row>
    <row r="198" spans="1:12" x14ac:dyDescent="0.3">
      <c r="A198">
        <v>8.3593342288621492E-3</v>
      </c>
      <c r="B198">
        <v>4.3357912415273203E-2</v>
      </c>
      <c r="C198">
        <v>-1.6750426853228501E-2</v>
      </c>
      <c r="D198">
        <v>1.5721372171975601E-2</v>
      </c>
      <c r="E198" t="s">
        <v>1753</v>
      </c>
      <c r="F198" t="s">
        <v>1557</v>
      </c>
      <c r="G198">
        <v>113.98</v>
      </c>
      <c r="H198">
        <v>-4.0108704200489996E-3</v>
      </c>
      <c r="I198">
        <v>114.175</v>
      </c>
      <c r="J198">
        <v>4.0452007211009304E-3</v>
      </c>
      <c r="K198" t="s">
        <v>1224</v>
      </c>
      <c r="L198" t="s">
        <v>1028</v>
      </c>
    </row>
    <row r="199" spans="1:12" x14ac:dyDescent="0.3">
      <c r="A199">
        <v>2.4734353401226102E-2</v>
      </c>
      <c r="B199">
        <v>-2.6343933972632301E-2</v>
      </c>
      <c r="C199">
        <v>2.5813818283005E-2</v>
      </c>
      <c r="D199">
        <v>4.8037769815769002E-2</v>
      </c>
      <c r="E199" t="s">
        <v>1754</v>
      </c>
      <c r="F199" t="s">
        <v>1557</v>
      </c>
      <c r="G199">
        <v>114.758</v>
      </c>
      <c r="H199">
        <v>6.8257589050710896E-3</v>
      </c>
      <c r="I199">
        <v>115.41800000000001</v>
      </c>
      <c r="J199">
        <v>1.0886796584191E-2</v>
      </c>
      <c r="K199" t="s">
        <v>1225</v>
      </c>
      <c r="L199" t="s">
        <v>1028</v>
      </c>
    </row>
    <row r="200" spans="1:12" x14ac:dyDescent="0.3">
      <c r="A200">
        <v>1.0490970472330399E-2</v>
      </c>
      <c r="B200">
        <v>1.0018821110834301E-2</v>
      </c>
      <c r="C200">
        <v>8.6124156242581903E-3</v>
      </c>
      <c r="D200">
        <v>1.9083730667159401E-2</v>
      </c>
      <c r="E200" t="s">
        <v>1755</v>
      </c>
      <c r="F200" t="s">
        <v>1557</v>
      </c>
      <c r="G200">
        <v>114.919</v>
      </c>
      <c r="H200">
        <v>1.40295229962173E-3</v>
      </c>
      <c r="I200">
        <v>115.982</v>
      </c>
      <c r="J200">
        <v>4.8865861477411796E-3</v>
      </c>
      <c r="K200" t="s">
        <v>1226</v>
      </c>
      <c r="L200" t="s">
        <v>1028</v>
      </c>
    </row>
    <row r="201" spans="1:12" x14ac:dyDescent="0.3">
      <c r="A201">
        <v>1.45690487077856E-2</v>
      </c>
      <c r="B201">
        <v>1.6245763277308499E-2</v>
      </c>
      <c r="C201">
        <v>1.6996215944869601E-2</v>
      </c>
      <c r="D201">
        <v>5.8979339636946503E-3</v>
      </c>
      <c r="E201" t="s">
        <v>1756</v>
      </c>
      <c r="F201" t="s">
        <v>1557</v>
      </c>
      <c r="G201">
        <v>115.285</v>
      </c>
      <c r="H201">
        <v>3.1848519391919298E-3</v>
      </c>
      <c r="I201">
        <v>116.167</v>
      </c>
      <c r="J201">
        <v>1.59507509785994E-3</v>
      </c>
      <c r="K201" t="s">
        <v>1227</v>
      </c>
      <c r="L201" t="s">
        <v>1028</v>
      </c>
    </row>
    <row r="202" spans="1:12" x14ac:dyDescent="0.3">
      <c r="A202">
        <v>1.46624987744557E-2</v>
      </c>
      <c r="B202">
        <v>1.3591255249432201E-2</v>
      </c>
      <c r="C202">
        <v>5.0660572456327199E-2</v>
      </c>
      <c r="D202">
        <v>1.0418465412080901E-2</v>
      </c>
      <c r="E202" t="s">
        <v>1757</v>
      </c>
      <c r="F202" t="s">
        <v>1557</v>
      </c>
      <c r="G202">
        <v>116.54600000000001</v>
      </c>
      <c r="H202">
        <v>1.09381099015484E-2</v>
      </c>
      <c r="I202">
        <v>116.5</v>
      </c>
      <c r="J202">
        <v>2.86656279322006E-3</v>
      </c>
      <c r="K202" t="s">
        <v>1228</v>
      </c>
      <c r="L202" t="s">
        <v>1028</v>
      </c>
    </row>
    <row r="203" spans="1:12" x14ac:dyDescent="0.3">
      <c r="A203">
        <v>-1.7940859457881899E-2</v>
      </c>
      <c r="B203">
        <v>3.31045118831508E-3</v>
      </c>
      <c r="C203">
        <v>-1.06133933402519E-3</v>
      </c>
      <c r="D203">
        <v>-7.65559802497651E-3</v>
      </c>
      <c r="E203" t="s">
        <v>1758</v>
      </c>
      <c r="F203" t="s">
        <v>1557</v>
      </c>
      <c r="G203">
        <v>116.072</v>
      </c>
      <c r="H203">
        <v>-4.0670636486881398E-3</v>
      </c>
      <c r="I203">
        <v>116.19499999999999</v>
      </c>
      <c r="J203">
        <v>-2.61802575107306E-3</v>
      </c>
      <c r="K203" t="s">
        <v>1229</v>
      </c>
      <c r="L203" t="s">
        <v>1028</v>
      </c>
    </row>
    <row r="204" spans="1:12" x14ac:dyDescent="0.3">
      <c r="A204">
        <v>3.3775526155126898E-2</v>
      </c>
      <c r="B204">
        <v>2.5959727144998501E-2</v>
      </c>
      <c r="C204">
        <v>3.4596703938155803E-2</v>
      </c>
      <c r="D204">
        <v>4.1355015452944698E-2</v>
      </c>
      <c r="E204" t="s">
        <v>1759</v>
      </c>
      <c r="F204" t="s">
        <v>1557</v>
      </c>
      <c r="G204">
        <v>116.51900000000001</v>
      </c>
      <c r="H204">
        <v>3.8510579640223001E-3</v>
      </c>
      <c r="I204">
        <v>117.285</v>
      </c>
      <c r="J204">
        <v>9.3807823056069103E-3</v>
      </c>
      <c r="K204" t="s">
        <v>1230</v>
      </c>
      <c r="L204" t="s">
        <v>1028</v>
      </c>
    </row>
    <row r="205" spans="1:12" x14ac:dyDescent="0.3">
      <c r="A205">
        <v>1.6442937470855502E-2</v>
      </c>
      <c r="B205">
        <v>2.4447407360365301E-2</v>
      </c>
      <c r="C205">
        <v>5.1547958936444697E-2</v>
      </c>
      <c r="D205">
        <v>1.8415186976738801E-2</v>
      </c>
      <c r="E205" t="s">
        <v>1760</v>
      </c>
      <c r="F205" t="s">
        <v>1557</v>
      </c>
      <c r="G205">
        <v>117.593</v>
      </c>
      <c r="H205">
        <v>9.2173808563409398E-3</v>
      </c>
      <c r="I205">
        <v>117.706</v>
      </c>
      <c r="J205">
        <v>3.5895468303705999E-3</v>
      </c>
      <c r="K205" t="s">
        <v>1231</v>
      </c>
      <c r="L205" t="s">
        <v>1028</v>
      </c>
    </row>
    <row r="206" spans="1:12" x14ac:dyDescent="0.3">
      <c r="A206">
        <v>4.5025943450948999E-2</v>
      </c>
      <c r="B206">
        <v>4.0827649049089101E-2</v>
      </c>
      <c r="C206">
        <v>9.2834286401326696E-2</v>
      </c>
      <c r="D206">
        <v>6.4160755006020101E-2</v>
      </c>
      <c r="E206" t="s">
        <v>1761</v>
      </c>
      <c r="F206" t="s">
        <v>1557</v>
      </c>
      <c r="G206">
        <v>119.419</v>
      </c>
      <c r="H206">
        <v>1.5528135178114201E-2</v>
      </c>
      <c r="I206">
        <v>119.416</v>
      </c>
      <c r="J206">
        <v>1.45277216114725E-2</v>
      </c>
      <c r="K206" t="s">
        <v>1232</v>
      </c>
      <c r="L206" t="s">
        <v>1028</v>
      </c>
    </row>
    <row r="207" spans="1:12" x14ac:dyDescent="0.3">
      <c r="A207">
        <v>6.4441802743663304E-2</v>
      </c>
      <c r="B207">
        <v>4.1247362410053098E-2</v>
      </c>
      <c r="C207">
        <v>8.0575514620662397E-2</v>
      </c>
      <c r="D207">
        <v>0.104589902157439</v>
      </c>
      <c r="E207" t="s">
        <v>1762</v>
      </c>
      <c r="F207" t="s">
        <v>1557</v>
      </c>
      <c r="G207">
        <v>121.425</v>
      </c>
      <c r="H207">
        <v>1.6797996968656699E-2</v>
      </c>
      <c r="I207">
        <v>122.101</v>
      </c>
      <c r="J207">
        <v>2.24844241977624E-2</v>
      </c>
      <c r="K207" t="s">
        <v>1233</v>
      </c>
      <c r="L207" t="s">
        <v>1028</v>
      </c>
    </row>
    <row r="208" spans="1:12" x14ac:dyDescent="0.3">
      <c r="A208">
        <v>5.5998846943190198E-2</v>
      </c>
      <c r="B208">
        <v>4.40178580952795E-2</v>
      </c>
      <c r="C208">
        <v>6.4680375979367696E-2</v>
      </c>
      <c r="D208">
        <v>9.3631239224950299E-2</v>
      </c>
      <c r="E208" t="s">
        <v>1763</v>
      </c>
      <c r="F208" t="s">
        <v>1557</v>
      </c>
      <c r="G208">
        <v>123.291</v>
      </c>
      <c r="H208">
        <v>1.53675108091413E-2</v>
      </c>
      <c r="I208">
        <v>124.71</v>
      </c>
      <c r="J208">
        <v>2.13675563672697E-2</v>
      </c>
      <c r="K208" t="s">
        <v>1234</v>
      </c>
      <c r="L208" t="s">
        <v>1028</v>
      </c>
    </row>
    <row r="209" spans="1:12" x14ac:dyDescent="0.3">
      <c r="A209">
        <v>6.1859650545573498E-2</v>
      </c>
      <c r="B209">
        <v>4.34322998250962E-2</v>
      </c>
      <c r="C209">
        <v>8.4136934840178798E-2</v>
      </c>
      <c r="D209">
        <v>0.12124821634027599</v>
      </c>
      <c r="E209" t="s">
        <v>1764</v>
      </c>
      <c r="F209" t="s">
        <v>1557</v>
      </c>
      <c r="G209">
        <v>125.712</v>
      </c>
      <c r="H209">
        <v>1.96364698153151E-2</v>
      </c>
      <c r="I209">
        <v>128.44900000000001</v>
      </c>
      <c r="J209">
        <v>2.9981557212733798E-2</v>
      </c>
      <c r="K209" t="s">
        <v>1235</v>
      </c>
      <c r="L209" t="s">
        <v>1028</v>
      </c>
    </row>
    <row r="210" spans="1:12" x14ac:dyDescent="0.3">
      <c r="A210">
        <v>7.4784916271317198E-2</v>
      </c>
      <c r="B210">
        <v>5.6798579453040801E-2</v>
      </c>
      <c r="C210">
        <v>0.10120576467409099</v>
      </c>
      <c r="D210">
        <v>0.12687792670398401</v>
      </c>
      <c r="E210" t="s">
        <v>1765</v>
      </c>
      <c r="F210" t="s">
        <v>1557</v>
      </c>
      <c r="G210">
        <v>129</v>
      </c>
      <c r="H210">
        <v>2.6155021000381799E-2</v>
      </c>
      <c r="I210">
        <v>132.33099999999999</v>
      </c>
      <c r="J210">
        <v>3.0222111499505398E-2</v>
      </c>
      <c r="K210" t="s">
        <v>1236</v>
      </c>
      <c r="L210" t="s">
        <v>1028</v>
      </c>
    </row>
    <row r="211" spans="1:12" x14ac:dyDescent="0.3">
      <c r="A211">
        <v>7.2922192171477093E-2</v>
      </c>
      <c r="B211">
        <v>5.9959109255099501E-2</v>
      </c>
      <c r="C211">
        <v>0.15221841372862299</v>
      </c>
      <c r="D211">
        <v>0.13796693794697101</v>
      </c>
      <c r="E211" t="s">
        <v>1766</v>
      </c>
      <c r="F211" t="s">
        <v>1557</v>
      </c>
      <c r="G211">
        <v>133.62100000000001</v>
      </c>
      <c r="H211">
        <v>3.5821705426356799E-2</v>
      </c>
      <c r="I211">
        <v>136.69900000000001</v>
      </c>
      <c r="J211">
        <v>3.3008138682546297E-2</v>
      </c>
      <c r="K211" t="s">
        <v>1237</v>
      </c>
      <c r="L211" t="s">
        <v>1028</v>
      </c>
    </row>
    <row r="212" spans="1:12" x14ac:dyDescent="0.3">
      <c r="A212">
        <v>4.1796200977757901E-2</v>
      </c>
      <c r="B212">
        <v>4.8377032065661102E-2</v>
      </c>
      <c r="C212">
        <v>8.9811228034972802E-3</v>
      </c>
      <c r="D212">
        <v>8.9581033951388098E-2</v>
      </c>
      <c r="E212" t="s">
        <v>1767</v>
      </c>
      <c r="F212" t="s">
        <v>1557</v>
      </c>
      <c r="H212">
        <v>1.10762503071244E-2</v>
      </c>
      <c r="J212">
        <v>1.10762503071244E-2</v>
      </c>
      <c r="K212" t="s">
        <v>1238</v>
      </c>
      <c r="L212" t="s">
        <v>1239</v>
      </c>
    </row>
    <row r="213" spans="1:12" x14ac:dyDescent="0.3">
      <c r="A213">
        <v>2.7447616796656402E-2</v>
      </c>
      <c r="B213">
        <v>2.3249618404576101E-2</v>
      </c>
      <c r="C213">
        <v>3.8298767461848897E-2</v>
      </c>
      <c r="D213">
        <v>3.8298767461848897E-2</v>
      </c>
      <c r="E213" t="s">
        <v>1768</v>
      </c>
      <c r="F213" t="s">
        <v>1769</v>
      </c>
      <c r="H213">
        <v>9.4401732935755992E-3</v>
      </c>
      <c r="J213">
        <v>9.4401732935755992E-3</v>
      </c>
      <c r="K213" t="s">
        <v>1240</v>
      </c>
      <c r="L213" t="s">
        <v>1239</v>
      </c>
    </row>
    <row r="214" spans="1:12" x14ac:dyDescent="0.3">
      <c r="A214">
        <v>2.49173870638888E-2</v>
      </c>
      <c r="B214">
        <v>2.1715756912072299E-2</v>
      </c>
      <c r="C214">
        <v>3.6085750781477598E-2</v>
      </c>
      <c r="D214">
        <v>3.6085750781477598E-2</v>
      </c>
      <c r="E214" t="s">
        <v>1770</v>
      </c>
      <c r="F214" t="s">
        <v>1769</v>
      </c>
      <c r="H214">
        <v>8.9018658885664497E-3</v>
      </c>
      <c r="J214">
        <v>8.9018658885664497E-3</v>
      </c>
      <c r="K214" t="s">
        <v>1241</v>
      </c>
      <c r="L214" t="s">
        <v>1239</v>
      </c>
    </row>
    <row r="215" spans="1:12" x14ac:dyDescent="0.3">
      <c r="A215">
        <v>2.33440010578361E-2</v>
      </c>
      <c r="B215">
        <v>2.1485909848918801E-2</v>
      </c>
      <c r="C215">
        <v>3.2005284910624002E-2</v>
      </c>
      <c r="D215">
        <v>3.2005284910624002E-2</v>
      </c>
      <c r="E215" t="s">
        <v>1771</v>
      </c>
      <c r="F215" t="s">
        <v>1769</v>
      </c>
      <c r="H215">
        <v>7.9070438771131606E-3</v>
      </c>
      <c r="J215">
        <v>7.9070438771131606E-3</v>
      </c>
      <c r="K215" t="s">
        <v>1242</v>
      </c>
      <c r="L215" t="s">
        <v>1239</v>
      </c>
    </row>
    <row r="216" spans="1:12" x14ac:dyDescent="0.3">
      <c r="A216">
        <v>2.2676579457354702E-2</v>
      </c>
      <c r="B216">
        <v>2.1729771469873E-2</v>
      </c>
      <c r="C216">
        <v>2.9538555790939999E-2</v>
      </c>
      <c r="D216">
        <v>2.9538555790939999E-2</v>
      </c>
      <c r="E216" t="s">
        <v>1772</v>
      </c>
      <c r="F216" t="s">
        <v>1769</v>
      </c>
      <c r="H216">
        <v>7.3042210756391101E-3</v>
      </c>
      <c r="J216">
        <v>7.3042210756391101E-3</v>
      </c>
      <c r="K216" t="s">
        <v>1243</v>
      </c>
      <c r="L216" t="s">
        <v>1239</v>
      </c>
    </row>
    <row r="217" spans="1:12" x14ac:dyDescent="0.3">
      <c r="A217">
        <v>2.2178287431426899E-2</v>
      </c>
      <c r="B217">
        <v>2.22727407121028E-2</v>
      </c>
      <c r="C217">
        <v>2.8512142036472E-2</v>
      </c>
      <c r="D217">
        <v>2.8512142036472E-2</v>
      </c>
      <c r="E217" t="s">
        <v>1773</v>
      </c>
      <c r="F217" t="s">
        <v>1769</v>
      </c>
      <c r="H217">
        <v>7.0530654325617901E-3</v>
      </c>
      <c r="J217">
        <v>7.0530654325617901E-3</v>
      </c>
      <c r="K217" t="s">
        <v>1244</v>
      </c>
      <c r="L217" t="s">
        <v>1239</v>
      </c>
    </row>
    <row r="218" spans="1:12" x14ac:dyDescent="0.3">
      <c r="A218">
        <v>2.1434276652948898E-2</v>
      </c>
      <c r="B218">
        <v>2.23623952750127E-2</v>
      </c>
      <c r="C218">
        <v>2.8283584176253401E-2</v>
      </c>
      <c r="D218">
        <v>2.8283584176253401E-2</v>
      </c>
      <c r="E218" t="s">
        <v>1774</v>
      </c>
      <c r="F218" t="s">
        <v>1769</v>
      </c>
      <c r="H218">
        <v>6.9971134735056202E-3</v>
      </c>
      <c r="J218">
        <v>6.9971134735056202E-3</v>
      </c>
      <c r="K218" t="s">
        <v>1245</v>
      </c>
      <c r="L218" t="s">
        <v>1239</v>
      </c>
    </row>
    <row r="219" spans="1:12" x14ac:dyDescent="0.3">
      <c r="A219">
        <v>2.10072065089228E-2</v>
      </c>
      <c r="B219">
        <v>2.2496789219665199E-2</v>
      </c>
      <c r="C219">
        <v>2.7654852328046001E-2</v>
      </c>
      <c r="D219">
        <v>2.7654852328046001E-2</v>
      </c>
      <c r="E219" t="s">
        <v>1775</v>
      </c>
      <c r="F219" t="s">
        <v>1769</v>
      </c>
      <c r="H219">
        <v>6.8431490448084302E-3</v>
      </c>
      <c r="J219">
        <v>6.8431490448084302E-3</v>
      </c>
      <c r="K219" t="s">
        <v>1246</v>
      </c>
      <c r="L219" t="s">
        <v>1239</v>
      </c>
    </row>
    <row r="220" spans="1:12" x14ac:dyDescent="0.3">
      <c r="A220">
        <v>2.0591622707038602E-2</v>
      </c>
      <c r="B220">
        <v>2.25123599902981E-2</v>
      </c>
      <c r="C220">
        <v>2.7753662335143502E-2</v>
      </c>
      <c r="D220">
        <v>2.7753662335143502E-2</v>
      </c>
      <c r="E220" t="s">
        <v>1776</v>
      </c>
      <c r="F220" t="s">
        <v>1769</v>
      </c>
      <c r="H220">
        <v>6.8673504076357502E-3</v>
      </c>
      <c r="J220">
        <v>6.8673504076357502E-3</v>
      </c>
      <c r="K220" t="s">
        <v>1247</v>
      </c>
      <c r="L220" t="s">
        <v>1239</v>
      </c>
    </row>
    <row r="221" spans="1:12" x14ac:dyDescent="0.3">
      <c r="A221">
        <v>2.0347186911993099E-2</v>
      </c>
      <c r="B221">
        <v>2.2891901714989799E-2</v>
      </c>
      <c r="C221">
        <v>2.8110399323646899E-2</v>
      </c>
      <c r="D221">
        <v>2.8110399323646899E-2</v>
      </c>
      <c r="E221" t="s">
        <v>1777</v>
      </c>
      <c r="F221" t="s">
        <v>1769</v>
      </c>
      <c r="H221">
        <v>6.9547108559351303E-3</v>
      </c>
      <c r="J221">
        <v>6.9547108559351303E-3</v>
      </c>
      <c r="K221" t="s">
        <v>1248</v>
      </c>
      <c r="L221" t="s">
        <v>1239</v>
      </c>
    </row>
    <row r="222" spans="1:12" x14ac:dyDescent="0.3">
      <c r="A222">
        <v>2.03844462174123E-2</v>
      </c>
      <c r="B222">
        <v>2.2688598137850801E-2</v>
      </c>
      <c r="C222">
        <v>2.89673943247446E-2</v>
      </c>
      <c r="D222">
        <v>2.89673943247446E-2</v>
      </c>
      <c r="E222" t="s">
        <v>1778</v>
      </c>
      <c r="F222" t="s">
        <v>1769</v>
      </c>
      <c r="H222">
        <v>7.1644853940870902E-3</v>
      </c>
      <c r="J222">
        <v>7.1644853940870902E-3</v>
      </c>
      <c r="K222" t="s">
        <v>1249</v>
      </c>
      <c r="L222" t="s">
        <v>1239</v>
      </c>
    </row>
    <row r="223" spans="1:12" x14ac:dyDescent="0.3">
      <c r="A223">
        <v>2.02121429685698E-2</v>
      </c>
      <c r="B223">
        <v>2.2861927422401802E-2</v>
      </c>
      <c r="C223">
        <v>2.97171972862664E-2</v>
      </c>
      <c r="D223">
        <v>2.97171972862664E-2</v>
      </c>
      <c r="E223" t="s">
        <v>1779</v>
      </c>
      <c r="F223" t="s">
        <v>1769</v>
      </c>
      <c r="H223">
        <v>7.3479141028771596E-3</v>
      </c>
      <c r="J223">
        <v>7.3479141028771596E-3</v>
      </c>
      <c r="K223" t="s">
        <v>1250</v>
      </c>
      <c r="L223" t="s">
        <v>1239</v>
      </c>
    </row>
    <row r="224" spans="1:12" x14ac:dyDescent="0.3">
      <c r="A224">
        <v>2.00951255413373E-2</v>
      </c>
      <c r="B224">
        <v>2.2789213164977801E-2</v>
      </c>
      <c r="C224">
        <v>2.9972823640437098E-2</v>
      </c>
      <c r="D224">
        <v>2.9972823640437098E-2</v>
      </c>
      <c r="E224" t="s">
        <v>1780</v>
      </c>
      <c r="F224" t="s">
        <v>1769</v>
      </c>
      <c r="H224">
        <v>7.4104265836887296E-3</v>
      </c>
      <c r="J224">
        <v>7.4104265836887296E-3</v>
      </c>
      <c r="K224" t="s">
        <v>1251</v>
      </c>
      <c r="L224" t="s">
        <v>1239</v>
      </c>
    </row>
    <row r="225" spans="1:12" x14ac:dyDescent="0.3">
      <c r="A225">
        <v>2.0005533751415599E-2</v>
      </c>
      <c r="B225">
        <v>2.30067515754304E-2</v>
      </c>
      <c r="C225">
        <v>3.0378543432117301E-2</v>
      </c>
      <c r="D225">
        <v>3.0378543432117301E-2</v>
      </c>
      <c r="E225" t="s">
        <v>1781</v>
      </c>
      <c r="F225" t="s">
        <v>1769</v>
      </c>
      <c r="H225">
        <v>7.5096199742570296E-3</v>
      </c>
      <c r="J225">
        <v>7.5096199742570296E-3</v>
      </c>
      <c r="K225" t="s">
        <v>1252</v>
      </c>
      <c r="L225" t="s">
        <v>1239</v>
      </c>
    </row>
    <row r="226" spans="1:12" x14ac:dyDescent="0.3">
      <c r="A226">
        <v>1.9992497685795502E-2</v>
      </c>
      <c r="B226">
        <v>2.28689196510703E-2</v>
      </c>
      <c r="C226">
        <v>3.0384347471833498E-2</v>
      </c>
      <c r="D226">
        <v>3.0384347471833498E-2</v>
      </c>
      <c r="E226" t="s">
        <v>1782</v>
      </c>
      <c r="F226" t="s">
        <v>1769</v>
      </c>
      <c r="H226">
        <v>7.5110387764860701E-3</v>
      </c>
      <c r="J226">
        <v>7.5110387764860701E-3</v>
      </c>
      <c r="K226" t="s">
        <v>1253</v>
      </c>
      <c r="L226" t="s">
        <v>1239</v>
      </c>
    </row>
    <row r="227" spans="1:12" x14ac:dyDescent="0.3">
      <c r="A227">
        <v>1.99491524210023E-2</v>
      </c>
      <c r="B227">
        <v>2.2952518060170599E-2</v>
      </c>
      <c r="C227">
        <v>3.0780667439755299E-2</v>
      </c>
      <c r="D227">
        <v>3.0780667439755299E-2</v>
      </c>
      <c r="E227" t="s">
        <v>1783</v>
      </c>
      <c r="F227" t="s">
        <v>1769</v>
      </c>
      <c r="H227">
        <v>7.6079053396602703E-3</v>
      </c>
      <c r="J227">
        <v>7.6079053396602703E-3</v>
      </c>
      <c r="K227" t="s">
        <v>1254</v>
      </c>
      <c r="L227" t="s">
        <v>1239</v>
      </c>
    </row>
    <row r="228" spans="1:12" x14ac:dyDescent="0.3">
      <c r="A228">
        <v>1.99785657506244E-2</v>
      </c>
      <c r="B228">
        <v>2.3092018308592099E-2</v>
      </c>
      <c r="C228">
        <v>3.09234356698747E-2</v>
      </c>
      <c r="D228">
        <v>3.09234356698747E-2</v>
      </c>
      <c r="E228" t="s">
        <v>1784</v>
      </c>
      <c r="F228" t="s">
        <v>1769</v>
      </c>
      <c r="H228">
        <v>7.6427931995954896E-3</v>
      </c>
      <c r="J228">
        <v>7.6427931995954896E-3</v>
      </c>
      <c r="K228" t="s">
        <v>1255</v>
      </c>
      <c r="L228" t="s">
        <v>1239</v>
      </c>
    </row>
    <row r="229" spans="1:12" x14ac:dyDescent="0.3">
      <c r="A229">
        <v>1.9973482507164499E-2</v>
      </c>
      <c r="B229">
        <v>2.29188557927167E-2</v>
      </c>
      <c r="C229">
        <v>3.0940126349132901E-2</v>
      </c>
      <c r="D229">
        <v>3.0940126349132901E-2</v>
      </c>
      <c r="E229" t="s">
        <v>1785</v>
      </c>
      <c r="F229" t="s">
        <v>1769</v>
      </c>
      <c r="H229">
        <v>7.6468716160857904E-3</v>
      </c>
      <c r="J229">
        <v>7.6468716160857904E-3</v>
      </c>
      <c r="K229" t="s">
        <v>1256</v>
      </c>
      <c r="L229" t="s">
        <v>1239</v>
      </c>
    </row>
    <row r="230" spans="1:12" x14ac:dyDescent="0.3">
      <c r="A230">
        <v>2.00262569988248E-2</v>
      </c>
      <c r="B230">
        <v>2.34219478386497E-2</v>
      </c>
      <c r="C230">
        <v>3.08963138434795E-2</v>
      </c>
      <c r="D230">
        <v>3.08963138434795E-2</v>
      </c>
      <c r="E230" t="s">
        <v>1786</v>
      </c>
      <c r="F230" t="s">
        <v>1769</v>
      </c>
      <c r="H230">
        <v>7.6361657960506398E-3</v>
      </c>
      <c r="J230">
        <v>7.6361657960506398E-3</v>
      </c>
      <c r="K230" t="s">
        <v>1257</v>
      </c>
      <c r="L230" t="s">
        <v>1239</v>
      </c>
    </row>
    <row r="231" spans="1:12" x14ac:dyDescent="0.3">
      <c r="A231">
        <v>2.0068184200822601E-2</v>
      </c>
      <c r="B231">
        <v>2.29559923804479E-2</v>
      </c>
      <c r="C231">
        <v>3.1171169586274899E-2</v>
      </c>
      <c r="D231">
        <v>3.1171169586274899E-2</v>
      </c>
      <c r="E231" t="s">
        <v>1787</v>
      </c>
      <c r="F231" t="s">
        <v>1769</v>
      </c>
      <c r="H231">
        <v>7.7033226228278E-3</v>
      </c>
      <c r="J231">
        <v>7.7033226228278E-3</v>
      </c>
      <c r="K231" t="s">
        <v>1258</v>
      </c>
      <c r="L231" t="s">
        <v>1239</v>
      </c>
    </row>
    <row r="232" spans="1:12" x14ac:dyDescent="0.3">
      <c r="A232">
        <v>2.00733299513789E-2</v>
      </c>
      <c r="B232">
        <v>2.3089907346120601E-2</v>
      </c>
      <c r="C232">
        <v>3.11290252355114E-2</v>
      </c>
      <c r="D232">
        <v>3.11290252355114E-2</v>
      </c>
      <c r="E232" t="s">
        <v>1788</v>
      </c>
      <c r="F232" t="s">
        <v>1769</v>
      </c>
      <c r="H232">
        <v>7.6930261622452098E-3</v>
      </c>
      <c r="J232">
        <v>7.6930261622452098E-3</v>
      </c>
      <c r="K232" t="s">
        <v>1259</v>
      </c>
      <c r="L232" t="s">
        <v>1239</v>
      </c>
    </row>
    <row r="233" spans="1:12" x14ac:dyDescent="0.3">
      <c r="A233">
        <v>2.00833471581769E-2</v>
      </c>
      <c r="B233">
        <v>2.2986135275529802E-2</v>
      </c>
      <c r="C233">
        <v>3.12799263503531E-2</v>
      </c>
      <c r="D233">
        <v>3.12799263503531E-2</v>
      </c>
      <c r="E233" t="s">
        <v>1789</v>
      </c>
      <c r="F233" t="s">
        <v>1769</v>
      </c>
      <c r="H233">
        <v>7.72989197946106E-3</v>
      </c>
      <c r="J233">
        <v>7.72989197946106E-3</v>
      </c>
      <c r="K233" t="s">
        <v>1260</v>
      </c>
      <c r="L233" t="s">
        <v>1239</v>
      </c>
    </row>
    <row r="234" spans="1:12" x14ac:dyDescent="0.3">
      <c r="A234">
        <v>2.0140093939852201E-2</v>
      </c>
      <c r="B234">
        <v>2.31414769468055E-2</v>
      </c>
      <c r="C234">
        <v>3.1432246791632999E-2</v>
      </c>
      <c r="D234">
        <v>3.1432246791632999E-2</v>
      </c>
      <c r="E234" t="s">
        <v>1790</v>
      </c>
      <c r="F234" t="s">
        <v>1769</v>
      </c>
      <c r="H234">
        <v>7.76710044167461E-3</v>
      </c>
      <c r="J234">
        <v>7.76710044167461E-3</v>
      </c>
      <c r="K234" t="s">
        <v>1261</v>
      </c>
      <c r="L234" t="s">
        <v>1239</v>
      </c>
    </row>
    <row r="235" spans="1:12" x14ac:dyDescent="0.3">
      <c r="A235">
        <v>2.02021592909249E-2</v>
      </c>
      <c r="B235">
        <v>2.2984714477401601E-2</v>
      </c>
      <c r="C235">
        <v>3.1205847095053599E-2</v>
      </c>
      <c r="D235">
        <v>3.1205847095053599E-2</v>
      </c>
      <c r="E235" t="s">
        <v>1791</v>
      </c>
      <c r="F235" t="s">
        <v>1769</v>
      </c>
      <c r="H235">
        <v>7.7117945916846996E-3</v>
      </c>
      <c r="J235">
        <v>7.7117945916846996E-3</v>
      </c>
      <c r="K235" t="s">
        <v>1262</v>
      </c>
      <c r="L235" t="s">
        <v>1239</v>
      </c>
    </row>
    <row r="236" spans="1:12" x14ac:dyDescent="0.3">
      <c r="A236">
        <v>2.0211898969260102E-2</v>
      </c>
      <c r="B236">
        <v>2.2913195171825301E-2</v>
      </c>
      <c r="C236">
        <v>3.14110402970686E-2</v>
      </c>
      <c r="D236">
        <v>3.14110402970686E-2</v>
      </c>
      <c r="E236" t="s">
        <v>1792</v>
      </c>
      <c r="F236" t="s">
        <v>1769</v>
      </c>
      <c r="H236">
        <v>7.7619204183672101E-3</v>
      </c>
      <c r="J236">
        <v>7.7619204183672101E-3</v>
      </c>
      <c r="K236" t="s">
        <v>1263</v>
      </c>
      <c r="L236" t="s">
        <v>1239</v>
      </c>
    </row>
    <row r="237" spans="1:12" x14ac:dyDescent="0.3">
      <c r="A237">
        <v>2.0290430669000999E-2</v>
      </c>
      <c r="B237">
        <v>2.29758501503456E-2</v>
      </c>
      <c r="C237">
        <v>3.1565029186180898E-2</v>
      </c>
      <c r="D237">
        <v>3.1565029186180898E-2</v>
      </c>
      <c r="E237" t="s">
        <v>1793</v>
      </c>
      <c r="F237" t="s">
        <v>1769</v>
      </c>
      <c r="H237">
        <v>7.7995328359632401E-3</v>
      </c>
      <c r="J237">
        <v>7.7995328359632401E-3</v>
      </c>
      <c r="K237" t="s">
        <v>1264</v>
      </c>
      <c r="L237" t="s">
        <v>1239</v>
      </c>
    </row>
    <row r="238" spans="1:12" x14ac:dyDescent="0.3">
      <c r="A238">
        <v>2.0308808571870299E-2</v>
      </c>
      <c r="B238">
        <v>2.2824531954790599E-2</v>
      </c>
      <c r="C238">
        <v>3.1531274423854297E-2</v>
      </c>
      <c r="D238">
        <v>3.1531274423854297E-2</v>
      </c>
      <c r="E238" t="s">
        <v>1794</v>
      </c>
      <c r="F238" t="s">
        <v>1769</v>
      </c>
      <c r="H238">
        <v>7.7912884572341997E-3</v>
      </c>
      <c r="J238">
        <v>7.7912884572341997E-3</v>
      </c>
      <c r="K238" t="s">
        <v>1265</v>
      </c>
      <c r="L238" t="s">
        <v>1239</v>
      </c>
    </row>
    <row r="239" spans="1:12" x14ac:dyDescent="0.3">
      <c r="A239">
        <v>2.03080060292413E-2</v>
      </c>
      <c r="B239">
        <v>2.2972481063801901E-2</v>
      </c>
      <c r="C239">
        <v>3.1542996473644003E-2</v>
      </c>
      <c r="D239">
        <v>3.1542996473644003E-2</v>
      </c>
      <c r="E239" t="s">
        <v>1795</v>
      </c>
      <c r="F239" t="s">
        <v>1769</v>
      </c>
      <c r="H239">
        <v>7.7941515137436301E-3</v>
      </c>
      <c r="J239">
        <v>7.7941515137436301E-3</v>
      </c>
      <c r="K239" t="s">
        <v>1266</v>
      </c>
      <c r="L239" t="s">
        <v>1239</v>
      </c>
    </row>
    <row r="240" spans="1:12" x14ac:dyDescent="0.3">
      <c r="A240">
        <v>2.0323983720006399E-2</v>
      </c>
      <c r="B240">
        <v>2.2824566637221998E-2</v>
      </c>
      <c r="C240">
        <v>3.1855243350590097E-2</v>
      </c>
      <c r="D240">
        <v>3.1855243350590097E-2</v>
      </c>
      <c r="E240" t="s">
        <v>1796</v>
      </c>
      <c r="F240" t="s">
        <v>1769</v>
      </c>
      <c r="H240">
        <v>7.8704073905595494E-3</v>
      </c>
      <c r="J240">
        <v>7.8704073905595494E-3</v>
      </c>
      <c r="K240" t="s">
        <v>1267</v>
      </c>
      <c r="L240" t="s">
        <v>1239</v>
      </c>
    </row>
    <row r="241" spans="1:12" x14ac:dyDescent="0.3">
      <c r="A241">
        <v>2.0325704902500501E-2</v>
      </c>
      <c r="B241">
        <v>2.2886555231629101E-2</v>
      </c>
      <c r="C241">
        <v>3.1708818720508798E-2</v>
      </c>
      <c r="D241">
        <v>3.1708818720508798E-2</v>
      </c>
      <c r="E241" t="s">
        <v>1797</v>
      </c>
      <c r="F241" t="s">
        <v>1769</v>
      </c>
      <c r="H241">
        <v>7.8346502176538397E-3</v>
      </c>
      <c r="J241">
        <v>7.8346502176538397E-3</v>
      </c>
      <c r="K241" t="s">
        <v>1268</v>
      </c>
      <c r="L241" t="s">
        <v>1239</v>
      </c>
    </row>
    <row r="242" spans="1:12" x14ac:dyDescent="0.3">
      <c r="A242">
        <v>2.0305041683886599E-2</v>
      </c>
      <c r="B242">
        <v>2.29465623765257E-2</v>
      </c>
      <c r="C242">
        <v>3.1893508731351002E-2</v>
      </c>
      <c r="D242">
        <v>3.1893508731351002E-2</v>
      </c>
      <c r="E242" t="s">
        <v>1798</v>
      </c>
      <c r="F242" t="s">
        <v>1769</v>
      </c>
      <c r="H242">
        <v>7.8797512420421007E-3</v>
      </c>
      <c r="J242">
        <v>7.8797512420421007E-3</v>
      </c>
      <c r="K242" t="s">
        <v>1269</v>
      </c>
      <c r="L242" t="s">
        <v>1239</v>
      </c>
    </row>
    <row r="243" spans="1:12" x14ac:dyDescent="0.3">
      <c r="A243">
        <v>2.0287096358251301E-2</v>
      </c>
      <c r="B243">
        <v>2.2798980065175601E-2</v>
      </c>
      <c r="C243">
        <v>3.1810408581062898E-2</v>
      </c>
      <c r="D243">
        <v>3.1810408581062898E-2</v>
      </c>
      <c r="E243" t="s">
        <v>1799</v>
      </c>
      <c r="F243" t="s">
        <v>1769</v>
      </c>
      <c r="H243">
        <v>7.8594590588953999E-3</v>
      </c>
      <c r="J243">
        <v>7.8594590588953999E-3</v>
      </c>
      <c r="K243" t="s">
        <v>1270</v>
      </c>
      <c r="L243" t="s">
        <v>1239</v>
      </c>
    </row>
    <row r="244" spans="1:12" x14ac:dyDescent="0.3">
      <c r="A244">
        <v>2.0271579331879098E-2</v>
      </c>
      <c r="B244">
        <v>2.2857567238674801E-2</v>
      </c>
      <c r="C244">
        <v>3.1611362599311098E-2</v>
      </c>
      <c r="D244">
        <v>3.1611362599311098E-2</v>
      </c>
      <c r="E244" t="s">
        <v>1800</v>
      </c>
      <c r="F244" t="s">
        <v>1769</v>
      </c>
      <c r="H244">
        <v>7.8108491379678098E-3</v>
      </c>
      <c r="J244">
        <v>7.8108491379678098E-3</v>
      </c>
      <c r="K244" t="s">
        <v>1271</v>
      </c>
      <c r="L244" t="s">
        <v>1239</v>
      </c>
    </row>
    <row r="245" spans="1:12" x14ac:dyDescent="0.3">
      <c r="A245">
        <v>2.0226750918557398E-2</v>
      </c>
      <c r="B245">
        <v>2.30078651102898E-2</v>
      </c>
      <c r="C245">
        <v>3.1895036638032601E-2</v>
      </c>
      <c r="D245">
        <v>3.1895036638032601E-2</v>
      </c>
      <c r="E245" t="s">
        <v>1801</v>
      </c>
      <c r="F245" t="s">
        <v>1769</v>
      </c>
      <c r="H245">
        <v>7.8801243293176206E-3</v>
      </c>
      <c r="J245">
        <v>7.8801243293176206E-3</v>
      </c>
      <c r="K245" t="s">
        <v>1272</v>
      </c>
      <c r="L245" t="s">
        <v>1239</v>
      </c>
    </row>
    <row r="246" spans="1:12" x14ac:dyDescent="0.3">
      <c r="A246">
        <v>2.0229639632362201E-2</v>
      </c>
      <c r="B246">
        <v>2.2755662461575201E-2</v>
      </c>
      <c r="C246">
        <v>3.1906732152356301E-2</v>
      </c>
      <c r="D246">
        <v>3.1906732152356301E-2</v>
      </c>
      <c r="E246" t="s">
        <v>1802</v>
      </c>
      <c r="F246" t="s">
        <v>1769</v>
      </c>
      <c r="H246">
        <v>7.88298014941358E-3</v>
      </c>
      <c r="J246">
        <v>7.88298014941358E-3</v>
      </c>
      <c r="K246" t="s">
        <v>1273</v>
      </c>
      <c r="L246" t="s">
        <v>1239</v>
      </c>
    </row>
    <row r="247" spans="1:12" x14ac:dyDescent="0.3">
      <c r="A247">
        <v>2.0196749252488402E-2</v>
      </c>
      <c r="B247">
        <v>2.2817811468051102E-2</v>
      </c>
      <c r="C247">
        <v>3.1666344390047098E-2</v>
      </c>
      <c r="D247">
        <v>3.1666344390047098E-2</v>
      </c>
      <c r="E247" t="s">
        <v>1803</v>
      </c>
      <c r="F247" t="s">
        <v>1769</v>
      </c>
      <c r="H247">
        <v>7.8242771932854893E-3</v>
      </c>
      <c r="J247">
        <v>7.8242771932854893E-3</v>
      </c>
      <c r="K247" t="s">
        <v>1274</v>
      </c>
      <c r="L247" t="s">
        <v>1239</v>
      </c>
    </row>
    <row r="248" spans="1:12" x14ac:dyDescent="0.3">
      <c r="A248">
        <v>2.0138226913895701E-2</v>
      </c>
      <c r="B248">
        <v>2.3174738681931199E-2</v>
      </c>
      <c r="C248">
        <v>3.1749922428638201E-2</v>
      </c>
      <c r="D248">
        <v>3.1749922428638201E-2</v>
      </c>
      <c r="E248" t="s">
        <v>1804</v>
      </c>
      <c r="F248" t="s">
        <v>1769</v>
      </c>
      <c r="H248">
        <v>7.8446882055194199E-3</v>
      </c>
      <c r="J248">
        <v>7.8446882055194199E-3</v>
      </c>
      <c r="K248" t="s">
        <v>1275</v>
      </c>
      <c r="L248" t="s">
        <v>1239</v>
      </c>
    </row>
    <row r="249" spans="1:12" x14ac:dyDescent="0.3">
      <c r="A249">
        <v>2.0129535533826501E-2</v>
      </c>
      <c r="B249">
        <v>2.27379267080541E-2</v>
      </c>
      <c r="C249">
        <v>3.1908648163189397E-2</v>
      </c>
      <c r="D249">
        <v>3.1908648163189397E-2</v>
      </c>
      <c r="E249" t="s">
        <v>1805</v>
      </c>
      <c r="F249" t="s">
        <v>1769</v>
      </c>
      <c r="H249">
        <v>7.8834480001659397E-3</v>
      </c>
      <c r="J249">
        <v>7.8834480001659397E-3</v>
      </c>
      <c r="K249" t="s">
        <v>1276</v>
      </c>
      <c r="L249" t="s">
        <v>1239</v>
      </c>
    </row>
    <row r="250" spans="1:12" x14ac:dyDescent="0.3">
      <c r="A250">
        <v>2.0106884793451098E-2</v>
      </c>
      <c r="B250">
        <v>2.3093327603912001E-2</v>
      </c>
      <c r="C250">
        <v>3.1692204125751702E-2</v>
      </c>
      <c r="D250">
        <v>3.1692204125751702E-2</v>
      </c>
      <c r="E250" t="s">
        <v>1806</v>
      </c>
      <c r="F250" t="s">
        <v>1769</v>
      </c>
      <c r="H250">
        <v>7.8305926616084598E-3</v>
      </c>
      <c r="J250">
        <v>7.8305926616084598E-3</v>
      </c>
      <c r="K250" t="s">
        <v>1277</v>
      </c>
      <c r="L250" t="s">
        <v>1239</v>
      </c>
    </row>
    <row r="251" spans="1:12" x14ac:dyDescent="0.3">
      <c r="A251">
        <v>2.0037252982960399E-2</v>
      </c>
      <c r="B251">
        <v>2.2853757020905099E-2</v>
      </c>
      <c r="C251">
        <v>3.1763978164364597E-2</v>
      </c>
      <c r="D251">
        <v>3.1763978164364597E-2</v>
      </c>
      <c r="E251" t="s">
        <v>1807</v>
      </c>
      <c r="F251" t="s">
        <v>1769</v>
      </c>
      <c r="H251">
        <v>7.8481207054677E-3</v>
      </c>
      <c r="J251">
        <v>7.8481207054677E-3</v>
      </c>
      <c r="K251" t="s">
        <v>1278</v>
      </c>
      <c r="L251" t="s">
        <v>1239</v>
      </c>
    </row>
    <row r="252" spans="1:12" x14ac:dyDescent="0.3">
      <c r="A252">
        <v>2.0056022895238401E-2</v>
      </c>
      <c r="B252">
        <v>2.2713969923905002E-2</v>
      </c>
      <c r="C252">
        <v>3.17278315390737E-2</v>
      </c>
      <c r="D252">
        <v>3.17278315390737E-2</v>
      </c>
      <c r="E252" t="s">
        <v>1808</v>
      </c>
      <c r="F252" t="s">
        <v>1769</v>
      </c>
      <c r="H252">
        <v>7.8392933990876195E-3</v>
      </c>
      <c r="J252">
        <v>7.8392933990876195E-3</v>
      </c>
      <c r="K252" t="s">
        <v>1279</v>
      </c>
      <c r="L252" t="s">
        <v>1239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1" zoomScaleNormal="100" workbookViewId="0">
      <selection activeCell="C4" sqref="C4"/>
    </sheetView>
  </sheetViews>
  <sheetFormatPr defaultColWidth="11.5546875" defaultRowHeight="14.4" x14ac:dyDescent="0.3"/>
  <cols>
    <col min="1" max="1" width="23.77734375" customWidth="1"/>
    <col min="2" max="2" width="79.44140625" customWidth="1"/>
    <col min="3" max="3" width="33.44140625" customWidth="1"/>
  </cols>
  <sheetData>
    <row r="1" spans="1:4" ht="47.7" customHeight="1" x14ac:dyDescent="0.3">
      <c r="A1" s="45" t="s">
        <v>33</v>
      </c>
      <c r="B1" s="46" t="s">
        <v>34</v>
      </c>
      <c r="C1" s="46" t="s">
        <v>35</v>
      </c>
      <c r="D1" s="47" t="s">
        <v>36</v>
      </c>
    </row>
    <row r="2" spans="1:4" ht="79.5" customHeight="1" x14ac:dyDescent="0.3">
      <c r="A2" s="42" t="s">
        <v>949</v>
      </c>
      <c r="B2" s="43" t="s">
        <v>996</v>
      </c>
      <c r="C2" s="43" t="s">
        <v>997</v>
      </c>
      <c r="D2" s="39" t="s">
        <v>1014</v>
      </c>
    </row>
    <row r="3" spans="1:4" ht="63.75" customHeight="1" x14ac:dyDescent="0.3">
      <c r="A3" s="18" t="s">
        <v>79</v>
      </c>
      <c r="B3" s="38" t="s">
        <v>40</v>
      </c>
      <c r="C3" s="38" t="s">
        <v>41</v>
      </c>
      <c r="D3" s="40" t="s">
        <v>1014</v>
      </c>
    </row>
    <row r="4" spans="1:4" ht="137.25" customHeight="1" x14ac:dyDescent="0.3">
      <c r="A4" s="48" t="s">
        <v>80</v>
      </c>
      <c r="B4" s="38" t="s">
        <v>995</v>
      </c>
      <c r="C4" s="14" t="s">
        <v>951</v>
      </c>
      <c r="D4" s="40"/>
    </row>
    <row r="5" spans="1:4" ht="29.25" customHeight="1" x14ac:dyDescent="0.3">
      <c r="A5" s="48" t="s">
        <v>81</v>
      </c>
      <c r="B5" s="49" t="s">
        <v>82</v>
      </c>
      <c r="C5" s="36" t="s">
        <v>83</v>
      </c>
      <c r="D5" s="40"/>
    </row>
    <row r="6" spans="1:4" ht="43.2" customHeight="1" x14ac:dyDescent="0.3">
      <c r="A6" s="20" t="s">
        <v>84</v>
      </c>
      <c r="B6" s="44" t="s">
        <v>953</v>
      </c>
      <c r="C6" s="37" t="s">
        <v>952</v>
      </c>
      <c r="D6" s="41"/>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D89"/>
  <sheetViews>
    <sheetView zoomScaleNormal="100" workbookViewId="0">
      <pane xSplit="1" ySplit="1" topLeftCell="GT55" activePane="bottomRight" state="frozen"/>
      <selection pane="topRight" activeCell="B1" sqref="B1"/>
      <selection pane="bottomLeft" activeCell="A2" sqref="A2"/>
      <selection pane="bottomRight" activeCell="HD72" sqref="HD72"/>
    </sheetView>
  </sheetViews>
  <sheetFormatPr defaultColWidth="11.5546875" defaultRowHeight="14.4" x14ac:dyDescent="0.3"/>
  <cols>
    <col min="1" max="212" width="11.6640625" customWidth="1"/>
  </cols>
  <sheetData>
    <row r="1" spans="1:212" x14ac:dyDescent="0.3">
      <c r="A1" s="50" t="s">
        <v>2026</v>
      </c>
      <c r="B1" s="50" t="s">
        <v>1815</v>
      </c>
      <c r="C1" s="50" t="s">
        <v>1816</v>
      </c>
      <c r="D1" s="50" t="s">
        <v>1817</v>
      </c>
      <c r="E1" s="50" t="s">
        <v>1818</v>
      </c>
      <c r="F1" s="50" t="s">
        <v>1819</v>
      </c>
      <c r="G1" s="50" t="s">
        <v>1820</v>
      </c>
      <c r="H1" s="50" t="s">
        <v>1821</v>
      </c>
      <c r="I1" s="50" t="s">
        <v>1822</v>
      </c>
      <c r="J1" s="50" t="s">
        <v>1823</v>
      </c>
      <c r="K1" s="50" t="s">
        <v>1824</v>
      </c>
      <c r="L1" s="50" t="s">
        <v>1825</v>
      </c>
      <c r="M1" s="50" t="s">
        <v>1826</v>
      </c>
      <c r="N1" s="50" t="s">
        <v>1827</v>
      </c>
      <c r="O1" s="50" t="s">
        <v>1828</v>
      </c>
      <c r="P1" s="50" t="s">
        <v>1829</v>
      </c>
      <c r="Q1" s="50" t="s">
        <v>1830</v>
      </c>
      <c r="R1" s="50" t="s">
        <v>1831</v>
      </c>
      <c r="S1" s="50" t="s">
        <v>1832</v>
      </c>
      <c r="T1" s="50" t="s">
        <v>1833</v>
      </c>
      <c r="U1" s="50" t="s">
        <v>1834</v>
      </c>
      <c r="V1" s="50" t="s">
        <v>1835</v>
      </c>
      <c r="W1" s="50" t="s">
        <v>1836</v>
      </c>
      <c r="X1" s="50" t="s">
        <v>1837</v>
      </c>
      <c r="Y1" s="50" t="s">
        <v>1838</v>
      </c>
      <c r="Z1" s="50" t="s">
        <v>1839</v>
      </c>
      <c r="AA1" s="50" t="s">
        <v>1840</v>
      </c>
      <c r="AB1" s="50" t="s">
        <v>1841</v>
      </c>
      <c r="AC1" s="50" t="s">
        <v>1842</v>
      </c>
      <c r="AD1" s="50" t="s">
        <v>1843</v>
      </c>
      <c r="AE1" s="50" t="s">
        <v>1844</v>
      </c>
      <c r="AF1" s="50" t="s">
        <v>1845</v>
      </c>
      <c r="AG1" s="50" t="s">
        <v>1846</v>
      </c>
      <c r="AH1" s="50" t="s">
        <v>1847</v>
      </c>
      <c r="AI1" s="50" t="s">
        <v>1848</v>
      </c>
      <c r="AJ1" s="50" t="s">
        <v>1849</v>
      </c>
      <c r="AK1" s="50" t="s">
        <v>1850</v>
      </c>
      <c r="AL1" s="50" t="s">
        <v>1851</v>
      </c>
      <c r="AM1" s="50" t="s">
        <v>1852</v>
      </c>
      <c r="AN1" s="50" t="s">
        <v>1853</v>
      </c>
      <c r="AO1" s="50" t="s">
        <v>1854</v>
      </c>
      <c r="AP1" s="50" t="s">
        <v>1855</v>
      </c>
      <c r="AQ1" s="50" t="s">
        <v>1856</v>
      </c>
      <c r="AR1" s="50" t="s">
        <v>1857</v>
      </c>
      <c r="AS1" s="50" t="s">
        <v>1858</v>
      </c>
      <c r="AT1" s="50" t="s">
        <v>1859</v>
      </c>
      <c r="AU1" s="50" t="s">
        <v>1860</v>
      </c>
      <c r="AV1" s="50" t="s">
        <v>1861</v>
      </c>
      <c r="AW1" s="50" t="s">
        <v>1862</v>
      </c>
      <c r="AX1" s="50" t="s">
        <v>1863</v>
      </c>
      <c r="AY1" s="50" t="s">
        <v>1864</v>
      </c>
      <c r="AZ1" s="50" t="s">
        <v>1865</v>
      </c>
      <c r="BA1" s="50" t="s">
        <v>1866</v>
      </c>
      <c r="BB1" s="50" t="s">
        <v>1867</v>
      </c>
      <c r="BC1" s="50" t="s">
        <v>1868</v>
      </c>
      <c r="BD1" s="50" t="s">
        <v>1869</v>
      </c>
      <c r="BE1" s="50" t="s">
        <v>1870</v>
      </c>
      <c r="BF1" s="50" t="s">
        <v>1871</v>
      </c>
      <c r="BG1" s="50" t="s">
        <v>1872</v>
      </c>
      <c r="BH1" s="50" t="s">
        <v>1873</v>
      </c>
      <c r="BI1" s="50" t="s">
        <v>1874</v>
      </c>
      <c r="BJ1" s="50" t="s">
        <v>1875</v>
      </c>
      <c r="BK1" s="50" t="s">
        <v>1876</v>
      </c>
      <c r="BL1" s="50" t="s">
        <v>1877</v>
      </c>
      <c r="BM1" s="50" t="s">
        <v>1878</v>
      </c>
      <c r="BN1" s="50" t="s">
        <v>1879</v>
      </c>
      <c r="BO1" s="50" t="s">
        <v>1880</v>
      </c>
      <c r="BP1" s="50" t="s">
        <v>1881</v>
      </c>
      <c r="BQ1" s="50" t="s">
        <v>1882</v>
      </c>
      <c r="BR1" s="50" t="s">
        <v>1883</v>
      </c>
      <c r="BS1" s="50" t="s">
        <v>1884</v>
      </c>
      <c r="BT1" s="50" t="s">
        <v>1885</v>
      </c>
      <c r="BU1" s="50" t="s">
        <v>1886</v>
      </c>
      <c r="BV1" s="50" t="s">
        <v>1887</v>
      </c>
      <c r="BW1" s="50" t="s">
        <v>1888</v>
      </c>
      <c r="BX1" s="50" t="s">
        <v>1889</v>
      </c>
      <c r="BY1" s="50" t="s">
        <v>1890</v>
      </c>
      <c r="BZ1" s="50" t="s">
        <v>1891</v>
      </c>
      <c r="CA1" s="50" t="s">
        <v>1892</v>
      </c>
      <c r="CB1" s="50" t="s">
        <v>1893</v>
      </c>
      <c r="CC1" s="50" t="s">
        <v>1894</v>
      </c>
      <c r="CD1" s="50" t="s">
        <v>1895</v>
      </c>
      <c r="CE1" s="50" t="s">
        <v>1896</v>
      </c>
      <c r="CF1" s="50" t="s">
        <v>1897</v>
      </c>
      <c r="CG1" s="50" t="s">
        <v>1898</v>
      </c>
      <c r="CH1" s="50" t="s">
        <v>1899</v>
      </c>
      <c r="CI1" s="50" t="s">
        <v>1900</v>
      </c>
      <c r="CJ1" s="50" t="s">
        <v>1901</v>
      </c>
      <c r="CK1" s="50" t="s">
        <v>1902</v>
      </c>
      <c r="CL1" s="50" t="s">
        <v>1903</v>
      </c>
      <c r="CM1" s="50" t="s">
        <v>1904</v>
      </c>
      <c r="CN1" s="50" t="s">
        <v>1905</v>
      </c>
      <c r="CO1" s="50" t="s">
        <v>1906</v>
      </c>
      <c r="CP1" s="50" t="s">
        <v>1907</v>
      </c>
      <c r="CQ1" s="50" t="s">
        <v>1908</v>
      </c>
      <c r="CR1" s="50" t="s">
        <v>1909</v>
      </c>
      <c r="CS1" s="50" t="s">
        <v>1910</v>
      </c>
      <c r="CT1" s="50" t="s">
        <v>1911</v>
      </c>
      <c r="CU1" s="50" t="s">
        <v>1912</v>
      </c>
      <c r="CV1" s="50" t="s">
        <v>1913</v>
      </c>
      <c r="CW1" s="50" t="s">
        <v>1914</v>
      </c>
      <c r="CX1" s="50" t="s">
        <v>1915</v>
      </c>
      <c r="CY1" s="50" t="s">
        <v>1916</v>
      </c>
      <c r="CZ1" s="50" t="s">
        <v>1917</v>
      </c>
      <c r="DA1" s="50" t="s">
        <v>1918</v>
      </c>
      <c r="DB1" s="50" t="s">
        <v>1919</v>
      </c>
      <c r="DC1" s="50" t="s">
        <v>1920</v>
      </c>
      <c r="DD1" s="50" t="s">
        <v>1921</v>
      </c>
      <c r="DE1" s="50" t="s">
        <v>1922</v>
      </c>
      <c r="DF1" s="50" t="s">
        <v>1923</v>
      </c>
      <c r="DG1" s="50" t="s">
        <v>1924</v>
      </c>
      <c r="DH1" s="50" t="s">
        <v>1925</v>
      </c>
      <c r="DI1" s="50" t="s">
        <v>1926</v>
      </c>
      <c r="DJ1" s="50" t="s">
        <v>1927</v>
      </c>
      <c r="DK1" s="50" t="s">
        <v>1928</v>
      </c>
      <c r="DL1" s="50" t="s">
        <v>1929</v>
      </c>
      <c r="DM1" s="50" t="s">
        <v>1930</v>
      </c>
      <c r="DN1" s="50" t="s">
        <v>1931</v>
      </c>
      <c r="DO1" s="50" t="s">
        <v>1932</v>
      </c>
      <c r="DP1" s="50" t="s">
        <v>1933</v>
      </c>
      <c r="DQ1" s="50" t="s">
        <v>1934</v>
      </c>
      <c r="DR1" s="50" t="s">
        <v>1935</v>
      </c>
      <c r="DS1" s="50" t="s">
        <v>1936</v>
      </c>
      <c r="DT1" s="50" t="s">
        <v>1937</v>
      </c>
      <c r="DU1" s="50" t="s">
        <v>1938</v>
      </c>
      <c r="DV1" s="50" t="s">
        <v>1939</v>
      </c>
      <c r="DW1" s="50" t="s">
        <v>1940</v>
      </c>
      <c r="DX1" s="50" t="s">
        <v>1941</v>
      </c>
      <c r="DY1" s="50" t="s">
        <v>1942</v>
      </c>
      <c r="DZ1" s="50" t="s">
        <v>1943</v>
      </c>
      <c r="EA1" s="50" t="s">
        <v>1944</v>
      </c>
      <c r="EB1" s="50" t="s">
        <v>1945</v>
      </c>
      <c r="EC1" s="50" t="s">
        <v>1946</v>
      </c>
      <c r="ED1" s="50" t="s">
        <v>1947</v>
      </c>
      <c r="EE1" s="50" t="s">
        <v>1948</v>
      </c>
      <c r="EF1" s="50" t="s">
        <v>1949</v>
      </c>
      <c r="EG1" s="50" t="s">
        <v>1950</v>
      </c>
      <c r="EH1" s="50" t="s">
        <v>1951</v>
      </c>
      <c r="EI1" s="50" t="s">
        <v>1952</v>
      </c>
      <c r="EJ1" s="50" t="s">
        <v>1953</v>
      </c>
      <c r="EK1" s="50" t="s">
        <v>1954</v>
      </c>
      <c r="EL1" s="50" t="s">
        <v>1955</v>
      </c>
      <c r="EM1" s="50" t="s">
        <v>1956</v>
      </c>
      <c r="EN1" s="50" t="s">
        <v>1957</v>
      </c>
      <c r="EO1" s="50" t="s">
        <v>1958</v>
      </c>
      <c r="EP1" s="50" t="s">
        <v>1959</v>
      </c>
      <c r="EQ1" s="50" t="s">
        <v>1960</v>
      </c>
      <c r="ER1" s="50" t="s">
        <v>1961</v>
      </c>
      <c r="ES1" s="50" t="s">
        <v>1962</v>
      </c>
      <c r="ET1" s="50" t="s">
        <v>1963</v>
      </c>
      <c r="EU1" s="50" t="s">
        <v>1964</v>
      </c>
      <c r="EV1" s="50" t="s">
        <v>1965</v>
      </c>
      <c r="EW1" s="50" t="s">
        <v>1966</v>
      </c>
      <c r="EX1" s="50" t="s">
        <v>1967</v>
      </c>
      <c r="EY1" s="50" t="s">
        <v>1968</v>
      </c>
      <c r="EZ1" s="50" t="s">
        <v>1969</v>
      </c>
      <c r="FA1" s="50" t="s">
        <v>1970</v>
      </c>
      <c r="FB1" s="50" t="s">
        <v>1971</v>
      </c>
      <c r="FC1" s="50" t="s">
        <v>1972</v>
      </c>
      <c r="FD1" s="50" t="s">
        <v>1973</v>
      </c>
      <c r="FE1" s="50" t="s">
        <v>1974</v>
      </c>
      <c r="FF1" s="50" t="s">
        <v>1975</v>
      </c>
      <c r="FG1" s="50" t="s">
        <v>1976</v>
      </c>
      <c r="FH1" s="50" t="s">
        <v>1977</v>
      </c>
      <c r="FI1" s="50" t="s">
        <v>1978</v>
      </c>
      <c r="FJ1" s="50" t="s">
        <v>1979</v>
      </c>
      <c r="FK1" s="50" t="s">
        <v>1980</v>
      </c>
      <c r="FL1" s="50" t="s">
        <v>1981</v>
      </c>
      <c r="FM1" s="50" t="s">
        <v>1982</v>
      </c>
      <c r="FN1" s="50" t="s">
        <v>1983</v>
      </c>
      <c r="FO1" s="50" t="s">
        <v>1984</v>
      </c>
      <c r="FP1" s="50" t="s">
        <v>1985</v>
      </c>
      <c r="FQ1" s="50" t="s">
        <v>1986</v>
      </c>
      <c r="FR1" s="50" t="s">
        <v>1987</v>
      </c>
      <c r="FS1" s="50" t="s">
        <v>1988</v>
      </c>
      <c r="FT1" s="50" t="s">
        <v>1989</v>
      </c>
      <c r="FU1" s="50" t="s">
        <v>1990</v>
      </c>
      <c r="FV1" s="50" t="s">
        <v>1991</v>
      </c>
      <c r="FW1" s="50" t="s">
        <v>1992</v>
      </c>
      <c r="FX1" s="50" t="s">
        <v>1993</v>
      </c>
      <c r="FY1" s="50" t="s">
        <v>1994</v>
      </c>
      <c r="FZ1" s="50" t="s">
        <v>1995</v>
      </c>
      <c r="GA1" s="50" t="s">
        <v>1996</v>
      </c>
      <c r="GB1" s="50" t="s">
        <v>1997</v>
      </c>
      <c r="GC1" s="50" t="s">
        <v>1998</v>
      </c>
      <c r="GD1" s="50" t="s">
        <v>1999</v>
      </c>
      <c r="GE1" s="50" t="s">
        <v>2000</v>
      </c>
      <c r="GF1" s="50" t="s">
        <v>2001</v>
      </c>
      <c r="GG1" s="50" t="s">
        <v>2002</v>
      </c>
      <c r="GH1" s="50" t="s">
        <v>2003</v>
      </c>
      <c r="GI1" s="50" t="s">
        <v>2004</v>
      </c>
      <c r="GJ1" s="50" t="s">
        <v>2005</v>
      </c>
      <c r="GK1" s="50" t="s">
        <v>2006</v>
      </c>
      <c r="GL1" s="50" t="s">
        <v>2007</v>
      </c>
      <c r="GM1" s="50" t="s">
        <v>2008</v>
      </c>
      <c r="GN1" s="50" t="s">
        <v>2009</v>
      </c>
      <c r="GO1" s="50" t="s">
        <v>2010</v>
      </c>
      <c r="GP1" s="50" t="s">
        <v>2011</v>
      </c>
      <c r="GQ1" s="50" t="s">
        <v>2012</v>
      </c>
      <c r="GR1" s="50" t="s">
        <v>2013</v>
      </c>
      <c r="GS1" s="50" t="s">
        <v>2014</v>
      </c>
      <c r="GT1" s="50" t="s">
        <v>2015</v>
      </c>
      <c r="GU1" s="50" t="s">
        <v>2016</v>
      </c>
      <c r="GV1" s="50" t="s">
        <v>2017</v>
      </c>
      <c r="GW1" s="50" t="s">
        <v>2018</v>
      </c>
      <c r="GX1" s="50" t="s">
        <v>2019</v>
      </c>
      <c r="GY1" s="50" t="s">
        <v>2020</v>
      </c>
      <c r="GZ1" s="50" t="s">
        <v>2021</v>
      </c>
      <c r="HA1" s="50" t="s">
        <v>2022</v>
      </c>
      <c r="HB1" s="50" t="s">
        <v>2023</v>
      </c>
      <c r="HC1" s="50" t="s">
        <v>2024</v>
      </c>
      <c r="HD1" s="50" t="s">
        <v>2025</v>
      </c>
    </row>
    <row r="2" spans="1:212" x14ac:dyDescent="0.3">
      <c r="A2" s="36" t="s">
        <v>2027</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25699</v>
      </c>
    </row>
    <row r="3" spans="1:212" x14ac:dyDescent="0.3">
      <c r="A3" s="36" t="s">
        <v>2028</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20039.400000000001</v>
      </c>
    </row>
    <row r="4" spans="1:212" x14ac:dyDescent="0.3">
      <c r="A4" s="36" t="s">
        <v>2029</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128.24799999999999</v>
      </c>
    </row>
    <row r="5" spans="1:212" x14ac:dyDescent="0.3">
      <c r="A5" s="36" t="s">
        <v>2030</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17517.099999999999</v>
      </c>
    </row>
    <row r="6" spans="1:212" x14ac:dyDescent="0.3">
      <c r="A6" s="36" t="s">
        <v>2031</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14159.9</v>
      </c>
    </row>
    <row r="7" spans="1:212" x14ac:dyDescent="0.3">
      <c r="A7" s="36" t="s">
        <v>2032</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123.74299999999999</v>
      </c>
    </row>
    <row r="8" spans="1:212" x14ac:dyDescent="0.3">
      <c r="A8" s="36" t="s">
        <v>2033</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122.473</v>
      </c>
    </row>
    <row r="9" spans="1:212" x14ac:dyDescent="0.3">
      <c r="A9" s="36" t="s">
        <v>2034</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137.90199999999999</v>
      </c>
    </row>
    <row r="10" spans="1:212" x14ac:dyDescent="0.3">
      <c r="A10" s="36" t="s">
        <v>2035</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137.28899999999999</v>
      </c>
    </row>
    <row r="11" spans="1:212" x14ac:dyDescent="0.3">
      <c r="A11" s="36" t="s">
        <v>2036</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140.93299999999999</v>
      </c>
    </row>
    <row r="12" spans="1:212" x14ac:dyDescent="0.3">
      <c r="A12" s="36" t="s">
        <v>2037</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row>
    <row r="13" spans="1:212" x14ac:dyDescent="0.3">
      <c r="A13" s="36" t="s">
        <v>2038</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790</v>
      </c>
    </row>
    <row r="14" spans="1:212" x14ac:dyDescent="0.3">
      <c r="A14" s="36" t="s">
        <v>2039</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row>
    <row r="15" spans="1:212" x14ac:dyDescent="0.3">
      <c r="A15" s="36" t="s">
        <v>2040</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3828.2</v>
      </c>
    </row>
    <row r="16" spans="1:212" x14ac:dyDescent="0.3">
      <c r="A16" s="36" t="s">
        <v>2041</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row>
    <row r="17" spans="1:212" x14ac:dyDescent="0.3">
      <c r="A17" s="36" t="s">
        <v>2042</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3244</v>
      </c>
    </row>
    <row r="18" spans="1:212" x14ac:dyDescent="0.3">
      <c r="A18" s="36" t="s">
        <v>2043</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1791.7</v>
      </c>
    </row>
    <row r="19" spans="1:212" x14ac:dyDescent="0.3">
      <c r="A19" s="36" t="s">
        <v>2044</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436.3</v>
      </c>
    </row>
    <row r="20" spans="1:212" x14ac:dyDescent="0.3">
      <c r="A20" s="36" t="s">
        <v>2045</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4486.5</v>
      </c>
    </row>
    <row r="21" spans="1:212" x14ac:dyDescent="0.3">
      <c r="A21" s="36" t="s">
        <v>2046</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1688</v>
      </c>
    </row>
    <row r="22" spans="1:212" x14ac:dyDescent="0.3">
      <c r="A22" s="36" t="s">
        <v>2047</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123.71</v>
      </c>
    </row>
    <row r="23" spans="1:212" x14ac:dyDescent="0.3">
      <c r="A23" s="36" t="s">
        <v>2048</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1656.9</v>
      </c>
    </row>
    <row r="24" spans="1:212" x14ac:dyDescent="0.3">
      <c r="A24" s="36" t="s">
        <v>2049</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2829.6</v>
      </c>
    </row>
    <row r="25" spans="1:212" x14ac:dyDescent="0.3">
      <c r="A25" s="36" t="s">
        <v>2050</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1352.6</v>
      </c>
    </row>
    <row r="26" spans="1:212" x14ac:dyDescent="0.3">
      <c r="A26" s="36" t="s">
        <v>2051</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2052.1</v>
      </c>
    </row>
    <row r="27" spans="1:212" x14ac:dyDescent="0.3">
      <c r="A27" s="36" t="s">
        <v>2052</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2638.6</v>
      </c>
    </row>
    <row r="28" spans="1:212" x14ac:dyDescent="0.3">
      <c r="A28" s="36" t="s">
        <v>2053</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202.6</v>
      </c>
    </row>
    <row r="29" spans="1:212" x14ac:dyDescent="0.3">
      <c r="A29" s="36" t="s">
        <v>2054</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334.6</v>
      </c>
    </row>
    <row r="30" spans="1:212" x14ac:dyDescent="0.3">
      <c r="A30" s="36" t="s">
        <v>2055</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1664</v>
      </c>
    </row>
    <row r="31" spans="1:212" x14ac:dyDescent="0.3">
      <c r="A31" s="36" t="s">
        <v>2056</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2841.4</v>
      </c>
    </row>
    <row r="32" spans="1:212" x14ac:dyDescent="0.3">
      <c r="A32" s="36" t="s">
        <v>2057</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row>
    <row r="33" spans="1:212" x14ac:dyDescent="0.3">
      <c r="A33" s="36" t="s">
        <v>2058</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605.4</v>
      </c>
    </row>
    <row r="34" spans="1:212" x14ac:dyDescent="0.3">
      <c r="A34" s="36" t="s">
        <v>2059</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1589.1</v>
      </c>
    </row>
    <row r="35" spans="1:212" x14ac:dyDescent="0.3">
      <c r="A35" s="36" t="s">
        <v>2060</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101.6</v>
      </c>
    </row>
    <row r="36" spans="1:212" x14ac:dyDescent="0.3">
      <c r="A36" s="36" t="s">
        <v>2061</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24</v>
      </c>
    </row>
    <row r="37" spans="1:212" x14ac:dyDescent="0.3">
      <c r="A37" s="36" t="s">
        <v>2062</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986.8</v>
      </c>
    </row>
    <row r="38" spans="1:212" x14ac:dyDescent="0.3">
      <c r="A38" s="36" t="s">
        <v>2063</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3737.6</v>
      </c>
    </row>
    <row r="39" spans="1:212" x14ac:dyDescent="0.3">
      <c r="A39" s="36" t="s">
        <v>2064</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row>
    <row r="40" spans="1:212" x14ac:dyDescent="0.3">
      <c r="A40" s="36" t="s">
        <v>2065</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row>
    <row r="41" spans="1:212" x14ac:dyDescent="0.3">
      <c r="A41" s="36" t="s">
        <v>2066</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row>
    <row r="42" spans="1:212" x14ac:dyDescent="0.3">
      <c r="A42" s="36" t="s">
        <v>2067</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113.4</v>
      </c>
    </row>
    <row r="43" spans="1:212" x14ac:dyDescent="0.3">
      <c r="A43" s="36" t="s">
        <v>2068</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row>
    <row r="44" spans="1:212" x14ac:dyDescent="0.3">
      <c r="A44" s="36" t="s">
        <v>2069</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114.1</v>
      </c>
    </row>
    <row r="45" spans="1:212" x14ac:dyDescent="0.3">
      <c r="A45" s="36" t="s">
        <v>2070</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row>
    <row r="46" spans="1:212" x14ac:dyDescent="0.3">
      <c r="A46" s="36" t="s">
        <v>2071</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row>
    <row r="47" spans="1:212" x14ac:dyDescent="0.3">
      <c r="A47" s="36" t="s">
        <v>2072</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row>
    <row r="48" spans="1:212" x14ac:dyDescent="0.3">
      <c r="A48" s="36" t="s">
        <v>2073</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row>
    <row r="49" spans="1:212" x14ac:dyDescent="0.3">
      <c r="A49" s="36" t="s">
        <v>2074</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row>
    <row r="50" spans="1:212" x14ac:dyDescent="0.3">
      <c r="A50" s="36" t="s">
        <v>2075</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row>
    <row r="51" spans="1:212" x14ac:dyDescent="0.3">
      <c r="A51" s="36" t="s">
        <v>2076</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row>
    <row r="52" spans="1:212" x14ac:dyDescent="0.3">
      <c r="A52" s="36" t="s">
        <v>2077</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row>
    <row r="53" spans="1:212" x14ac:dyDescent="0.3">
      <c r="A53" s="36" t="s">
        <v>2078</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row>
    <row r="54" spans="1:212" x14ac:dyDescent="0.3">
      <c r="A54" s="36" t="s">
        <v>2079</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row>
    <row r="55" spans="1:212" x14ac:dyDescent="0.3">
      <c r="A55" s="36" t="s">
        <v>2080</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row>
    <row r="56" spans="1:212" x14ac:dyDescent="0.3">
      <c r="A56" s="36" t="s">
        <v>2081</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row>
    <row r="57" spans="1:212" x14ac:dyDescent="0.3">
      <c r="A57" s="36" t="s">
        <v>2082</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row>
    <row r="58" spans="1:212" x14ac:dyDescent="0.3">
      <c r="A58" s="36" t="s">
        <v>2083</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row>
    <row r="59" spans="1:212" x14ac:dyDescent="0.3">
      <c r="A59" s="36" t="s">
        <v>2084</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row>
    <row r="60" spans="1:212" x14ac:dyDescent="0.3">
      <c r="A60" s="36" t="s">
        <v>2085</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row>
    <row r="61" spans="1:212" x14ac:dyDescent="0.3">
      <c r="A61" s="36" t="s">
        <v>2086</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row>
    <row r="62" spans="1:212" x14ac:dyDescent="0.3">
      <c r="A62" s="36" t="s">
        <v>2087</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row>
    <row r="63" spans="1:212" x14ac:dyDescent="0.3">
      <c r="A63" s="36" t="s">
        <v>2088</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row>
    <row r="64" spans="1:212" x14ac:dyDescent="0.3">
      <c r="A64" s="36" t="s">
        <v>2089</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row>
    <row r="65" spans="1:212" x14ac:dyDescent="0.3">
      <c r="A65" s="36" t="s">
        <v>2090</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row>
    <row r="66" spans="1:212" x14ac:dyDescent="0.3">
      <c r="A66" s="36" t="s">
        <v>2091</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113.163</v>
      </c>
    </row>
    <row r="67" spans="1:212" x14ac:dyDescent="0.3">
      <c r="A67" s="36" t="s">
        <v>2092</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row>
    <row r="68" spans="1:212" x14ac:dyDescent="0.3">
      <c r="A68" s="36" t="s">
        <v>2093</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row>
    <row r="69" spans="1:212" x14ac:dyDescent="0.3">
      <c r="A69" s="36" t="s">
        <v>2094</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row>
    <row r="70" spans="1:212" x14ac:dyDescent="0.3">
      <c r="A70" s="36" t="s">
        <v>2095</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row>
    <row r="71" spans="1:212" x14ac:dyDescent="0.3">
      <c r="A71" s="36" t="s">
        <v>2096</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row>
    <row r="72" spans="1:212" x14ac:dyDescent="0.3">
      <c r="A72" s="36" t="s">
        <v>2097</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5256</v>
      </c>
    </row>
    <row r="73" spans="1:212" x14ac:dyDescent="0.3">
      <c r="A73" s="36" t="s">
        <v>2098</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14184</v>
      </c>
    </row>
    <row r="74" spans="1:212" x14ac:dyDescent="0.3">
      <c r="A74" s="36" t="s">
        <v>2099</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342583.66666666698</v>
      </c>
    </row>
    <row r="75" spans="1:212" x14ac:dyDescent="0.3">
      <c r="A75" s="36" t="s">
        <v>2100</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1.05110547299745E-2</v>
      </c>
    </row>
    <row r="76" spans="1:212" x14ac:dyDescent="0.3">
      <c r="A76" s="36" t="s">
        <v>2101</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1.0485141965882501E-2</v>
      </c>
    </row>
    <row r="77" spans="1:212" x14ac:dyDescent="0.3">
      <c r="A77" s="36" t="s">
        <v>2102</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1.2583608238046801E-2</v>
      </c>
    </row>
    <row r="78" spans="1:212" x14ac:dyDescent="0.3">
      <c r="A78" s="36" t="s">
        <v>2103</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7.09851749068857E-3</v>
      </c>
    </row>
    <row r="79" spans="1:212" x14ac:dyDescent="0.3">
      <c r="A79" s="36" t="s">
        <v>2104</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3.9855496402034802E-3</v>
      </c>
    </row>
    <row r="80" spans="1:212" x14ac:dyDescent="0.3">
      <c r="A80" s="36" t="s">
        <v>2105</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2.2565174172670701E-2</v>
      </c>
    </row>
    <row r="81" spans="1:212" x14ac:dyDescent="0.3">
      <c r="A81" s="36" t="s">
        <v>2106</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11259.7</v>
      </c>
    </row>
    <row r="82" spans="1:212" x14ac:dyDescent="0.3">
      <c r="A82" s="36" t="s">
        <v>2107</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1859</v>
      </c>
    </row>
    <row r="83" spans="1:212" x14ac:dyDescent="0.3">
      <c r="A83" s="36" t="s">
        <v>2108</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row>
    <row r="84" spans="1:212" x14ac:dyDescent="0.3">
      <c r="A84" s="36" t="s">
        <v>2109</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3366.9</v>
      </c>
    </row>
    <row r="85" spans="1:212" x14ac:dyDescent="0.3">
      <c r="A85" s="36" t="s">
        <v>2110</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2512.1</v>
      </c>
    </row>
    <row r="86" spans="1:212" x14ac:dyDescent="0.3">
      <c r="A86" s="36" t="s">
        <v>2111</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row>
    <row r="87" spans="1:212" x14ac:dyDescent="0.3">
      <c r="A87" s="36" t="s">
        <v>2112</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row>
    <row r="88" spans="1:212" ht="19.2" customHeight="1" x14ac:dyDescent="0.3">
      <c r="A88" s="36" t="s">
        <v>2113</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1214402</v>
      </c>
    </row>
    <row r="89" spans="1:212" x14ac:dyDescent="0.3">
      <c r="A89" s="36" t="s">
        <v>2114</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49" zoomScale="109" workbookViewId="0">
      <selection activeCell="B29" sqref="B29"/>
    </sheetView>
  </sheetViews>
  <sheetFormatPr defaultColWidth="11.554687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2" t="s">
        <v>85</v>
      </c>
      <c r="B1" s="62" t="s">
        <v>86</v>
      </c>
      <c r="C1" s="62" t="s">
        <v>87</v>
      </c>
      <c r="D1" s="62" t="s">
        <v>88</v>
      </c>
      <c r="E1" s="62" t="s">
        <v>89</v>
      </c>
      <c r="F1" s="62" t="s">
        <v>90</v>
      </c>
    </row>
    <row r="2" spans="1:11" x14ac:dyDescent="0.3">
      <c r="C2" s="58" t="str">
        <f>'Haver Pivoted'!A1</f>
        <v>name</v>
      </c>
      <c r="D2" s="63" t="s">
        <v>1544</v>
      </c>
      <c r="E2" s="63" t="s">
        <v>1545</v>
      </c>
      <c r="F2" s="63"/>
      <c r="H2" s="64"/>
    </row>
    <row r="3" spans="1:11" x14ac:dyDescent="0.3">
      <c r="B3" s="58" t="s">
        <v>91</v>
      </c>
      <c r="C3" s="58" t="str">
        <f>'Haver Pivoted'!A2</f>
        <v>gdp</v>
      </c>
      <c r="D3">
        <v>25663.3</v>
      </c>
      <c r="E3" s="58">
        <f>'Haver Pivoted'!HD2</f>
        <v>25699</v>
      </c>
      <c r="F3" s="58">
        <f>E3-D3</f>
        <v>35.700000000000728</v>
      </c>
      <c r="G3" s="65">
        <f>F3/D3</f>
        <v>1.391091558762931E-3</v>
      </c>
      <c r="H3" s="66"/>
    </row>
    <row r="4" spans="1:11" x14ac:dyDescent="0.3">
      <c r="B4" s="58" t="s">
        <v>92</v>
      </c>
      <c r="C4" s="58" t="str">
        <f>'Haver Pivoted'!A3</f>
        <v>gdph</v>
      </c>
      <c r="D4">
        <v>20021.7</v>
      </c>
      <c r="E4" s="58">
        <f>'Haver Pivoted'!HD3</f>
        <v>20039.400000000001</v>
      </c>
      <c r="F4" s="58">
        <f t="shared" ref="F4:F67" si="0">E4-D4</f>
        <v>17.700000000000728</v>
      </c>
      <c r="G4" s="65">
        <f t="shared" ref="G4:G67" si="1">F4/D4</f>
        <v>8.8404081571498557E-4</v>
      </c>
      <c r="H4" s="66"/>
    </row>
    <row r="5" spans="1:11" x14ac:dyDescent="0.3">
      <c r="B5" s="58" t="s">
        <v>93</v>
      </c>
      <c r="C5" s="58" t="str">
        <f>'Haver Pivoted'!A4</f>
        <v>jgdp</v>
      </c>
      <c r="D5">
        <v>128.18799999999999</v>
      </c>
      <c r="E5" s="58">
        <f>'Haver Pivoted'!HD4</f>
        <v>128.24799999999999</v>
      </c>
      <c r="F5" s="58">
        <f t="shared" si="0"/>
        <v>6.0000000000002274E-2</v>
      </c>
      <c r="G5" s="65">
        <f t="shared" si="1"/>
        <v>4.6806253315444723E-4</v>
      </c>
      <c r="H5" s="67"/>
    </row>
    <row r="6" spans="1:11" x14ac:dyDescent="0.3">
      <c r="B6" s="58" t="s">
        <v>94</v>
      </c>
      <c r="C6" s="58" t="str">
        <f>'Haver Pivoted'!A5</f>
        <v>c</v>
      </c>
      <c r="D6">
        <v>17500.3</v>
      </c>
      <c r="E6" s="58">
        <f>'Haver Pivoted'!HD5</f>
        <v>17517.099999999999</v>
      </c>
      <c r="F6" s="58">
        <f t="shared" si="0"/>
        <v>16.799999999999272</v>
      </c>
      <c r="G6" s="65">
        <f t="shared" si="1"/>
        <v>9.599835431392189E-4</v>
      </c>
    </row>
    <row r="7" spans="1:11" x14ac:dyDescent="0.3">
      <c r="B7" s="58" t="s">
        <v>95</v>
      </c>
      <c r="C7" s="58" t="str">
        <f>'Haver Pivoted'!A6</f>
        <v>ch</v>
      </c>
      <c r="D7">
        <v>14149</v>
      </c>
      <c r="E7" s="58">
        <f>'Haver Pivoted'!HD6</f>
        <v>14159.9</v>
      </c>
      <c r="F7" s="58">
        <f t="shared" si="0"/>
        <v>10.899999999999636</v>
      </c>
      <c r="G7" s="65">
        <f t="shared" si="1"/>
        <v>7.7037246448509694E-4</v>
      </c>
      <c r="K7" s="67"/>
    </row>
    <row r="8" spans="1:11" x14ac:dyDescent="0.3">
      <c r="B8" s="58" t="s">
        <v>96</v>
      </c>
      <c r="C8" s="58" t="str">
        <f>'Haver Pivoted'!A7</f>
        <v>jc</v>
      </c>
      <c r="D8">
        <v>123.71899999999999</v>
      </c>
      <c r="E8" s="58">
        <f>'Haver Pivoted'!HD7</f>
        <v>123.74299999999999</v>
      </c>
      <c r="F8" s="58">
        <f t="shared" si="0"/>
        <v>2.4000000000000909E-2</v>
      </c>
      <c r="G8" s="65">
        <f t="shared" si="1"/>
        <v>1.9398798891036065E-4</v>
      </c>
    </row>
    <row r="9" spans="1:11" x14ac:dyDescent="0.3">
      <c r="B9" s="58" t="s">
        <v>97</v>
      </c>
      <c r="C9" s="58" t="str">
        <f>'Haver Pivoted'!A8</f>
        <v>jgf</v>
      </c>
      <c r="D9">
        <v>122.38800000000001</v>
      </c>
      <c r="E9" s="58">
        <f>'Haver Pivoted'!HD8</f>
        <v>122.473</v>
      </c>
      <c r="F9" s="58">
        <f t="shared" si="0"/>
        <v>8.4999999999993747E-2</v>
      </c>
      <c r="G9" s="65">
        <f t="shared" si="1"/>
        <v>6.9451253390850204E-4</v>
      </c>
    </row>
    <row r="10" spans="1:11" x14ac:dyDescent="0.3">
      <c r="B10" s="58" t="s">
        <v>98</v>
      </c>
      <c r="C10" s="58" t="str">
        <f>'Haver Pivoted'!A9</f>
        <v>jgs</v>
      </c>
      <c r="D10">
        <v>137.68</v>
      </c>
      <c r="E10" s="58">
        <f>'Haver Pivoted'!HD9</f>
        <v>137.90199999999999</v>
      </c>
      <c r="F10" s="58">
        <f t="shared" si="0"/>
        <v>0.22199999999997999</v>
      </c>
      <c r="G10" s="65">
        <f t="shared" si="1"/>
        <v>1.6124346310283264E-3</v>
      </c>
    </row>
    <row r="11" spans="1:11" x14ac:dyDescent="0.3">
      <c r="B11" s="58" t="s">
        <v>99</v>
      </c>
      <c r="C11" s="58" t="str">
        <f>'Haver Pivoted'!A10</f>
        <v>jgse</v>
      </c>
      <c r="D11">
        <v>137.05000000000001</v>
      </c>
      <c r="E11" s="58">
        <f>'Haver Pivoted'!HD10</f>
        <v>137.28899999999999</v>
      </c>
      <c r="F11" s="58">
        <f t="shared" si="0"/>
        <v>0.2389999999999759</v>
      </c>
      <c r="G11" s="65">
        <f t="shared" si="1"/>
        <v>1.7438890915722428E-3</v>
      </c>
    </row>
    <row r="12" spans="1:11" x14ac:dyDescent="0.3">
      <c r="B12" s="58" t="s">
        <v>100</v>
      </c>
      <c r="C12" s="58" t="str">
        <f>'Haver Pivoted'!A11</f>
        <v>jgsi</v>
      </c>
      <c r="D12">
        <v>140.81100000000001</v>
      </c>
      <c r="E12" s="58">
        <f>'Haver Pivoted'!HD11</f>
        <v>140.93299999999999</v>
      </c>
      <c r="F12" s="58">
        <f t="shared" si="0"/>
        <v>0.12199999999998568</v>
      </c>
      <c r="G12" s="65">
        <f t="shared" si="1"/>
        <v>8.6640958447838361E-4</v>
      </c>
    </row>
    <row r="13" spans="1:11" x14ac:dyDescent="0.3">
      <c r="A13" s="58" t="s">
        <v>55</v>
      </c>
      <c r="B13" s="58" t="s">
        <v>55</v>
      </c>
      <c r="C13" s="58" t="str">
        <f>'Haver Pivoted'!A12</f>
        <v>yptmr</v>
      </c>
      <c r="D13">
        <v>920.3</v>
      </c>
      <c r="E13" s="58">
        <f>'Haver Pivoted'!HD12</f>
        <v>920.3</v>
      </c>
      <c r="F13" s="58">
        <f t="shared" si="0"/>
        <v>0</v>
      </c>
      <c r="G13" s="65">
        <f t="shared" si="1"/>
        <v>0</v>
      </c>
      <c r="I13" s="68"/>
    </row>
    <row r="14" spans="1:11" x14ac:dyDescent="0.3">
      <c r="A14" s="58" t="s">
        <v>54</v>
      </c>
      <c r="B14" s="58" t="s">
        <v>101</v>
      </c>
      <c r="C14" s="58" t="str">
        <f>'Haver Pivoted'!A13</f>
        <v>yptmd</v>
      </c>
      <c r="D14">
        <v>799.4</v>
      </c>
      <c r="E14" s="58">
        <f>'Haver Pivoted'!HD13</f>
        <v>790</v>
      </c>
      <c r="F14" s="58">
        <f t="shared" si="0"/>
        <v>-9.3999999999999773</v>
      </c>
      <c r="G14" s="65">
        <f t="shared" si="1"/>
        <v>-1.1758819114335723E-2</v>
      </c>
    </row>
    <row r="15" spans="1:11" x14ac:dyDescent="0.3">
      <c r="A15" s="58" t="s">
        <v>53</v>
      </c>
      <c r="B15" s="58" t="s">
        <v>102</v>
      </c>
      <c r="C15" s="58" t="str">
        <f>'Haver Pivoted'!A14</f>
        <v>yptu</v>
      </c>
      <c r="D15">
        <v>18.600000000000001</v>
      </c>
      <c r="E15" s="58">
        <f>'Haver Pivoted'!HD14</f>
        <v>18.5</v>
      </c>
      <c r="F15" s="58">
        <f t="shared" si="0"/>
        <v>-0.10000000000000142</v>
      </c>
      <c r="G15" s="65">
        <f t="shared" si="1"/>
        <v>-5.3763440860215813E-3</v>
      </c>
    </row>
    <row r="16" spans="1:11" x14ac:dyDescent="0.3">
      <c r="B16" s="58" t="s">
        <v>57</v>
      </c>
      <c r="C16" s="58" t="str">
        <f>'Haver Pivoted'!A15</f>
        <v>gtfp</v>
      </c>
      <c r="D16">
        <v>3812.2</v>
      </c>
      <c r="E16" s="58">
        <f>'Haver Pivoted'!HD15</f>
        <v>3828.2</v>
      </c>
      <c r="F16" s="58">
        <f t="shared" si="0"/>
        <v>16</v>
      </c>
      <c r="G16" s="65">
        <f t="shared" si="1"/>
        <v>4.1970515712711825E-3</v>
      </c>
    </row>
    <row r="17" spans="1:7" x14ac:dyDescent="0.3">
      <c r="B17" s="58" t="s">
        <v>103</v>
      </c>
      <c r="C17" s="58" t="str">
        <f>'Haver Pivoted'!A16</f>
        <v>ypog</v>
      </c>
      <c r="D17">
        <v>116.4</v>
      </c>
      <c r="E17" s="58">
        <f>'Haver Pivoted'!HD16</f>
        <v>116.4</v>
      </c>
      <c r="F17" s="58">
        <f t="shared" si="0"/>
        <v>0</v>
      </c>
      <c r="G17" s="65">
        <f t="shared" si="1"/>
        <v>0</v>
      </c>
    </row>
    <row r="18" spans="1:7" x14ac:dyDescent="0.3">
      <c r="B18" s="58" t="s">
        <v>104</v>
      </c>
      <c r="C18" s="58" t="str">
        <f>'Haver Pivoted'!A17</f>
        <v>yptx</v>
      </c>
      <c r="D18">
        <v>3220.8</v>
      </c>
      <c r="E18" s="58">
        <f>'Haver Pivoted'!HD17</f>
        <v>3244</v>
      </c>
      <c r="F18" s="58">
        <f t="shared" si="0"/>
        <v>23.199999999999818</v>
      </c>
      <c r="G18" s="65">
        <f t="shared" si="1"/>
        <v>7.2031793343268185E-3</v>
      </c>
    </row>
    <row r="19" spans="1:7" x14ac:dyDescent="0.3">
      <c r="B19" s="58" t="s">
        <v>105</v>
      </c>
      <c r="C19" s="58" t="str">
        <f>'Haver Pivoted'!A18</f>
        <v>ytpi</v>
      </c>
      <c r="D19">
        <v>1792.8</v>
      </c>
      <c r="E19" s="58">
        <f>'Haver Pivoted'!HD18</f>
        <v>1791.7</v>
      </c>
      <c r="F19" s="58">
        <f t="shared" si="0"/>
        <v>-1.0999999999999091</v>
      </c>
      <c r="G19" s="65">
        <f t="shared" si="1"/>
        <v>-6.1356537260146644E-4</v>
      </c>
    </row>
    <row r="20" spans="1:7" x14ac:dyDescent="0.3">
      <c r="B20" s="58" t="s">
        <v>106</v>
      </c>
      <c r="C20" s="58" t="str">
        <f>'Haver Pivoted'!A19</f>
        <v>yctlg</v>
      </c>
      <c r="D20">
        <v>0</v>
      </c>
      <c r="E20" s="58">
        <f>'Haver Pivoted'!HD19</f>
        <v>436.3</v>
      </c>
      <c r="F20" s="58">
        <f t="shared" si="0"/>
        <v>436.3</v>
      </c>
      <c r="G20" s="65" t="e">
        <f t="shared" si="1"/>
        <v>#DIV/0!</v>
      </c>
    </row>
    <row r="21" spans="1:7" x14ac:dyDescent="0.3">
      <c r="B21" s="58" t="s">
        <v>107</v>
      </c>
      <c r="C21" s="58" t="str">
        <f>'Haver Pivoted'!A20</f>
        <v>g</v>
      </c>
      <c r="D21">
        <v>4474.1000000000004</v>
      </c>
      <c r="E21" s="58">
        <f>'Haver Pivoted'!HD20</f>
        <v>4486.5</v>
      </c>
      <c r="F21" s="58">
        <f t="shared" si="0"/>
        <v>12.399999999999636</v>
      </c>
      <c r="G21" s="65">
        <f t="shared" si="1"/>
        <v>2.7715071187500583E-3</v>
      </c>
    </row>
    <row r="22" spans="1:7" x14ac:dyDescent="0.3">
      <c r="B22" s="58" t="s">
        <v>108</v>
      </c>
      <c r="C22" s="58" t="str">
        <f>'Haver Pivoted'!A21</f>
        <v>grcsi</v>
      </c>
      <c r="D22">
        <v>1694.8</v>
      </c>
      <c r="E22" s="58">
        <f>'Haver Pivoted'!HD21</f>
        <v>1688</v>
      </c>
      <c r="F22" s="58">
        <f t="shared" si="0"/>
        <v>-6.7999999999999545</v>
      </c>
      <c r="G22" s="65">
        <f t="shared" si="1"/>
        <v>-4.0122728345527228E-3</v>
      </c>
    </row>
    <row r="23" spans="1:7" x14ac:dyDescent="0.3">
      <c r="B23" s="58" t="s">
        <v>96</v>
      </c>
      <c r="C23" s="58" t="str">
        <f>'Haver Pivoted'!A22</f>
        <v>dc</v>
      </c>
      <c r="D23">
        <v>123.68600000000001</v>
      </c>
      <c r="E23" s="58">
        <f>'Haver Pivoted'!HD22</f>
        <v>123.71</v>
      </c>
      <c r="F23" s="58">
        <f t="shared" si="0"/>
        <v>2.3999999999986699E-2</v>
      </c>
      <c r="G23" s="65">
        <f t="shared" si="1"/>
        <v>1.9403974580782543E-4</v>
      </c>
    </row>
    <row r="24" spans="1:7" x14ac:dyDescent="0.3">
      <c r="A24" s="58" t="s">
        <v>109</v>
      </c>
      <c r="B24" s="58" t="s">
        <v>110</v>
      </c>
      <c r="C24" s="58" t="str">
        <f>'Haver Pivoted'!A23</f>
        <v>gf</v>
      </c>
      <c r="D24">
        <v>1656.8</v>
      </c>
      <c r="E24" s="58">
        <f>'Haver Pivoted'!HD23</f>
        <v>1656.9</v>
      </c>
      <c r="F24" s="58">
        <f t="shared" si="0"/>
        <v>0.10000000000013642</v>
      </c>
      <c r="G24" s="65">
        <f t="shared" si="1"/>
        <v>6.0357315306697505E-5</v>
      </c>
    </row>
    <row r="25" spans="1:7" x14ac:dyDescent="0.3">
      <c r="A25" s="58" t="s">
        <v>109</v>
      </c>
      <c r="B25" s="58" t="s">
        <v>111</v>
      </c>
      <c r="C25" s="58" t="str">
        <f>'Haver Pivoted'!A24</f>
        <v>gs</v>
      </c>
      <c r="D25">
        <v>2817.3</v>
      </c>
      <c r="E25" s="58">
        <f>'Haver Pivoted'!HD24</f>
        <v>2829.6</v>
      </c>
      <c r="F25" s="58">
        <f t="shared" si="0"/>
        <v>12.299999999999727</v>
      </c>
      <c r="G25" s="65">
        <f t="shared" si="1"/>
        <v>4.3658822276646881E-3</v>
      </c>
    </row>
    <row r="26" spans="1:7" x14ac:dyDescent="0.3">
      <c r="B26" s="58" t="s">
        <v>112</v>
      </c>
      <c r="C26" s="58" t="str">
        <f>'Haver Pivoted'!A25</f>
        <v>gfh</v>
      </c>
      <c r="D26">
        <v>1353.4</v>
      </c>
      <c r="E26" s="58">
        <f>'Haver Pivoted'!HD25</f>
        <v>1352.6</v>
      </c>
      <c r="F26" s="58">
        <f t="shared" si="0"/>
        <v>-0.8000000000001819</v>
      </c>
      <c r="G26" s="65">
        <f t="shared" si="1"/>
        <v>-5.911038865081882E-4</v>
      </c>
    </row>
    <row r="27" spans="1:7" x14ac:dyDescent="0.3">
      <c r="B27" s="58" t="s">
        <v>113</v>
      </c>
      <c r="C27" s="58" t="str">
        <f>'Haver Pivoted'!A26</f>
        <v>gsh</v>
      </c>
      <c r="D27">
        <v>2046.5</v>
      </c>
      <c r="E27" s="58">
        <f>'Haver Pivoted'!HD26</f>
        <v>2052.1</v>
      </c>
      <c r="F27" s="58">
        <f t="shared" si="0"/>
        <v>5.5999999999999091</v>
      </c>
      <c r="G27" s="65">
        <f t="shared" si="1"/>
        <v>2.7363791839725917E-3</v>
      </c>
    </row>
    <row r="28" spans="1:7" x14ac:dyDescent="0.3">
      <c r="A28" s="58" t="s">
        <v>58</v>
      </c>
      <c r="B28" s="58" t="s">
        <v>114</v>
      </c>
      <c r="C28" s="58" t="s">
        <v>115</v>
      </c>
      <c r="D28">
        <v>2648.4</v>
      </c>
      <c r="E28" s="58">
        <f>'Haver Pivoted'!HD27</f>
        <v>2638.6</v>
      </c>
      <c r="F28" s="58">
        <f t="shared" si="0"/>
        <v>-9.8000000000001819</v>
      </c>
      <c r="G28" s="65">
        <f t="shared" si="1"/>
        <v>-3.7003473795499853E-3</v>
      </c>
    </row>
    <row r="29" spans="1:7" x14ac:dyDescent="0.3">
      <c r="A29" s="58" t="s">
        <v>58</v>
      </c>
      <c r="B29" s="58" t="s">
        <v>116</v>
      </c>
      <c r="C29" s="58" t="s">
        <v>117</v>
      </c>
      <c r="D29">
        <v>202</v>
      </c>
      <c r="E29" s="58">
        <f>'Haver Pivoted'!HD28</f>
        <v>202.6</v>
      </c>
      <c r="F29" s="58">
        <f t="shared" si="0"/>
        <v>0.59999999999999432</v>
      </c>
      <c r="G29" s="65">
        <f t="shared" si="1"/>
        <v>2.9702970297029421E-3</v>
      </c>
    </row>
    <row r="30" spans="1:7" x14ac:dyDescent="0.3">
      <c r="A30" s="58" t="s">
        <v>58</v>
      </c>
      <c r="B30" s="58" t="s">
        <v>118</v>
      </c>
      <c r="C30" s="58" t="s">
        <v>119</v>
      </c>
      <c r="D30">
        <v>0</v>
      </c>
      <c r="E30" s="58">
        <f>'Haver Pivoted'!HD29</f>
        <v>334.6</v>
      </c>
      <c r="F30" s="58">
        <f t="shared" si="0"/>
        <v>334.6</v>
      </c>
      <c r="G30" s="65" t="e">
        <f t="shared" si="1"/>
        <v>#DIV/0!</v>
      </c>
    </row>
    <row r="31" spans="1:7" x14ac:dyDescent="0.3">
      <c r="A31" s="58" t="s">
        <v>58</v>
      </c>
      <c r="B31" s="58" t="s">
        <v>120</v>
      </c>
      <c r="C31" s="58" t="s">
        <v>121</v>
      </c>
      <c r="D31">
        <v>1670.9</v>
      </c>
      <c r="E31" s="58">
        <f>'Haver Pivoted'!HD30</f>
        <v>1664</v>
      </c>
      <c r="F31" s="58">
        <f t="shared" si="0"/>
        <v>-6.9000000000000909</v>
      </c>
      <c r="G31" s="65">
        <f t="shared" si="1"/>
        <v>-4.1295110419534925E-3</v>
      </c>
    </row>
    <row r="32" spans="1:7" x14ac:dyDescent="0.3">
      <c r="A32" s="58" t="s">
        <v>122</v>
      </c>
      <c r="B32" s="58" t="s">
        <v>123</v>
      </c>
      <c r="C32" s="58" t="str">
        <f>'Haver Pivoted'!A31</f>
        <v>gftfp</v>
      </c>
      <c r="D32">
        <v>2837.9</v>
      </c>
      <c r="E32" s="58">
        <f>'Haver Pivoted'!HD31</f>
        <v>2841.4</v>
      </c>
      <c r="F32" s="58">
        <f t="shared" si="0"/>
        <v>3.5</v>
      </c>
      <c r="G32" s="65">
        <f t="shared" si="1"/>
        <v>1.2333063180520808E-3</v>
      </c>
    </row>
    <row r="33" spans="1:10" x14ac:dyDescent="0.3">
      <c r="A33" s="58" t="s">
        <v>51</v>
      </c>
      <c r="B33" s="57" t="s">
        <v>124</v>
      </c>
      <c r="C33" s="58" t="str">
        <f>'Haver Pivoted'!A32</f>
        <v>gfeg</v>
      </c>
      <c r="D33">
        <v>953.4</v>
      </c>
      <c r="E33" s="58">
        <f>'Haver Pivoted'!HD32</f>
        <v>953.4</v>
      </c>
      <c r="F33" s="58">
        <f t="shared" si="0"/>
        <v>0</v>
      </c>
      <c r="G33" s="65">
        <f t="shared" si="1"/>
        <v>0</v>
      </c>
    </row>
    <row r="34" spans="1:10" x14ac:dyDescent="0.3">
      <c r="A34" s="58" t="s">
        <v>58</v>
      </c>
      <c r="B34" s="58" t="s">
        <v>125</v>
      </c>
      <c r="C34" s="58" t="str">
        <f>'Haver Pivoted'!A33</f>
        <v>gsrpt</v>
      </c>
      <c r="D34">
        <v>572.4</v>
      </c>
      <c r="E34" s="58">
        <f>'Haver Pivoted'!HD33</f>
        <v>605.4</v>
      </c>
      <c r="F34" s="58">
        <f t="shared" si="0"/>
        <v>33</v>
      </c>
      <c r="G34" s="65">
        <f t="shared" si="1"/>
        <v>5.7651991614255771E-2</v>
      </c>
    </row>
    <row r="35" spans="1:10" x14ac:dyDescent="0.3">
      <c r="A35" s="58" t="s">
        <v>58</v>
      </c>
      <c r="B35" s="58" t="s">
        <v>126</v>
      </c>
      <c r="C35" s="58" t="str">
        <f>'Haver Pivoted'!A34</f>
        <v>gsrpri</v>
      </c>
      <c r="D35">
        <v>1590.8</v>
      </c>
      <c r="E35" s="58">
        <f>'Haver Pivoted'!HD34</f>
        <v>1589.1</v>
      </c>
      <c r="F35" s="58">
        <f t="shared" si="0"/>
        <v>-1.7000000000000455</v>
      </c>
      <c r="G35" s="65">
        <f t="shared" si="1"/>
        <v>-1.0686447070656559E-3</v>
      </c>
    </row>
    <row r="36" spans="1:10" x14ac:dyDescent="0.3">
      <c r="A36" s="58" t="s">
        <v>58</v>
      </c>
      <c r="B36" s="58" t="s">
        <v>127</v>
      </c>
      <c r="C36" s="58" t="str">
        <f>'Haver Pivoted'!A35</f>
        <v>gsrcp</v>
      </c>
      <c r="D36">
        <v>0</v>
      </c>
      <c r="E36" s="58">
        <f>'Haver Pivoted'!HD35</f>
        <v>101.6</v>
      </c>
      <c r="F36" s="58">
        <f t="shared" si="0"/>
        <v>101.6</v>
      </c>
      <c r="G36" s="65" t="e">
        <f t="shared" si="1"/>
        <v>#DIV/0!</v>
      </c>
    </row>
    <row r="37" spans="1:10" x14ac:dyDescent="0.3">
      <c r="A37" s="58" t="s">
        <v>58</v>
      </c>
      <c r="B37" s="58" t="s">
        <v>128</v>
      </c>
      <c r="C37" s="58" t="str">
        <f>'Haver Pivoted'!A36</f>
        <v>gsrs</v>
      </c>
      <c r="D37">
        <v>23.9</v>
      </c>
      <c r="E37" s="58">
        <f>'Haver Pivoted'!HD36</f>
        <v>24</v>
      </c>
      <c r="F37" s="58">
        <f t="shared" si="0"/>
        <v>0.10000000000000142</v>
      </c>
      <c r="G37" s="65">
        <f t="shared" si="1"/>
        <v>4.1841004184101013E-3</v>
      </c>
    </row>
    <row r="38" spans="1:10" x14ac:dyDescent="0.3">
      <c r="A38" s="58" t="s">
        <v>57</v>
      </c>
      <c r="B38" s="58" t="s">
        <v>129</v>
      </c>
      <c r="C38" s="58" t="str">
        <f>'Haver Pivoted'!A37</f>
        <v>gstfp</v>
      </c>
      <c r="D38">
        <v>974.3</v>
      </c>
      <c r="E38" s="58">
        <f>'Haver Pivoted'!HD37</f>
        <v>986.8</v>
      </c>
      <c r="F38" s="58">
        <f t="shared" si="0"/>
        <v>12.5</v>
      </c>
      <c r="G38" s="65">
        <f t="shared" si="1"/>
        <v>1.2829723904341579E-2</v>
      </c>
    </row>
    <row r="39" spans="1:10" x14ac:dyDescent="0.3">
      <c r="B39" s="58" t="s">
        <v>130</v>
      </c>
      <c r="C39" s="58" t="str">
        <f>'Haver Pivoted'!A38</f>
        <v>gset</v>
      </c>
      <c r="D39">
        <v>3713.1</v>
      </c>
      <c r="E39" s="58">
        <f>'Haver Pivoted'!HD38</f>
        <v>3737.6</v>
      </c>
      <c r="F39" s="58">
        <f t="shared" si="0"/>
        <v>24.5</v>
      </c>
      <c r="G39" s="65">
        <f t="shared" si="1"/>
        <v>6.5982602138374945E-3</v>
      </c>
    </row>
    <row r="40" spans="1:10" x14ac:dyDescent="0.3">
      <c r="B40" s="58" t="s">
        <v>131</v>
      </c>
      <c r="C40" s="58" t="str">
        <f>'Haver Pivoted'!A39</f>
        <v>gfeghhx</v>
      </c>
      <c r="D40">
        <v>638.77099999999996</v>
      </c>
      <c r="E40" s="58">
        <f>'Haver Pivoted'!HD39</f>
        <v>638.77099999999996</v>
      </c>
      <c r="F40" s="58">
        <f t="shared" si="0"/>
        <v>0</v>
      </c>
      <c r="G40" s="65">
        <f t="shared" si="1"/>
        <v>0</v>
      </c>
    </row>
    <row r="41" spans="1:10" x14ac:dyDescent="0.3">
      <c r="A41" s="58" t="s">
        <v>132</v>
      </c>
      <c r="B41" s="58" t="s">
        <v>133</v>
      </c>
      <c r="C41" s="58" t="str">
        <f>'Haver Pivoted'!A40</f>
        <v>gfeghdx</v>
      </c>
      <c r="D41">
        <v>605.63699999999994</v>
      </c>
      <c r="E41" s="58">
        <f>'Haver Pivoted'!HD40</f>
        <v>605.63699999999994</v>
      </c>
      <c r="F41" s="58">
        <f t="shared" si="0"/>
        <v>0</v>
      </c>
      <c r="G41" s="65">
        <f t="shared" si="1"/>
        <v>0</v>
      </c>
    </row>
    <row r="42" spans="1:10" x14ac:dyDescent="0.3">
      <c r="A42" s="58" t="s">
        <v>51</v>
      </c>
      <c r="B42" s="58" t="s">
        <v>134</v>
      </c>
      <c r="C42" s="58" t="str">
        <f>'Haver Pivoted'!A41</f>
        <v>gfeigx</v>
      </c>
      <c r="D42">
        <v>140.26400000000001</v>
      </c>
      <c r="E42" s="58">
        <f>'Haver Pivoted'!HD41</f>
        <v>140.262</v>
      </c>
      <c r="F42" s="58">
        <f t="shared" si="0"/>
        <v>-2.0000000000095497E-3</v>
      </c>
      <c r="G42" s="65">
        <f t="shared" si="1"/>
        <v>-1.4258826213494193E-5</v>
      </c>
    </row>
    <row r="43" spans="1:10" x14ac:dyDescent="0.3">
      <c r="B43" s="58" t="s">
        <v>135</v>
      </c>
      <c r="C43" s="58" t="str">
        <f>'Haver Pivoted'!A42</f>
        <v>gfsub</v>
      </c>
      <c r="D43">
        <v>113.4</v>
      </c>
      <c r="E43" s="58">
        <f>'Haver Pivoted'!HD42</f>
        <v>113.4</v>
      </c>
      <c r="F43" s="58">
        <f t="shared" si="0"/>
        <v>0</v>
      </c>
      <c r="G43" s="65">
        <f t="shared" si="1"/>
        <v>0</v>
      </c>
      <c r="I43" s="69"/>
      <c r="J43" s="66"/>
    </row>
    <row r="44" spans="1:10" x14ac:dyDescent="0.3">
      <c r="B44" s="58" t="s">
        <v>136</v>
      </c>
      <c r="C44" s="58" t="str">
        <f>'Haver Pivoted'!A43</f>
        <v>gssub</v>
      </c>
      <c r="D44">
        <v>0.7</v>
      </c>
      <c r="E44" s="58">
        <f>'Haver Pivoted'!HD43</f>
        <v>0.7</v>
      </c>
      <c r="F44" s="58">
        <f t="shared" si="0"/>
        <v>0</v>
      </c>
      <c r="G44" s="65">
        <f t="shared" si="1"/>
        <v>0</v>
      </c>
      <c r="I44" s="59"/>
      <c r="J44" s="66"/>
    </row>
    <row r="45" spans="1:10" x14ac:dyDescent="0.3">
      <c r="B45" s="58" t="s">
        <v>52</v>
      </c>
      <c r="C45" s="58" t="str">
        <f>'Haver Pivoted'!A44</f>
        <v>gsub</v>
      </c>
      <c r="D45">
        <v>114.1</v>
      </c>
      <c r="E45" s="58">
        <f>'Haver Pivoted'!HD44</f>
        <v>114.1</v>
      </c>
      <c r="F45" s="58">
        <f t="shared" si="0"/>
        <v>0</v>
      </c>
      <c r="G45" s="65">
        <f t="shared" si="1"/>
        <v>0</v>
      </c>
      <c r="I45" s="59"/>
      <c r="J45" s="67"/>
    </row>
    <row r="46" spans="1:10" x14ac:dyDescent="0.3">
      <c r="A46" s="58" t="s">
        <v>56</v>
      </c>
      <c r="B46" s="58" t="s">
        <v>56</v>
      </c>
      <c r="C46" s="58" t="str">
        <f>'Haver Pivoted'!A45</f>
        <v>gftfpe</v>
      </c>
      <c r="D46">
        <v>0</v>
      </c>
      <c r="E46" s="58">
        <f>'Haver Pivoted'!HD45</f>
        <v>0</v>
      </c>
      <c r="F46" s="58">
        <f t="shared" si="0"/>
        <v>0</v>
      </c>
      <c r="G46" s="65" t="e">
        <f t="shared" si="1"/>
        <v>#DIV/0!</v>
      </c>
      <c r="I46" s="59"/>
      <c r="J46" s="67"/>
    </row>
    <row r="47" spans="1:10" x14ac:dyDescent="0.3">
      <c r="B47" s="58" t="s">
        <v>137</v>
      </c>
      <c r="C47" s="58" t="str">
        <f>'Haver Pivoted'!A46</f>
        <v>gftfpr</v>
      </c>
      <c r="D47">
        <v>0</v>
      </c>
      <c r="E47" s="58">
        <f>'Haver Pivoted'!HD46</f>
        <v>0</v>
      </c>
      <c r="F47" s="58">
        <f t="shared" si="0"/>
        <v>0</v>
      </c>
      <c r="G47" s="65" t="e">
        <f t="shared" si="1"/>
        <v>#DIV/0!</v>
      </c>
      <c r="I47" s="59"/>
      <c r="J47" s="67"/>
    </row>
    <row r="48" spans="1:10" x14ac:dyDescent="0.3">
      <c r="A48" s="58" t="s">
        <v>50</v>
      </c>
      <c r="B48" s="58" t="s">
        <v>138</v>
      </c>
      <c r="C48" s="58" t="str">
        <f>'Haver Pivoted'!A47</f>
        <v>gftfpp</v>
      </c>
      <c r="D48">
        <v>0</v>
      </c>
      <c r="E48" s="58">
        <f>'Haver Pivoted'!HD47</f>
        <v>0</v>
      </c>
      <c r="F48" s="58">
        <f t="shared" si="0"/>
        <v>0</v>
      </c>
      <c r="G48" s="65" t="e">
        <f t="shared" si="1"/>
        <v>#DIV/0!</v>
      </c>
      <c r="J48" s="67"/>
    </row>
    <row r="49" spans="1:9" x14ac:dyDescent="0.3">
      <c r="A49" s="58" t="s">
        <v>49</v>
      </c>
      <c r="B49" s="58" t="s">
        <v>139</v>
      </c>
      <c r="C49" s="58" t="str">
        <f>'Haver Pivoted'!A48</f>
        <v>gftfpv</v>
      </c>
      <c r="D49">
        <v>8.1</v>
      </c>
      <c r="E49" s="58">
        <f>'Haver Pivoted'!HD48</f>
        <v>8.1</v>
      </c>
      <c r="F49" s="58">
        <f t="shared" si="0"/>
        <v>0</v>
      </c>
      <c r="G49" s="65">
        <f t="shared" si="1"/>
        <v>0</v>
      </c>
      <c r="H49" s="60"/>
      <c r="I49" s="60"/>
    </row>
    <row r="50" spans="1:9" x14ac:dyDescent="0.3">
      <c r="A50" s="58" t="s">
        <v>140</v>
      </c>
      <c r="B50" s="55" t="s">
        <v>141</v>
      </c>
      <c r="C50" s="58" t="str">
        <f>'Haver Pivoted'!A49</f>
        <v>gfsubp</v>
      </c>
      <c r="D50">
        <v>0</v>
      </c>
      <c r="E50" s="58">
        <f>'Haver Pivoted'!HD49</f>
        <v>0</v>
      </c>
      <c r="F50" s="58">
        <f t="shared" si="0"/>
        <v>0</v>
      </c>
      <c r="G50" s="65" t="e">
        <f t="shared" si="1"/>
        <v>#DIV/0!</v>
      </c>
      <c r="H50" s="51"/>
      <c r="I50" s="52"/>
    </row>
    <row r="51" spans="1:9" x14ac:dyDescent="0.3">
      <c r="A51" s="58" t="s">
        <v>52</v>
      </c>
      <c r="B51" s="55" t="s">
        <v>142</v>
      </c>
      <c r="C51" s="58" t="str">
        <f>'Haver Pivoted'!A50</f>
        <v>gfsubg</v>
      </c>
      <c r="D51">
        <v>0.3</v>
      </c>
      <c r="E51" s="58">
        <f>'Haver Pivoted'!HD50</f>
        <v>0.3</v>
      </c>
      <c r="F51" s="58">
        <f t="shared" si="0"/>
        <v>0</v>
      </c>
      <c r="G51" s="65">
        <f t="shared" si="1"/>
        <v>0</v>
      </c>
      <c r="H51" s="71"/>
      <c r="I51" s="70"/>
    </row>
    <row r="52" spans="1:9" x14ac:dyDescent="0.3">
      <c r="A52" s="58" t="s">
        <v>52</v>
      </c>
      <c r="B52" s="55" t="s">
        <v>143</v>
      </c>
      <c r="C52" s="58" t="str">
        <f>'Haver Pivoted'!A51</f>
        <v>gfsube</v>
      </c>
      <c r="D52">
        <v>0</v>
      </c>
      <c r="E52" s="58">
        <f>'Haver Pivoted'!HD51</f>
        <v>0</v>
      </c>
      <c r="F52" s="58">
        <f t="shared" si="0"/>
        <v>0</v>
      </c>
      <c r="G52" s="65" t="e">
        <f t="shared" si="1"/>
        <v>#DIV/0!</v>
      </c>
      <c r="H52" s="54"/>
      <c r="I52" s="52"/>
    </row>
    <row r="53" spans="1:9" x14ac:dyDescent="0.3">
      <c r="A53" s="58" t="s">
        <v>52</v>
      </c>
      <c r="B53" s="55" t="s">
        <v>144</v>
      </c>
      <c r="C53" s="58" t="str">
        <f>'Haver Pivoted'!A52</f>
        <v>gfsubs</v>
      </c>
      <c r="D53">
        <v>20.2</v>
      </c>
      <c r="E53" s="58">
        <f>'Haver Pivoted'!HD52</f>
        <v>20.2</v>
      </c>
      <c r="F53" s="58">
        <f t="shared" si="0"/>
        <v>0</v>
      </c>
      <c r="G53" s="65">
        <f t="shared" si="1"/>
        <v>0</v>
      </c>
      <c r="H53" s="54"/>
      <c r="I53" s="52"/>
    </row>
    <row r="54" spans="1:9" x14ac:dyDescent="0.3">
      <c r="A54" s="58" t="s">
        <v>52</v>
      </c>
      <c r="B54" s="55" t="s">
        <v>145</v>
      </c>
      <c r="C54" s="58" t="str">
        <f>'Haver Pivoted'!A53</f>
        <v>gfsubf</v>
      </c>
      <c r="D54">
        <v>0</v>
      </c>
      <c r="E54" s="58">
        <f>'Haver Pivoted'!HD53</f>
        <v>0</v>
      </c>
      <c r="F54" s="58">
        <f t="shared" si="0"/>
        <v>0</v>
      </c>
      <c r="G54" s="65" t="e">
        <f t="shared" si="1"/>
        <v>#DIV/0!</v>
      </c>
      <c r="H54" s="51"/>
      <c r="I54" s="52"/>
    </row>
    <row r="55" spans="1:9" x14ac:dyDescent="0.3">
      <c r="A55" s="58" t="s">
        <v>146</v>
      </c>
      <c r="B55" s="55" t="s">
        <v>147</v>
      </c>
      <c r="C55" s="58" t="str">
        <f>'Haver Pivoted'!A54</f>
        <v>gfsubv</v>
      </c>
      <c r="D55">
        <v>5.9</v>
      </c>
      <c r="E55" s="58">
        <f>'Haver Pivoted'!HD54</f>
        <v>5.9</v>
      </c>
      <c r="F55" s="58">
        <f t="shared" si="0"/>
        <v>0</v>
      </c>
      <c r="G55" s="65">
        <f t="shared" si="1"/>
        <v>0</v>
      </c>
    </row>
    <row r="56" spans="1:9" x14ac:dyDescent="0.3">
      <c r="A56" s="58" t="s">
        <v>52</v>
      </c>
      <c r="B56" s="55" t="s">
        <v>148</v>
      </c>
      <c r="C56" s="58" t="str">
        <f>'Haver Pivoted'!A55</f>
        <v>gfsubk</v>
      </c>
      <c r="D56">
        <v>0</v>
      </c>
      <c r="E56" s="58">
        <f>'Haver Pivoted'!HD55</f>
        <v>0</v>
      </c>
      <c r="F56" s="58">
        <f t="shared" si="0"/>
        <v>0</v>
      </c>
      <c r="G56" s="65" t="e">
        <f t="shared" si="1"/>
        <v>#DIV/0!</v>
      </c>
      <c r="H56" s="51"/>
      <c r="I56" s="52"/>
    </row>
    <row r="57" spans="1:9" x14ac:dyDescent="0.3">
      <c r="A57" s="58" t="s">
        <v>51</v>
      </c>
      <c r="B57" s="57" t="s">
        <v>149</v>
      </c>
      <c r="C57" s="58" t="str">
        <f>'Haver Pivoted'!A56</f>
        <v>gfegc</v>
      </c>
      <c r="D57">
        <v>0</v>
      </c>
      <c r="E57" s="58">
        <f>'Haver Pivoted'!HD56</f>
        <v>0</v>
      </c>
      <c r="F57" s="58">
        <f t="shared" si="0"/>
        <v>0</v>
      </c>
      <c r="G57" s="65"/>
      <c r="H57" s="51"/>
      <c r="I57" s="52"/>
    </row>
    <row r="58" spans="1:9" x14ac:dyDescent="0.3">
      <c r="A58" s="58" t="s">
        <v>51</v>
      </c>
      <c r="B58" s="57" t="s">
        <v>150</v>
      </c>
      <c r="C58" s="58" t="str">
        <f>'Haver Pivoted'!A57</f>
        <v>gfege</v>
      </c>
      <c r="D58">
        <v>68.3</v>
      </c>
      <c r="E58" s="58">
        <f>'Haver Pivoted'!HD57</f>
        <v>68.3</v>
      </c>
      <c r="F58" s="58">
        <f t="shared" si="0"/>
        <v>0</v>
      </c>
      <c r="G58" s="65">
        <f t="shared" si="1"/>
        <v>0</v>
      </c>
      <c r="H58" s="51"/>
      <c r="I58" s="52"/>
    </row>
    <row r="59" spans="1:9" x14ac:dyDescent="0.3">
      <c r="A59" s="58" t="s">
        <v>151</v>
      </c>
      <c r="B59" s="57" t="s">
        <v>152</v>
      </c>
      <c r="C59" s="58" t="str">
        <f>'Haver Pivoted'!A58</f>
        <v>gfegv</v>
      </c>
      <c r="D59">
        <v>7.5</v>
      </c>
      <c r="E59" s="58">
        <f>'Haver Pivoted'!HD58</f>
        <v>7.5</v>
      </c>
      <c r="F59" s="58">
        <f t="shared" si="0"/>
        <v>0</v>
      </c>
      <c r="G59" s="65">
        <f t="shared" si="1"/>
        <v>0</v>
      </c>
    </row>
    <row r="60" spans="1:9" x14ac:dyDescent="0.3">
      <c r="A60" s="58" t="s">
        <v>53</v>
      </c>
      <c r="B60" s="58" t="s">
        <v>153</v>
      </c>
      <c r="C60" s="58" t="str">
        <f>'Haver Pivoted'!A59</f>
        <v>yptue</v>
      </c>
      <c r="D60">
        <v>0.3</v>
      </c>
      <c r="E60" s="58">
        <f>'Haver Pivoted'!HD59</f>
        <v>0.3</v>
      </c>
      <c r="F60" s="58">
        <f t="shared" si="0"/>
        <v>0</v>
      </c>
      <c r="G60" s="65">
        <f t="shared" si="1"/>
        <v>0</v>
      </c>
    </row>
    <row r="61" spans="1:9" x14ac:dyDescent="0.3">
      <c r="A61" s="58" t="s">
        <v>53</v>
      </c>
      <c r="B61" s="58" t="s">
        <v>154</v>
      </c>
      <c r="C61" s="58" t="str">
        <f>'Haver Pivoted'!A60</f>
        <v>yptup</v>
      </c>
      <c r="D61">
        <v>0.2</v>
      </c>
      <c r="E61" s="58">
        <f>'Haver Pivoted'!HD60</f>
        <v>0.2</v>
      </c>
      <c r="F61" s="58">
        <f t="shared" si="0"/>
        <v>0</v>
      </c>
      <c r="G61" s="65">
        <f t="shared" si="1"/>
        <v>0</v>
      </c>
    </row>
    <row r="62" spans="1:9" x14ac:dyDescent="0.3">
      <c r="A62" s="58" t="s">
        <v>53</v>
      </c>
      <c r="B62" s="58" t="s">
        <v>155</v>
      </c>
      <c r="C62" s="58" t="str">
        <f>'Haver Pivoted'!A61</f>
        <v>yptuc</v>
      </c>
      <c r="D62">
        <v>0</v>
      </c>
      <c r="E62" s="58">
        <f>'Haver Pivoted'!HD61</f>
        <v>0</v>
      </c>
      <c r="F62" s="58">
        <f t="shared" si="0"/>
        <v>0</v>
      </c>
      <c r="G62" s="65" t="e">
        <f t="shared" si="1"/>
        <v>#DIV/0!</v>
      </c>
    </row>
    <row r="63" spans="1:9" x14ac:dyDescent="0.3">
      <c r="B63" s="58" t="s">
        <v>156</v>
      </c>
      <c r="C63" s="58" t="str">
        <f>'Haver Pivoted'!A62</f>
        <v>gftfpu</v>
      </c>
      <c r="D63">
        <v>0.5</v>
      </c>
      <c r="E63" s="58">
        <f>'Haver Pivoted'!HD62</f>
        <v>0.5</v>
      </c>
      <c r="F63" s="58">
        <f t="shared" si="0"/>
        <v>0</v>
      </c>
      <c r="G63" s="65">
        <f t="shared" si="1"/>
        <v>0</v>
      </c>
      <c r="H63" s="57"/>
      <c r="I63" s="57"/>
    </row>
    <row r="64" spans="1:9" x14ac:dyDescent="0.3">
      <c r="A64" s="58" t="s">
        <v>53</v>
      </c>
      <c r="B64" s="61" t="s">
        <v>157</v>
      </c>
      <c r="C64" s="58" t="str">
        <f>'Haver Pivoted'!A63</f>
        <v>yptub</v>
      </c>
      <c r="D64">
        <v>0</v>
      </c>
      <c r="E64" s="58">
        <f>'Haver Pivoted'!HD63</f>
        <v>0</v>
      </c>
      <c r="F64" s="58">
        <f t="shared" si="0"/>
        <v>0</v>
      </c>
      <c r="G64" s="65" t="e">
        <f t="shared" si="1"/>
        <v>#DIV/0!</v>
      </c>
      <c r="H64" s="57"/>
      <c r="I64" s="57"/>
    </row>
    <row r="65" spans="1:9" x14ac:dyDescent="0.3">
      <c r="A65" s="58" t="s">
        <v>53</v>
      </c>
      <c r="B65" s="58" t="s">
        <v>158</v>
      </c>
      <c r="C65" s="58" t="str">
        <f>'Haver Pivoted'!A64</f>
        <v>yptol</v>
      </c>
      <c r="D65">
        <v>0</v>
      </c>
      <c r="E65" s="58">
        <f>'Haver Pivoted'!HD64</f>
        <v>0</v>
      </c>
      <c r="F65" s="58">
        <f t="shared" si="0"/>
        <v>0</v>
      </c>
      <c r="G65" s="65" t="e">
        <f t="shared" si="1"/>
        <v>#DIV/0!</v>
      </c>
      <c r="H65" s="57"/>
      <c r="I65" s="57"/>
    </row>
    <row r="66" spans="1:9" x14ac:dyDescent="0.3">
      <c r="B66" s="58" t="s">
        <v>159</v>
      </c>
      <c r="C66" s="58" t="str">
        <f>'Haver Pivoted'!A65</f>
        <v>gfctp</v>
      </c>
      <c r="D66">
        <v>205.5</v>
      </c>
      <c r="E66" s="58">
        <f>'Haver Pivoted'!HD65</f>
        <v>206.4</v>
      </c>
      <c r="F66" s="58">
        <f t="shared" si="0"/>
        <v>0.90000000000000568</v>
      </c>
      <c r="G66" s="65">
        <f t="shared" si="1"/>
        <v>4.3795620437956477E-3</v>
      </c>
      <c r="H66" s="57"/>
      <c r="I66" s="57"/>
    </row>
    <row r="67" spans="1:9" x14ac:dyDescent="0.3">
      <c r="A67" s="58" t="s">
        <v>57</v>
      </c>
      <c r="B67" s="56" t="s">
        <v>160</v>
      </c>
      <c r="C67" s="58" t="str">
        <f>'Haver Pivoted'!A66</f>
        <v>gftffx</v>
      </c>
      <c r="D67">
        <v>110.152</v>
      </c>
      <c r="E67" s="58">
        <f>'Haver Pivoted'!HD66</f>
        <v>113.163</v>
      </c>
      <c r="F67" s="58">
        <f t="shared" si="0"/>
        <v>3.0109999999999957</v>
      </c>
      <c r="G67" s="65">
        <f t="shared" si="1"/>
        <v>2.7334955334446905E-2</v>
      </c>
      <c r="H67" s="57"/>
      <c r="I67" s="57"/>
    </row>
    <row r="68" spans="1:9" x14ac:dyDescent="0.3">
      <c r="B68" s="58" t="s">
        <v>161</v>
      </c>
      <c r="C68" s="58" t="str">
        <f>'Haver Pivoted'!A67</f>
        <v>cpiu</v>
      </c>
      <c r="D68">
        <v>295.88400000000001</v>
      </c>
      <c r="E68" s="58">
        <f>'Haver Pivoted'!HD67</f>
        <v>295.88400000000001</v>
      </c>
      <c r="F68" s="58">
        <f t="shared" ref="F68:F81" si="2">E68-D68</f>
        <v>0</v>
      </c>
      <c r="G68" s="65">
        <f t="shared" ref="G68:G81" si="3">F68/D68</f>
        <v>0</v>
      </c>
      <c r="H68" s="57"/>
      <c r="I68" s="57"/>
    </row>
    <row r="69" spans="1:9" x14ac:dyDescent="0.3">
      <c r="C69" s="58" t="str">
        <f>'Haver Pivoted'!A68</f>
        <v>pcw</v>
      </c>
      <c r="D69">
        <v>291.26533333333299</v>
      </c>
      <c r="E69" s="58">
        <f>'Haver Pivoted'!HD68</f>
        <v>291.26533333333299</v>
      </c>
      <c r="F69" s="58">
        <f t="shared" si="2"/>
        <v>0</v>
      </c>
      <c r="G69" s="65">
        <f t="shared" si="3"/>
        <v>0</v>
      </c>
    </row>
    <row r="70" spans="1:9" x14ac:dyDescent="0.3">
      <c r="B70" s="58" t="s">
        <v>162</v>
      </c>
      <c r="C70" s="58" t="str">
        <f>'Haver Pivoted'!A69</f>
        <v>gdppothq</v>
      </c>
      <c r="D70">
        <v>20197.900000000001</v>
      </c>
      <c r="E70" s="58">
        <f>'Haver Pivoted'!HD69</f>
        <v>20197.900000000001</v>
      </c>
      <c r="F70" s="58">
        <f t="shared" si="2"/>
        <v>0</v>
      </c>
      <c r="G70" s="65">
        <f t="shared" si="3"/>
        <v>0</v>
      </c>
    </row>
    <row r="71" spans="1:9" x14ac:dyDescent="0.3">
      <c r="B71" s="58" t="s">
        <v>163</v>
      </c>
      <c r="C71" s="58" t="str">
        <f>'Haver Pivoted'!A70</f>
        <v>gdppotq</v>
      </c>
      <c r="D71">
        <v>25289.599999999999</v>
      </c>
      <c r="E71" s="58">
        <f>'Haver Pivoted'!HD70</f>
        <v>25289.599999999999</v>
      </c>
      <c r="F71" s="58">
        <f t="shared" si="2"/>
        <v>0</v>
      </c>
      <c r="G71" s="65">
        <f t="shared" si="3"/>
        <v>0</v>
      </c>
    </row>
    <row r="72" spans="1:9" x14ac:dyDescent="0.3">
      <c r="B72" s="58" t="s">
        <v>164</v>
      </c>
      <c r="C72" s="58" t="str">
        <f>'Haver Pivoted'!A71</f>
        <v>recessq</v>
      </c>
      <c r="D72">
        <v>-1</v>
      </c>
      <c r="E72" s="58">
        <f>'Haver Pivoted'!HD71</f>
        <v>-1</v>
      </c>
      <c r="F72" s="58">
        <f t="shared" si="2"/>
        <v>0</v>
      </c>
      <c r="G72" s="65">
        <f t="shared" si="3"/>
        <v>0</v>
      </c>
    </row>
    <row r="73" spans="1:9" x14ac:dyDescent="0.3">
      <c r="A73" s="58" t="s">
        <v>165</v>
      </c>
      <c r="B73" s="58" t="s">
        <v>166</v>
      </c>
      <c r="C73" s="58" t="str">
        <f>'Haver Pivoted'!A72</f>
        <v>lasgova</v>
      </c>
      <c r="D73">
        <v>5241.3333333333303</v>
      </c>
      <c r="E73" s="58">
        <f>'Haver Pivoted'!HD72</f>
        <v>5256</v>
      </c>
      <c r="F73" s="58">
        <f t="shared" si="2"/>
        <v>14.666666666669698</v>
      </c>
      <c r="G73" s="65">
        <f t="shared" si="3"/>
        <v>2.7982701602651439E-3</v>
      </c>
    </row>
    <row r="74" spans="1:9" x14ac:dyDescent="0.3">
      <c r="A74" s="58" t="s">
        <v>165</v>
      </c>
      <c r="B74" s="58" t="s">
        <v>167</v>
      </c>
      <c r="C74" s="58" t="str">
        <f>'Haver Pivoted'!A73</f>
        <v>lalgova</v>
      </c>
      <c r="D74">
        <v>14180.666666666701</v>
      </c>
      <c r="E74" s="58">
        <f>'Haver Pivoted'!HD73</f>
        <v>14184</v>
      </c>
      <c r="F74" s="58">
        <f t="shared" si="2"/>
        <v>3.3333333332993789</v>
      </c>
      <c r="G74" s="65">
        <f t="shared" si="3"/>
        <v>2.3506182125659613E-4</v>
      </c>
    </row>
    <row r="75" spans="1:9" x14ac:dyDescent="0.3">
      <c r="A75" s="58" t="s">
        <v>165</v>
      </c>
      <c r="B75" s="58" t="s">
        <v>168</v>
      </c>
      <c r="C75" s="58" t="str">
        <f>'Haver Pivoted'!A74</f>
        <v>cpgs</v>
      </c>
      <c r="D75">
        <v>0</v>
      </c>
      <c r="E75" s="58">
        <f>'Haver Pivoted'!HD74</f>
        <v>342583.66666666698</v>
      </c>
      <c r="F75" s="58">
        <f t="shared" si="2"/>
        <v>342583.66666666698</v>
      </c>
      <c r="G75" s="65" t="e">
        <f t="shared" si="3"/>
        <v>#DIV/0!</v>
      </c>
    </row>
    <row r="76" spans="1:9" x14ac:dyDescent="0.3">
      <c r="B76" s="58" t="s">
        <v>169</v>
      </c>
      <c r="C76" s="58" t="str">
        <f>'Haver Pivoted'!A75</f>
        <v>jgdp_growth</v>
      </c>
      <c r="D76">
        <v>1.0038293647666801E-2</v>
      </c>
      <c r="E76" s="58">
        <f>'Haver Pivoted'!HD75</f>
        <v>1.05110547299745E-2</v>
      </c>
      <c r="F76" s="53">
        <f t="shared" si="2"/>
        <v>4.7276108230769921E-4</v>
      </c>
      <c r="G76" s="65">
        <f t="shared" si="3"/>
        <v>4.7095761381475726E-2</v>
      </c>
    </row>
    <row r="77" spans="1:9" x14ac:dyDescent="0.3">
      <c r="B77" s="58" t="s">
        <v>170</v>
      </c>
      <c r="C77" s="58" t="str">
        <f>'Haver Pivoted'!A76</f>
        <v>jc_growth</v>
      </c>
      <c r="D77">
        <v>1.0289158003903299E-2</v>
      </c>
      <c r="E77" s="58">
        <f>'Haver Pivoted'!HD76</f>
        <v>1.0485141965882501E-2</v>
      </c>
      <c r="F77" s="53">
        <f t="shared" si="2"/>
        <v>1.9598396197920143E-4</v>
      </c>
      <c r="G77" s="65">
        <f t="shared" si="3"/>
        <v>1.9047619047627889E-2</v>
      </c>
    </row>
    <row r="78" spans="1:9" x14ac:dyDescent="0.3">
      <c r="B78" s="58" t="s">
        <v>171</v>
      </c>
      <c r="C78" s="58" t="str">
        <f>'Haver Pivoted'!A77</f>
        <v>jgf_growth</v>
      </c>
      <c r="D78">
        <v>1.1880844308852501E-2</v>
      </c>
      <c r="E78" s="58">
        <f>'Haver Pivoted'!HD77</f>
        <v>1.2583608238046801E-2</v>
      </c>
      <c r="F78" s="53">
        <f t="shared" si="2"/>
        <v>7.0276392919429997E-4</v>
      </c>
      <c r="G78" s="65">
        <f t="shared" si="3"/>
        <v>5.9151009046610067E-2</v>
      </c>
    </row>
    <row r="79" spans="1:9" x14ac:dyDescent="0.3">
      <c r="B79" s="58" t="s">
        <v>172</v>
      </c>
      <c r="C79" s="58" t="str">
        <f>'Haver Pivoted'!A78</f>
        <v>jgs_growth</v>
      </c>
      <c r="D79">
        <v>5.4772511502227898E-3</v>
      </c>
      <c r="E79" s="58">
        <f>'Haver Pivoted'!HD78</f>
        <v>7.09851749068857E-3</v>
      </c>
      <c r="F79" s="53">
        <f>E79/D79-1</f>
        <v>0.29599999999996984</v>
      </c>
      <c r="G79" s="65">
        <f t="shared" si="3"/>
        <v>54.041706666660687</v>
      </c>
    </row>
    <row r="80" spans="1:9" x14ac:dyDescent="0.3">
      <c r="B80" s="58" t="s">
        <v>173</v>
      </c>
      <c r="C80" s="58" t="str">
        <f>'Haver Pivoted'!A79</f>
        <v>jgse_growth</v>
      </c>
      <c r="D80">
        <v>2.2377581466097602E-3</v>
      </c>
      <c r="E80" s="58">
        <f>'Haver Pivoted'!HD79</f>
        <v>3.9855496402034802E-3</v>
      </c>
      <c r="F80" s="53">
        <f t="shared" si="2"/>
        <v>1.74779149359372E-3</v>
      </c>
      <c r="G80" s="65">
        <f t="shared" si="3"/>
        <v>0.78104575163390755</v>
      </c>
    </row>
    <row r="81" spans="2:7" x14ac:dyDescent="0.3">
      <c r="B81" s="58" t="s">
        <v>174</v>
      </c>
      <c r="C81" s="58" t="str">
        <f>'Haver Pivoted'!A80</f>
        <v>jgsi_growth</v>
      </c>
      <c r="D81">
        <v>2.16799808449968E-2</v>
      </c>
      <c r="E81" s="58">
        <f>'Haver Pivoted'!HD80</f>
        <v>2.2565174172670701E-2</v>
      </c>
      <c r="F81" s="53">
        <f t="shared" si="2"/>
        <v>8.851933276739013E-4</v>
      </c>
      <c r="G81" s="65">
        <f t="shared" si="3"/>
        <v>4.0829986613119262E-2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00"/>
  <sheetViews>
    <sheetView topLeftCell="A50" zoomScale="84" zoomScaleNormal="133" workbookViewId="0">
      <selection activeCell="H62" sqref="H62"/>
    </sheetView>
  </sheetViews>
  <sheetFormatPr defaultColWidth="11.5546875" defaultRowHeight="14.4" x14ac:dyDescent="0.3"/>
  <cols>
    <col min="2" max="2" width="26.44140625" customWidth="1"/>
    <col min="3" max="3" width="20.21875" customWidth="1"/>
    <col min="4" max="11" width="9.44140625" customWidth="1"/>
  </cols>
  <sheetData>
    <row r="2" spans="2:14" x14ac:dyDescent="0.3">
      <c r="B2" s="1082" t="s">
        <v>1547</v>
      </c>
      <c r="C2" s="1082"/>
      <c r="D2" s="1082"/>
      <c r="E2" s="1082"/>
      <c r="F2" s="1082"/>
      <c r="G2" s="1082"/>
      <c r="H2" s="1082"/>
      <c r="I2" s="1082"/>
      <c r="J2" s="1082"/>
      <c r="K2" s="1082"/>
      <c r="L2" s="1082"/>
      <c r="M2" s="1082"/>
      <c r="N2" s="1082"/>
    </row>
    <row r="3" spans="2:14" x14ac:dyDescent="0.3">
      <c r="B3" t="str">
        <f>forecast!A1</f>
        <v>name</v>
      </c>
      <c r="C3" t="str">
        <f>forecast!B1</f>
        <v>variable</v>
      </c>
      <c r="D3" t="str">
        <f>forecast!C1</f>
        <v>2022 Q3</v>
      </c>
      <c r="E3" t="str">
        <f>forecast!D1</f>
        <v>2022 Q4</v>
      </c>
      <c r="F3" t="str">
        <f>forecast!E1</f>
        <v>2023 Q1</v>
      </c>
      <c r="G3" t="str">
        <f>forecast!F1</f>
        <v>2023 Q2</v>
      </c>
      <c r="H3" t="str">
        <f>forecast!G1</f>
        <v>2023 Q3</v>
      </c>
      <c r="I3" t="str">
        <f>forecast!H1</f>
        <v>2023 Q4</v>
      </c>
      <c r="J3" t="str">
        <f>forecast!I1</f>
        <v>2024 Q1</v>
      </c>
      <c r="K3" t="str">
        <f>forecast!J1</f>
        <v>2024 Q2</v>
      </c>
      <c r="L3" t="s">
        <v>175</v>
      </c>
      <c r="M3" t="s">
        <v>176</v>
      </c>
      <c r="N3" t="s">
        <v>177</v>
      </c>
    </row>
    <row r="4" spans="2:14" x14ac:dyDescent="0.3">
      <c r="B4" t="str">
        <f>forecast!A2</f>
        <v>Consumption Grants</v>
      </c>
      <c r="C4" t="str">
        <f>forecast!B2</f>
        <v>consumption_grants</v>
      </c>
      <c r="D4" s="72">
        <f>forecast!C2</f>
        <v>492.38786800000003</v>
      </c>
      <c r="E4" s="72">
        <f>forecast!D2</f>
        <v>483.36755273237202</v>
      </c>
      <c r="F4" s="72">
        <f>forecast!E2</f>
        <v>468.25943079425093</v>
      </c>
      <c r="G4" s="72">
        <f>forecast!F2</f>
        <v>472.80054303303206</v>
      </c>
      <c r="H4" s="72">
        <f>forecast!G2</f>
        <v>471.87100266666664</v>
      </c>
      <c r="I4" s="72">
        <f>forecast!H2</f>
        <v>472.47773764166686</v>
      </c>
      <c r="J4" s="72">
        <f>forecast!I2</f>
        <v>461.31629365802087</v>
      </c>
      <c r="K4" s="72">
        <f>forecast!J2</f>
        <v>441.70520399435327</v>
      </c>
      <c r="L4" s="72">
        <f>forecast!K2</f>
        <v>446.41869053333329</v>
      </c>
      <c r="M4" s="72">
        <f>forecast!L2</f>
        <v>451.42557348733351</v>
      </c>
      <c r="N4" s="72">
        <f>forecast!M2</f>
        <v>434.85302592434175</v>
      </c>
    </row>
    <row r="5" spans="2:14" x14ac:dyDescent="0.3">
      <c r="B5" t="str">
        <f>forecast!A3</f>
        <v>Investment Grants</v>
      </c>
      <c r="C5" t="str">
        <f>forecast!B3</f>
        <v>investment_grants</v>
      </c>
      <c r="D5" s="72">
        <f>forecast!C3</f>
        <v>75.340000000000018</v>
      </c>
      <c r="E5" s="72">
        <f>forecast!D3</f>
        <v>76.15900000000002</v>
      </c>
      <c r="F5" s="72">
        <f>forecast!E3</f>
        <v>76.15900000000002</v>
      </c>
      <c r="G5" s="72">
        <f>forecast!F3</f>
        <v>76.15900000000002</v>
      </c>
      <c r="H5" s="72">
        <f>forecast!G3</f>
        <v>76.15900000000002</v>
      </c>
      <c r="I5" s="72">
        <f>forecast!H3</f>
        <v>77.818000000000012</v>
      </c>
      <c r="J5" s="72">
        <f>forecast!I3</f>
        <v>77.818000000000012</v>
      </c>
      <c r="K5" s="72">
        <f>forecast!J3</f>
        <v>77.818000000000012</v>
      </c>
      <c r="L5" s="72">
        <f>forecast!K3</f>
        <v>77.818000000000012</v>
      </c>
      <c r="M5" s="72">
        <f>forecast!L3</f>
        <v>79.41200000000002</v>
      </c>
      <c r="N5" s="72">
        <f>forecast!M3</f>
        <v>79.41200000000002</v>
      </c>
    </row>
    <row r="6" spans="2:14" x14ac:dyDescent="0.3">
      <c r="B6" t="str">
        <f>forecast!A4</f>
        <v>Federal Purchases (NIPA Consistent)</v>
      </c>
      <c r="C6" t="str">
        <f>forecast!B4</f>
        <v>federal_purchases</v>
      </c>
      <c r="D6" s="72">
        <f>forecast!C4</f>
        <v>1656.9</v>
      </c>
      <c r="E6" s="72">
        <f>forecast!D4</f>
        <v>1676.9001179799739</v>
      </c>
      <c r="F6" s="72">
        <f>forecast!E4</f>
        <v>1693.4907579451458</v>
      </c>
      <c r="G6" s="72">
        <f>forecast!F4</f>
        <v>1708.8448284719198</v>
      </c>
      <c r="H6" s="72">
        <f>forecast!G4</f>
        <v>1722.7562346538962</v>
      </c>
      <c r="I6" s="72">
        <f>forecast!H4</f>
        <v>1736.3930239442748</v>
      </c>
      <c r="J6" s="72">
        <f>forecast!I4</f>
        <v>1750.510525032651</v>
      </c>
      <c r="K6" s="72">
        <f>forecast!J4</f>
        <v>1764.0097414018283</v>
      </c>
      <c r="L6" s="72">
        <f>forecast!K4</f>
        <v>1777.6120052242049</v>
      </c>
      <c r="M6" s="72">
        <f>forecast!L4</f>
        <v>1793.7662690465822</v>
      </c>
      <c r="N6" s="72">
        <f>forecast!M4</f>
        <v>1804.9984414453634</v>
      </c>
    </row>
    <row r="7" spans="2:14" x14ac:dyDescent="0.3">
      <c r="B7" t="str">
        <f>forecast!A5</f>
        <v>State Purchases (NIPA Consistent)</v>
      </c>
      <c r="C7" t="str">
        <f>forecast!B5</f>
        <v>state_purchases</v>
      </c>
      <c r="D7" s="72">
        <f>forecast!C5</f>
        <v>2829.6</v>
      </c>
      <c r="E7" s="72">
        <f>forecast!D5</f>
        <v>2867.1479295552822</v>
      </c>
      <c r="F7" s="72">
        <f>forecast!E5</f>
        <v>2902.161011259866</v>
      </c>
      <c r="G7" s="72">
        <f>forecast!F5</f>
        <v>2932.4230553290195</v>
      </c>
      <c r="H7" s="72">
        <f>forecast!G5</f>
        <v>2959.7931634461715</v>
      </c>
      <c r="I7" s="72">
        <f>forecast!H5</f>
        <v>2986.2337207216096</v>
      </c>
      <c r="J7" s="72">
        <f>forecast!I5</f>
        <v>3012.157860862761</v>
      </c>
      <c r="K7" s="72">
        <f>forecast!J5</f>
        <v>3037.9787175770557</v>
      </c>
      <c r="L7" s="72">
        <f>forecast!K5</f>
        <v>3064.5225582793501</v>
      </c>
      <c r="M7" s="72">
        <f>forecast!L5</f>
        <v>3091.9959498233598</v>
      </c>
      <c r="N7" s="72">
        <f>forecast!M5</f>
        <v>3137.5691162790699</v>
      </c>
    </row>
    <row r="8" spans="2:14" x14ac:dyDescent="0.3">
      <c r="B8" t="str">
        <f>forecast!A6</f>
        <v>Non-ARP Subsidies + ARP Provider Relief and PPP</v>
      </c>
      <c r="C8" t="str">
        <f>forecast!B6</f>
        <v>federal_subsidies</v>
      </c>
      <c r="D8" s="72">
        <f>forecast!C6</f>
        <v>3.1520000000000152</v>
      </c>
      <c r="E8" s="72">
        <f>forecast!D6</f>
        <v>75.782000000000011</v>
      </c>
      <c r="F8" s="72">
        <f>forecast!E6</f>
        <v>75.782000000000011</v>
      </c>
      <c r="G8" s="72">
        <f>forecast!F6</f>
        <v>75.782000000000011</v>
      </c>
      <c r="H8" s="72">
        <f>forecast!G6</f>
        <v>75.782000000000011</v>
      </c>
      <c r="I8" s="72">
        <f>forecast!H6</f>
        <v>84.266000000000005</v>
      </c>
      <c r="J8" s="72">
        <f>forecast!I6</f>
        <v>84.266000000000005</v>
      </c>
      <c r="K8" s="72">
        <f>forecast!J6</f>
        <v>84.266000000000005</v>
      </c>
      <c r="L8" s="72">
        <f>forecast!K6</f>
        <v>84.266000000000005</v>
      </c>
      <c r="M8" s="72">
        <f>forecast!L6</f>
        <v>91.364999999999995</v>
      </c>
      <c r="N8" s="72">
        <f>forecast!M6</f>
        <v>91.364999999999995</v>
      </c>
    </row>
    <row r="9" spans="2:14" x14ac:dyDescent="0.3">
      <c r="B9" t="str">
        <f>forecast!A7</f>
        <v>ARP Subsidies less Provider Relief and PPP</v>
      </c>
      <c r="C9" t="str">
        <f>forecast!B7</f>
        <v>federal_aid_to_small_businesses_arp</v>
      </c>
      <c r="D9" s="72">
        <f>forecast!C7</f>
        <v>110.24799999999999</v>
      </c>
      <c r="E9" s="72">
        <f>forecast!D7</f>
        <v>12.726000000000001</v>
      </c>
      <c r="F9" s="72">
        <f>forecast!E7</f>
        <v>12.726000000000001</v>
      </c>
      <c r="G9" s="72">
        <f>forecast!F7</f>
        <v>12.726000000000001</v>
      </c>
      <c r="H9" s="72">
        <f>forecast!G7</f>
        <v>12.726000000000001</v>
      </c>
      <c r="I9" s="72">
        <f>forecast!H7</f>
        <v>1.365</v>
      </c>
      <c r="J9" s="72">
        <f>forecast!I7</f>
        <v>1.365</v>
      </c>
      <c r="K9" s="72">
        <f>forecast!J7</f>
        <v>1.365</v>
      </c>
      <c r="L9" s="72">
        <f>forecast!K7</f>
        <v>1.365</v>
      </c>
      <c r="M9" s="72">
        <f>forecast!L7</f>
        <v>-0.90100000000000025</v>
      </c>
      <c r="N9" s="72">
        <f>forecast!M7</f>
        <v>-0.90100000000000025</v>
      </c>
    </row>
    <row r="10" spans="2:14" x14ac:dyDescent="0.3">
      <c r="B10" t="str">
        <f>forecast!A8</f>
        <v>Federal UI</v>
      </c>
      <c r="C10" t="str">
        <f>forecast!B8</f>
        <v>federal_ui</v>
      </c>
      <c r="D10" s="72">
        <f>forecast!C8</f>
        <v>0.5</v>
      </c>
      <c r="E10" s="72">
        <f>forecast!D8</f>
        <v>0</v>
      </c>
      <c r="F10" s="72">
        <f>forecast!E8</f>
        <v>0</v>
      </c>
      <c r="G10" s="72">
        <f>forecast!F8</f>
        <v>0</v>
      </c>
      <c r="H10" s="72">
        <f>forecast!G8</f>
        <v>0</v>
      </c>
      <c r="I10" s="72">
        <f>forecast!H8</f>
        <v>0</v>
      </c>
      <c r="J10" s="72">
        <f>forecast!I8</f>
        <v>0</v>
      </c>
      <c r="K10" s="72">
        <f>forecast!J8</f>
        <v>0</v>
      </c>
      <c r="L10" s="72">
        <f>forecast!K8</f>
        <v>0</v>
      </c>
      <c r="M10" s="72">
        <f>forecast!L8</f>
        <v>0</v>
      </c>
      <c r="N10" s="72">
        <f>forecast!M8</f>
        <v>0</v>
      </c>
    </row>
    <row r="11" spans="2:14" x14ac:dyDescent="0.3">
      <c r="B11" t="str">
        <f>forecast!A9</f>
        <v>State UI</v>
      </c>
      <c r="C11" t="str">
        <f>forecast!B9</f>
        <v>state_ui</v>
      </c>
      <c r="D11" s="72">
        <f>forecast!C9</f>
        <v>18</v>
      </c>
      <c r="E11" s="72">
        <f>forecast!D9</f>
        <v>18.420560747663554</v>
      </c>
      <c r="F11" s="72">
        <f>forecast!E9</f>
        <v>18.067289719626174</v>
      </c>
      <c r="G11" s="72">
        <f>forecast!F9</f>
        <v>17.764485981308418</v>
      </c>
      <c r="H11" s="72">
        <f>forecast!G9</f>
        <v>17.820000000000007</v>
      </c>
      <c r="I11" s="72">
        <f>forecast!H9</f>
        <v>17.920934579439262</v>
      </c>
      <c r="J11" s="72">
        <f>forecast!I9</f>
        <v>18.279252336448607</v>
      </c>
      <c r="K11" s="72">
        <f>forecast!J9</f>
        <v>20.045607476635524</v>
      </c>
      <c r="L11" s="72">
        <f>forecast!K9</f>
        <v>20.292897196261695</v>
      </c>
      <c r="M11" s="72">
        <f>forecast!L9</f>
        <v>20.600747663551413</v>
      </c>
      <c r="N11" s="72">
        <f>forecast!M9</f>
        <v>20.898504672897207</v>
      </c>
    </row>
    <row r="12" spans="2:14" x14ac:dyDescent="0.3">
      <c r="B12" t="str">
        <f>forecast!A10</f>
        <v>Federal Medicaid</v>
      </c>
      <c r="C12" t="str">
        <f>forecast!B10</f>
        <v>medicaid_grants</v>
      </c>
      <c r="D12" s="72">
        <f>forecast!C10</f>
        <v>605.63699999999994</v>
      </c>
      <c r="E12" s="72">
        <f>forecast!D10</f>
        <v>603.00068356357667</v>
      </c>
      <c r="F12" s="72">
        <f>forecast!E10</f>
        <v>607.65035951605387</v>
      </c>
      <c r="G12" s="72">
        <f>forecast!F10</f>
        <v>612.33588863926911</v>
      </c>
      <c r="H12" s="72">
        <f>forecast!G10</f>
        <v>576.63205507158432</v>
      </c>
      <c r="I12" s="72">
        <f>forecast!H10</f>
        <v>569.82769279783622</v>
      </c>
      <c r="J12" s="72">
        <f>forecast!I10</f>
        <v>563.5332442248091</v>
      </c>
      <c r="K12" s="72">
        <f>forecast!J10</f>
        <v>557.30832558747863</v>
      </c>
      <c r="L12" s="72">
        <f>forecast!K10</f>
        <v>551.1521688420836</v>
      </c>
      <c r="M12" s="72">
        <f>forecast!L10</f>
        <v>541.34192564680143</v>
      </c>
      <c r="N12" s="72">
        <f>forecast!M10</f>
        <v>535.36213745034365</v>
      </c>
    </row>
    <row r="13" spans="2:14" x14ac:dyDescent="0.3">
      <c r="B13" t="str">
        <f>forecast!A11</f>
        <v>Total Medicaid</v>
      </c>
      <c r="C13" t="str">
        <f>forecast!B11</f>
        <v>medicaid</v>
      </c>
      <c r="D13" s="72">
        <f>forecast!C11</f>
        <v>790</v>
      </c>
      <c r="E13" s="72">
        <f>forecast!D11</f>
        <v>790.0916083556474</v>
      </c>
      <c r="F13" s="72">
        <f>forecast!E11</f>
        <v>796.18392309385763</v>
      </c>
      <c r="G13" s="72">
        <f>forecast!F11</f>
        <v>802.32321504139009</v>
      </c>
      <c r="H13" s="72">
        <f>forecast!G11</f>
        <v>808.50984643465085</v>
      </c>
      <c r="I13" s="72">
        <f>forecast!H11</f>
        <v>799.5788595530172</v>
      </c>
      <c r="J13" s="72">
        <f>forecast!I11</f>
        <v>790.74652641942589</v>
      </c>
      <c r="K13" s="72">
        <f>forecast!J11</f>
        <v>782.01175728174405</v>
      </c>
      <c r="L13" s="72">
        <f>forecast!K11</f>
        <v>773.3734744254931</v>
      </c>
      <c r="M13" s="72">
        <f>forecast!L11</f>
        <v>764.83061204087801</v>
      </c>
      <c r="N13" s="72">
        <f>forecast!M11</f>
        <v>756.38211609128541</v>
      </c>
    </row>
    <row r="14" spans="2:14" x14ac:dyDescent="0.3">
      <c r="B14" t="str">
        <f>forecast!A12</f>
        <v>Medicare</v>
      </c>
      <c r="C14" t="str">
        <f>forecast!B12</f>
        <v>medicare</v>
      </c>
      <c r="D14" s="72">
        <f>forecast!C12</f>
        <v>920.3</v>
      </c>
      <c r="E14" s="72">
        <f>forecast!D12</f>
        <v>942.65830121332203</v>
      </c>
      <c r="F14" s="72">
        <f>forecast!E12</f>
        <v>965.55978794565488</v>
      </c>
      <c r="G14" s="72">
        <f>forecast!F12</f>
        <v>989.017656660596</v>
      </c>
      <c r="H14" s="72">
        <f>forecast!G12</f>
        <v>1013.0454244242726</v>
      </c>
      <c r="I14" s="72">
        <f>forecast!H12</f>
        <v>1037.4736868172592</v>
      </c>
      <c r="J14" s="72">
        <f>forecast!I12</f>
        <v>1062.4910047344636</v>
      </c>
      <c r="K14" s="72">
        <f>forecast!J12</f>
        <v>1088.11158247765</v>
      </c>
      <c r="L14" s="72">
        <f>forecast!K12</f>
        <v>1114.3499668666996</v>
      </c>
      <c r="M14" s="72">
        <f>forecast!L12</f>
        <v>1141.2210554989849</v>
      </c>
      <c r="N14" s="72">
        <f>forecast!M12</f>
        <v>1168.7401052079097</v>
      </c>
    </row>
    <row r="15" spans="2:14" x14ac:dyDescent="0.3">
      <c r="B15" t="str">
        <f>forecast!A13</f>
        <v>Non-ARP Rebate Checks</v>
      </c>
      <c r="C15" t="str">
        <f>forecast!B13</f>
        <v>rebate_checks</v>
      </c>
      <c r="D15" s="72">
        <f>forecast!C13</f>
        <v>0</v>
      </c>
      <c r="E15" s="72">
        <f>forecast!D13</f>
        <v>0</v>
      </c>
      <c r="F15" s="72">
        <f>forecast!E13</f>
        <v>0</v>
      </c>
      <c r="G15" s="72">
        <f>forecast!F13</f>
        <v>0</v>
      </c>
      <c r="H15" s="72">
        <f>forecast!G13</f>
        <v>0</v>
      </c>
      <c r="I15" s="72">
        <f>forecast!H13</f>
        <v>0</v>
      </c>
      <c r="J15" s="72">
        <f>forecast!I13</f>
        <v>0</v>
      </c>
      <c r="K15" s="72">
        <f>forecast!J13</f>
        <v>0</v>
      </c>
      <c r="L15" s="72">
        <f>forecast!K13</f>
        <v>0</v>
      </c>
      <c r="M15" s="72">
        <f>forecast!L13</f>
        <v>0</v>
      </c>
      <c r="N15" s="72">
        <f>forecast!M13</f>
        <v>0</v>
      </c>
    </row>
    <row r="16" spans="2:14" x14ac:dyDescent="0.3">
      <c r="B16" t="str">
        <f>forecast!A14</f>
        <v>ARP Rebate Checks</v>
      </c>
      <c r="C16" t="str">
        <f>forecast!B14</f>
        <v>rebate_checks_arp</v>
      </c>
      <c r="D16" s="72">
        <f>forecast!C14</f>
        <v>0</v>
      </c>
      <c r="E16" s="72">
        <f>forecast!D14</f>
        <v>0</v>
      </c>
      <c r="F16" s="72">
        <f>forecast!E14</f>
        <v>0</v>
      </c>
      <c r="G16" s="72">
        <f>forecast!F14</f>
        <v>0</v>
      </c>
      <c r="H16" s="72">
        <f>forecast!G14</f>
        <v>0</v>
      </c>
      <c r="I16" s="72">
        <f>forecast!H14</f>
        <v>0</v>
      </c>
      <c r="J16" s="72">
        <f>forecast!I14</f>
        <v>0</v>
      </c>
      <c r="K16" s="72">
        <f>forecast!J14</f>
        <v>0</v>
      </c>
      <c r="L16" s="72">
        <f>forecast!K14</f>
        <v>0</v>
      </c>
      <c r="M16" s="72">
        <f>forecast!L14</f>
        <v>0</v>
      </c>
      <c r="N16" s="72">
        <f>forecast!M14</f>
        <v>0</v>
      </c>
    </row>
    <row r="17" spans="2:14" x14ac:dyDescent="0.3">
      <c r="B17" t="str">
        <f>forecast!A15</f>
        <v>ARP Other Vulnerable</v>
      </c>
      <c r="C17" t="str">
        <f>forecast!B15</f>
        <v>federal_other_vulnerable_arp</v>
      </c>
      <c r="D17" s="72">
        <f>forecast!C15</f>
        <v>52.756999999999998</v>
      </c>
      <c r="E17" s="72">
        <f>forecast!D15</f>
        <v>12</v>
      </c>
      <c r="F17" s="72">
        <f>forecast!E15</f>
        <v>12</v>
      </c>
      <c r="G17" s="72">
        <f>forecast!F15</f>
        <v>12</v>
      </c>
      <c r="H17" s="72">
        <f>forecast!G15</f>
        <v>12</v>
      </c>
      <c r="I17" s="72">
        <f>forecast!H15</f>
        <v>4.2219999999999995</v>
      </c>
      <c r="J17" s="72">
        <f>forecast!I15</f>
        <v>4.2219999999999995</v>
      </c>
      <c r="K17" s="72">
        <f>forecast!J15</f>
        <v>4.2219999999999995</v>
      </c>
      <c r="L17" s="72">
        <f>forecast!K15</f>
        <v>4.2219999999999995</v>
      </c>
      <c r="M17" s="72">
        <f>forecast!L15</f>
        <v>2.3719999999999999</v>
      </c>
      <c r="N17" s="72">
        <f>forecast!M15</f>
        <v>2.3719999999999999</v>
      </c>
    </row>
    <row r="18" spans="2:14" x14ac:dyDescent="0.3">
      <c r="B18" t="str">
        <f>forecast!A16</f>
        <v xml:space="preserve">ARP Other Direct Aid plus Provider Relief </v>
      </c>
      <c r="C18" t="str">
        <f>forecast!B16</f>
        <v>federal_other_direct_aid_arp</v>
      </c>
      <c r="D18" s="72">
        <f>forecast!C16</f>
        <v>27.819000000000003</v>
      </c>
      <c r="E18" s="72">
        <f>forecast!D16</f>
        <v>1.4159999999999999</v>
      </c>
      <c r="F18" s="72">
        <f>forecast!E16</f>
        <v>1.4159999999999999</v>
      </c>
      <c r="G18" s="72">
        <f>forecast!F16</f>
        <v>1.4159999999999999</v>
      </c>
      <c r="H18" s="72">
        <f>forecast!G16</f>
        <v>1.4159999999999999</v>
      </c>
      <c r="I18" s="72">
        <f>forecast!H16</f>
        <v>1.4790000000000001</v>
      </c>
      <c r="J18" s="72">
        <f>forecast!I16</f>
        <v>1.4790000000000001</v>
      </c>
      <c r="K18" s="72">
        <f>forecast!J16</f>
        <v>1.4790000000000001</v>
      </c>
      <c r="L18" s="72">
        <f>forecast!K16</f>
        <v>1.4790000000000001</v>
      </c>
      <c r="M18" s="72">
        <f>forecast!L16</f>
        <v>1.63</v>
      </c>
      <c r="N18" s="72">
        <f>forecast!M16</f>
        <v>1.63</v>
      </c>
    </row>
    <row r="19" spans="2:14" x14ac:dyDescent="0.3">
      <c r="B19" t="str">
        <f>forecast!A17</f>
        <v>Other Federal Social Benefits (including all SNAP)</v>
      </c>
      <c r="C19" t="str">
        <f>forecast!B17</f>
        <v>federal_social_benefits</v>
      </c>
      <c r="D19" s="72">
        <f>forecast!C17</f>
        <v>1818.9020000000003</v>
      </c>
      <c r="E19" s="72">
        <f>forecast!D17</f>
        <v>1852.2204375000003</v>
      </c>
      <c r="F19" s="72">
        <f>forecast!E17</f>
        <v>1902.6775146250002</v>
      </c>
      <c r="G19" s="72">
        <f>forecast!F17</f>
        <v>1909.6775146250002</v>
      </c>
      <c r="H19" s="72">
        <f>forecast!G17</f>
        <v>1916.6775146250002</v>
      </c>
      <c r="I19" s="72">
        <f>forecast!H17</f>
        <v>1918.9265146250002</v>
      </c>
      <c r="J19" s="72">
        <f>forecast!I17</f>
        <v>1963.7985746250001</v>
      </c>
      <c r="K19" s="72">
        <f>forecast!J17</f>
        <v>1970.7985746250001</v>
      </c>
      <c r="L19" s="72">
        <f>forecast!K17</f>
        <v>1977.7985746250001</v>
      </c>
      <c r="M19" s="72">
        <f>forecast!L17</f>
        <v>1985.8265746250001</v>
      </c>
      <c r="N19" s="72">
        <f>forecast!M17</f>
        <v>2018.7146146250002</v>
      </c>
    </row>
    <row r="20" spans="2:14" x14ac:dyDescent="0.3">
      <c r="B20" t="str">
        <f>forecast!A18</f>
        <v>State Social Benefits ex Medicaid</v>
      </c>
      <c r="C20" t="str">
        <f>forecast!B18</f>
        <v>state_social_benefits</v>
      </c>
      <c r="D20" s="72">
        <f>forecast!C18</f>
        <v>196.79999999999995</v>
      </c>
      <c r="E20" s="72">
        <f>forecast!D18</f>
        <v>177.85179962461578</v>
      </c>
      <c r="F20" s="72">
        <f>forecast!E18</f>
        <v>180.60976738544733</v>
      </c>
      <c r="G20" s="72">
        <f>forecast!F18</f>
        <v>183.41050326100046</v>
      </c>
      <c r="H20" s="72">
        <f>forecast!G18</f>
        <v>186.25467046121651</v>
      </c>
      <c r="I20" s="72">
        <f>forecast!H18</f>
        <v>189.14294248050757</v>
      </c>
      <c r="J20" s="72">
        <f>forecast!I18</f>
        <v>192.07600325723899</v>
      </c>
      <c r="K20" s="72">
        <f>forecast!J18</f>
        <v>195.05454733568487</v>
      </c>
      <c r="L20" s="72">
        <f>forecast!K18</f>
        <v>198.07928003049508</v>
      </c>
      <c r="M20" s="72">
        <f>forecast!L18</f>
        <v>201.15091759371273</v>
      </c>
      <c r="N20" s="72">
        <f>forecast!M18</f>
        <v>204.27018738438153</v>
      </c>
    </row>
    <row r="21" spans="2:14" x14ac:dyDescent="0.3">
      <c r="B21" t="str">
        <f>forecast!A19</f>
        <v>Federal Non-Corporate Taxes</v>
      </c>
      <c r="C21" t="str">
        <f>forecast!B19</f>
        <v>federal_non_corporate_taxes</v>
      </c>
      <c r="D21" s="72">
        <f>forecast!C19</f>
        <v>4505.2000000000007</v>
      </c>
      <c r="E21" s="72">
        <f>forecast!D19</f>
        <v>4574.8644920383394</v>
      </c>
      <c r="F21" s="72">
        <f>forecast!E19</f>
        <v>4528.6569166191493</v>
      </c>
      <c r="G21" s="72">
        <f>forecast!F19</f>
        <v>4544.8795506226297</v>
      </c>
      <c r="H21" s="72">
        <f>forecast!G19</f>
        <v>4561.5377512540026</v>
      </c>
      <c r="I21" s="72">
        <f>forecast!H19</f>
        <v>4564.9831242368391</v>
      </c>
      <c r="J21" s="72">
        <f>forecast!I19</f>
        <v>4571.7917472467925</v>
      </c>
      <c r="K21" s="72">
        <f>forecast!J19</f>
        <v>4578.7665782937693</v>
      </c>
      <c r="L21" s="72">
        <f>forecast!K19</f>
        <v>4585.908584776219</v>
      </c>
      <c r="M21" s="72">
        <f>forecast!L19</f>
        <v>4602.1144223049096</v>
      </c>
      <c r="N21" s="72">
        <f>forecast!M19</f>
        <v>4613.636665183144</v>
      </c>
    </row>
    <row r="22" spans="2:14" x14ac:dyDescent="0.3">
      <c r="B22" t="str">
        <f>forecast!A20</f>
        <v>State Non-Corporate Taxes</v>
      </c>
      <c r="C22" t="str">
        <f>forecast!B20</f>
        <v>state_non_corporate_taxes</v>
      </c>
      <c r="D22" s="72">
        <f>forecast!C20</f>
        <v>2238.5</v>
      </c>
      <c r="E22" s="72">
        <f>forecast!D20</f>
        <v>2268.4182561651428</v>
      </c>
      <c r="F22" s="72">
        <f>forecast!E20</f>
        <v>2295.2562539532132</v>
      </c>
      <c r="G22" s="72">
        <f>forecast!F20</f>
        <v>2321.7782878540979</v>
      </c>
      <c r="H22" s="72">
        <f>forecast!G20</f>
        <v>2347.5507271003335</v>
      </c>
      <c r="I22" s="72">
        <f>forecast!H20</f>
        <v>2371.5299731521227</v>
      </c>
      <c r="J22" s="72">
        <f>forecast!I20</f>
        <v>2395.115238871128</v>
      </c>
      <c r="K22" s="72">
        <f>forecast!J20</f>
        <v>2417.0388945898803</v>
      </c>
      <c r="L22" s="72">
        <f>forecast!K20</f>
        <v>2438.7623017299529</v>
      </c>
      <c r="M22" s="72">
        <f>forecast!L20</f>
        <v>2461.5282045683075</v>
      </c>
      <c r="N22" s="72">
        <f>forecast!M20</f>
        <v>2483.9169649053383</v>
      </c>
    </row>
    <row r="23" spans="2:14" x14ac:dyDescent="0.3">
      <c r="B23" t="str">
        <f>forecast!A21</f>
        <v>Federal Corporate Taxes</v>
      </c>
      <c r="C23" t="str">
        <f>forecast!B21</f>
        <v>federal_corporate_taxes</v>
      </c>
      <c r="D23" s="72">
        <f>forecast!C21</f>
        <v>334.6</v>
      </c>
      <c r="E23" s="72">
        <f>forecast!D21</f>
        <v>382.19188884072923</v>
      </c>
      <c r="F23" s="72">
        <f>forecast!E21</f>
        <v>394.91708520104078</v>
      </c>
      <c r="G23" s="72">
        <f>forecast!F21</f>
        <v>408.10910873050739</v>
      </c>
      <c r="H23" s="72">
        <f>forecast!G21</f>
        <v>421.78508510638312</v>
      </c>
      <c r="I23" s="72">
        <f>forecast!H21</f>
        <v>427.08469138358691</v>
      </c>
      <c r="J23" s="72">
        <f>forecast!I21</f>
        <v>431.72266035544538</v>
      </c>
      <c r="K23" s="72">
        <f>forecast!J21</f>
        <v>436.41563677685053</v>
      </c>
      <c r="L23" s="72">
        <f>forecast!K21</f>
        <v>441.16427304964549</v>
      </c>
      <c r="M23" s="72">
        <f>forecast!L21</f>
        <v>427.29133875132953</v>
      </c>
      <c r="N23" s="72">
        <f>forecast!M21</f>
        <v>423.03821600000856</v>
      </c>
    </row>
    <row r="24" spans="2:14" x14ac:dyDescent="0.3">
      <c r="B24" t="str">
        <f>forecast!A22</f>
        <v>State Corporate Taxes</v>
      </c>
      <c r="C24" s="36" t="str">
        <f>forecast!B22</f>
        <v>state_corporate_taxes</v>
      </c>
      <c r="D24" s="72">
        <f>forecast!C22</f>
        <v>101.6</v>
      </c>
      <c r="E24" s="72">
        <f>forecast!D22</f>
        <v>102.34079475027343</v>
      </c>
      <c r="F24" s="72">
        <f>forecast!E22</f>
        <v>102.15559606270509</v>
      </c>
      <c r="G24" s="72">
        <f>forecast!F22</f>
        <v>101.60411552639043</v>
      </c>
      <c r="H24" s="72">
        <f>forecast!G22</f>
        <v>100.98678656782924</v>
      </c>
      <c r="I24" s="72">
        <f>forecast!H22</f>
        <v>100.44765261068579</v>
      </c>
      <c r="J24" s="72">
        <f>forecast!I22</f>
        <v>99.982598128569705</v>
      </c>
      <c r="K24" s="72">
        <f>forecast!J22</f>
        <v>99.863247863247878</v>
      </c>
      <c r="L24" s="72">
        <f>forecast!K22</f>
        <v>99.51342812006321</v>
      </c>
      <c r="M24" s="72">
        <f>forecast!L22</f>
        <v>100.06079312998747</v>
      </c>
      <c r="N24" s="72">
        <f>forecast!M22</f>
        <v>100.42295945234335</v>
      </c>
    </row>
    <row r="25" spans="2:14" x14ac:dyDescent="0.3">
      <c r="B25" s="36" t="str">
        <f>forecast!A23</f>
        <v>Federal Student Loans</v>
      </c>
      <c r="C25" s="36" t="str">
        <f>forecast!B23</f>
        <v>federal_student_loans</v>
      </c>
      <c r="D25" s="72">
        <f>forecast!C23</f>
        <v>0</v>
      </c>
      <c r="E25" s="72">
        <f>forecast!D23</f>
        <v>0</v>
      </c>
      <c r="F25" s="72">
        <f>forecast!E23</f>
        <v>0</v>
      </c>
      <c r="G25" s="72">
        <f>forecast!F23</f>
        <v>0</v>
      </c>
      <c r="H25" s="72">
        <f>forecast!G23</f>
        <v>20.815079999999998</v>
      </c>
      <c r="I25" s="72">
        <f>forecast!H23</f>
        <v>21.006180000000001</v>
      </c>
      <c r="J25" s="72">
        <f>forecast!I23</f>
        <v>25.815300000000001</v>
      </c>
      <c r="K25" s="72">
        <f>forecast!J23</f>
        <v>26.04045</v>
      </c>
      <c r="L25" s="72">
        <f>forecast!K23</f>
        <v>26.26465</v>
      </c>
      <c r="M25" s="72">
        <f>forecast!L23</f>
        <v>26.498349999999999</v>
      </c>
      <c r="N25" s="72">
        <f>forecast!M23</f>
        <v>26.454419999999999</v>
      </c>
    </row>
    <row r="27" spans="2:14" x14ac:dyDescent="0.3">
      <c r="B27" s="1082" t="s">
        <v>1546</v>
      </c>
      <c r="C27" s="1082"/>
      <c r="D27" s="1082"/>
      <c r="E27" s="1082"/>
      <c r="F27" s="1082"/>
      <c r="G27" s="1082"/>
      <c r="H27" s="1082"/>
      <c r="I27" s="1082"/>
      <c r="J27" s="1082"/>
      <c r="K27" s="1082"/>
      <c r="L27" s="1082"/>
      <c r="M27" s="1082"/>
      <c r="N27" s="1082"/>
    </row>
    <row r="28" spans="2:14" x14ac:dyDescent="0.3">
      <c r="B28" t="s">
        <v>178</v>
      </c>
      <c r="C28" t="s">
        <v>179</v>
      </c>
      <c r="D28" t="s">
        <v>184</v>
      </c>
      <c r="E28" t="s">
        <v>185</v>
      </c>
      <c r="F28" t="s">
        <v>186</v>
      </c>
      <c r="G28" t="s">
        <v>187</v>
      </c>
      <c r="H28" t="s">
        <v>188</v>
      </c>
      <c r="I28" t="s">
        <v>189</v>
      </c>
      <c r="J28" t="s">
        <v>190</v>
      </c>
      <c r="K28" t="s">
        <v>191</v>
      </c>
      <c r="L28" t="s">
        <v>175</v>
      </c>
      <c r="M28" t="s">
        <v>176</v>
      </c>
      <c r="N28" t="s">
        <v>177</v>
      </c>
    </row>
    <row r="29" spans="2:14" x14ac:dyDescent="0.3">
      <c r="B29" t="s">
        <v>192</v>
      </c>
      <c r="C29" t="s">
        <v>193</v>
      </c>
      <c r="D29" s="72">
        <v>492.38786800000003</v>
      </c>
      <c r="E29" s="72">
        <v>483.36755273237202</v>
      </c>
      <c r="F29" s="72">
        <v>468.25943079425093</v>
      </c>
      <c r="G29" s="72">
        <v>472.80054303303206</v>
      </c>
      <c r="H29" s="72">
        <v>471.87100266666664</v>
      </c>
      <c r="I29" s="72">
        <v>472.47773764166686</v>
      </c>
      <c r="J29" s="72">
        <v>461.31629365802087</v>
      </c>
      <c r="K29" s="72">
        <v>441.70520399435327</v>
      </c>
      <c r="L29" s="72">
        <v>446.41869053333329</v>
      </c>
      <c r="M29" s="72">
        <v>451.42557348733351</v>
      </c>
      <c r="N29" s="72">
        <v>434.85302592434175</v>
      </c>
    </row>
    <row r="30" spans="2:14" x14ac:dyDescent="0.3">
      <c r="B30" t="s">
        <v>134</v>
      </c>
      <c r="C30" t="s">
        <v>194</v>
      </c>
      <c r="D30" s="72">
        <v>75.340000000000018</v>
      </c>
      <c r="E30" s="72">
        <v>76.15900000000002</v>
      </c>
      <c r="F30" s="72">
        <v>76.15900000000002</v>
      </c>
      <c r="G30" s="72">
        <v>76.15900000000002</v>
      </c>
      <c r="H30" s="72">
        <v>76.15900000000002</v>
      </c>
      <c r="I30" s="72">
        <v>77.818000000000012</v>
      </c>
      <c r="J30" s="72">
        <v>77.818000000000012</v>
      </c>
      <c r="K30" s="72">
        <v>77.818000000000012</v>
      </c>
      <c r="L30" s="72">
        <v>77.818000000000012</v>
      </c>
      <c r="M30" s="72">
        <v>79.41200000000002</v>
      </c>
      <c r="N30" s="72">
        <v>79.41200000000002</v>
      </c>
    </row>
    <row r="31" spans="2:14" x14ac:dyDescent="0.3">
      <c r="B31" t="s">
        <v>195</v>
      </c>
      <c r="C31" t="s">
        <v>196</v>
      </c>
      <c r="D31" s="72">
        <v>1656.8</v>
      </c>
      <c r="E31" s="72">
        <v>1676.799185086137</v>
      </c>
      <c r="F31" s="72">
        <v>1693.3888237452575</v>
      </c>
      <c r="G31" s="72">
        <v>1708.741967597487</v>
      </c>
      <c r="H31" s="72">
        <v>1722.6525341750105</v>
      </c>
      <c r="I31" s="72">
        <v>1736.2885647117353</v>
      </c>
      <c r="J31" s="72">
        <v>1750.4052137570741</v>
      </c>
      <c r="K31" s="72">
        <v>1763.9036153989673</v>
      </c>
      <c r="L31" s="72">
        <v>1777.5050582747679</v>
      </c>
      <c r="M31" s="72">
        <v>1793.6585011505688</v>
      </c>
      <c r="N31" s="72">
        <v>1804.8899956464954</v>
      </c>
    </row>
    <row r="32" spans="2:14" x14ac:dyDescent="0.3">
      <c r="B32" t="s">
        <v>197</v>
      </c>
      <c r="C32" t="s">
        <v>198</v>
      </c>
      <c r="D32" s="72">
        <v>2817.3</v>
      </c>
      <c r="E32" s="72">
        <v>2854.6847123042471</v>
      </c>
      <c r="F32" s="72">
        <v>2889.5455954984527</v>
      </c>
      <c r="G32" s="72">
        <v>2919.676093362471</v>
      </c>
      <c r="H32" s="72">
        <v>2946.9272262428967</v>
      </c>
      <c r="I32" s="72">
        <v>2973.252848950026</v>
      </c>
      <c r="J32" s="72">
        <v>2999.0642993386555</v>
      </c>
      <c r="K32" s="72">
        <v>3024.7729152635852</v>
      </c>
      <c r="L32" s="72">
        <v>3051.2013724344129</v>
      </c>
      <c r="M32" s="72">
        <v>3078.5553397785384</v>
      </c>
      <c r="N32" s="72">
        <v>3137.5691162790699</v>
      </c>
    </row>
    <row r="33" spans="2:14" x14ac:dyDescent="0.3">
      <c r="B33" t="s">
        <v>199</v>
      </c>
      <c r="C33" t="s">
        <v>200</v>
      </c>
      <c r="D33" s="72">
        <v>3.1520000000000152</v>
      </c>
      <c r="E33" s="72">
        <v>75.782000000000011</v>
      </c>
      <c r="F33" s="72">
        <v>75.782000000000011</v>
      </c>
      <c r="G33" s="72">
        <v>75.782000000000011</v>
      </c>
      <c r="H33" s="72">
        <v>75.782000000000011</v>
      </c>
      <c r="I33" s="72">
        <v>84.266000000000005</v>
      </c>
      <c r="J33" s="72">
        <v>84.266000000000005</v>
      </c>
      <c r="K33" s="72">
        <v>84.266000000000005</v>
      </c>
      <c r="L33" s="72">
        <v>84.266000000000005</v>
      </c>
      <c r="M33" s="72">
        <v>91.364999999999995</v>
      </c>
      <c r="N33" s="72">
        <v>91.364999999999995</v>
      </c>
    </row>
    <row r="34" spans="2:14" x14ac:dyDescent="0.3">
      <c r="B34" t="s">
        <v>201</v>
      </c>
      <c r="C34" t="s">
        <v>202</v>
      </c>
      <c r="D34" s="72">
        <v>110.24799999999999</v>
      </c>
      <c r="E34" s="72">
        <v>12.726000000000001</v>
      </c>
      <c r="F34" s="72">
        <v>12.726000000000001</v>
      </c>
      <c r="G34" s="72">
        <v>12.726000000000001</v>
      </c>
      <c r="H34" s="72">
        <v>12.726000000000001</v>
      </c>
      <c r="I34" s="72">
        <v>1.365</v>
      </c>
      <c r="J34" s="72">
        <v>1.365</v>
      </c>
      <c r="K34" s="72">
        <v>1.365</v>
      </c>
      <c r="L34" s="72">
        <v>1.365</v>
      </c>
      <c r="M34" s="72">
        <v>-0.90100000000000025</v>
      </c>
      <c r="N34" s="72">
        <v>-0.90100000000000025</v>
      </c>
    </row>
    <row r="35" spans="2:14" x14ac:dyDescent="0.3">
      <c r="B35" t="s">
        <v>203</v>
      </c>
      <c r="C35" t="s">
        <v>204</v>
      </c>
      <c r="D35" s="72">
        <v>0.5</v>
      </c>
      <c r="E35" s="72">
        <v>0</v>
      </c>
      <c r="F35" s="72">
        <v>0</v>
      </c>
      <c r="G35" s="72">
        <v>0</v>
      </c>
      <c r="H35" s="72">
        <v>0</v>
      </c>
      <c r="I35" s="72">
        <v>0</v>
      </c>
      <c r="J35" s="72">
        <v>0</v>
      </c>
      <c r="K35" s="72">
        <v>0</v>
      </c>
      <c r="L35" s="72">
        <v>0</v>
      </c>
      <c r="M35" s="72">
        <v>0</v>
      </c>
      <c r="N35" s="72">
        <v>0</v>
      </c>
    </row>
    <row r="36" spans="2:14" x14ac:dyDescent="0.3">
      <c r="B36" t="s">
        <v>205</v>
      </c>
      <c r="C36" t="s">
        <v>206</v>
      </c>
      <c r="D36" s="72">
        <v>18.100000000000001</v>
      </c>
      <c r="E36" s="72">
        <v>18.522897196261681</v>
      </c>
      <c r="F36" s="72">
        <v>18.167663551401869</v>
      </c>
      <c r="G36" s="72">
        <v>17.863177570093459</v>
      </c>
      <c r="H36" s="72">
        <v>17.919</v>
      </c>
      <c r="I36" s="72">
        <v>18.020495327102804</v>
      </c>
      <c r="J36" s="72">
        <v>18.380803738317756</v>
      </c>
      <c r="K36" s="72">
        <v>20.156971962616822</v>
      </c>
      <c r="L36" s="72">
        <v>20.405635514018691</v>
      </c>
      <c r="M36" s="72">
        <v>20.715196261682241</v>
      </c>
      <c r="N36" s="72">
        <v>21.014607476635511</v>
      </c>
    </row>
    <row r="37" spans="2:14" x14ac:dyDescent="0.3">
      <c r="B37" t="s">
        <v>207</v>
      </c>
      <c r="C37" t="s">
        <v>208</v>
      </c>
      <c r="D37" s="72">
        <v>605.63699999999994</v>
      </c>
      <c r="E37" s="72">
        <v>613.84597247353656</v>
      </c>
      <c r="F37" s="72">
        <v>624.99216044308173</v>
      </c>
      <c r="G37" s="72">
        <v>636.34074039990639</v>
      </c>
      <c r="H37" s="72">
        <v>604.94226050750615</v>
      </c>
      <c r="I37" s="72">
        <v>597.8950000265861</v>
      </c>
      <c r="J37" s="72">
        <v>591.38646351724287</v>
      </c>
      <c r="K37" s="72">
        <v>584.94877732023133</v>
      </c>
      <c r="L37" s="72">
        <v>578.58117017664404</v>
      </c>
      <c r="M37" s="72">
        <v>568.32485419463796</v>
      </c>
      <c r="N37" s="72">
        <v>562.1382109503752</v>
      </c>
    </row>
    <row r="38" spans="2:14" x14ac:dyDescent="0.3">
      <c r="B38" t="s">
        <v>209</v>
      </c>
      <c r="C38" t="s">
        <v>210</v>
      </c>
      <c r="D38" s="72">
        <v>799.4</v>
      </c>
      <c r="E38" s="72">
        <v>813.9154697797394</v>
      </c>
      <c r="F38" s="72">
        <v>828.69451081657985</v>
      </c>
      <c r="G38" s="72">
        <v>843.74190902572923</v>
      </c>
      <c r="H38" s="72">
        <v>859.06253722483177</v>
      </c>
      <c r="I38" s="72">
        <v>849.71099575502819</v>
      </c>
      <c r="J38" s="72">
        <v>840.46125284362051</v>
      </c>
      <c r="K38" s="72">
        <v>831.31220033677926</v>
      </c>
      <c r="L38" s="72">
        <v>822.26274214376235</v>
      </c>
      <c r="M38" s="72">
        <v>813.31179410559946</v>
      </c>
      <c r="N38" s="72">
        <v>804.45828386520543</v>
      </c>
    </row>
    <row r="39" spans="2:14" x14ac:dyDescent="0.3">
      <c r="B39" t="s">
        <v>55</v>
      </c>
      <c r="C39" t="s">
        <v>211</v>
      </c>
      <c r="D39" s="72">
        <v>920.3</v>
      </c>
      <c r="E39" s="72">
        <v>942.65830121332203</v>
      </c>
      <c r="F39" s="72">
        <v>965.55978794565488</v>
      </c>
      <c r="G39" s="72">
        <v>989.017656660596</v>
      </c>
      <c r="H39" s="72">
        <v>1013.0454244242726</v>
      </c>
      <c r="I39" s="72">
        <v>1037.4736868172592</v>
      </c>
      <c r="J39" s="72">
        <v>1062.4910047344636</v>
      </c>
      <c r="K39" s="72">
        <v>1088.11158247765</v>
      </c>
      <c r="L39" s="72">
        <v>1114.3499668666996</v>
      </c>
      <c r="M39" s="72">
        <v>1141.2210554989849</v>
      </c>
      <c r="N39" s="72">
        <v>1168.7401052079097</v>
      </c>
    </row>
    <row r="40" spans="2:14" x14ac:dyDescent="0.3">
      <c r="B40" t="s">
        <v>212</v>
      </c>
      <c r="C40" t="s">
        <v>213</v>
      </c>
      <c r="D40" s="72">
        <v>0</v>
      </c>
      <c r="E40" s="72">
        <v>0</v>
      </c>
      <c r="F40" s="72">
        <v>0</v>
      </c>
      <c r="G40" s="72">
        <v>0</v>
      </c>
      <c r="H40" s="72">
        <v>0</v>
      </c>
      <c r="I40" s="72">
        <v>0</v>
      </c>
      <c r="J40" s="72">
        <v>0</v>
      </c>
      <c r="K40" s="72">
        <v>0</v>
      </c>
      <c r="L40" s="72">
        <v>0</v>
      </c>
      <c r="M40" s="72">
        <v>0</v>
      </c>
      <c r="N40" s="72">
        <v>0</v>
      </c>
    </row>
    <row r="41" spans="2:14" x14ac:dyDescent="0.3">
      <c r="B41" t="s">
        <v>214</v>
      </c>
      <c r="C41" t="s">
        <v>215</v>
      </c>
      <c r="D41" s="72">
        <v>0</v>
      </c>
      <c r="E41" s="72">
        <v>0</v>
      </c>
      <c r="F41" s="72">
        <v>0</v>
      </c>
      <c r="G41" s="72">
        <v>0</v>
      </c>
      <c r="H41" s="72">
        <v>0</v>
      </c>
      <c r="I41" s="72">
        <v>0</v>
      </c>
      <c r="J41" s="72">
        <v>0</v>
      </c>
      <c r="K41" s="72">
        <v>0</v>
      </c>
      <c r="L41" s="72">
        <v>0</v>
      </c>
      <c r="M41" s="72">
        <v>0</v>
      </c>
      <c r="N41" s="72">
        <v>0</v>
      </c>
    </row>
    <row r="42" spans="2:14" x14ac:dyDescent="0.3">
      <c r="B42" t="s">
        <v>216</v>
      </c>
      <c r="C42" t="s">
        <v>217</v>
      </c>
      <c r="D42" s="72">
        <v>52.756999999999998</v>
      </c>
      <c r="E42" s="72">
        <v>12</v>
      </c>
      <c r="F42" s="72">
        <v>12</v>
      </c>
      <c r="G42" s="72">
        <v>12</v>
      </c>
      <c r="H42" s="72">
        <v>12</v>
      </c>
      <c r="I42" s="72">
        <v>4.2219999999999995</v>
      </c>
      <c r="J42" s="72">
        <v>4.2219999999999995</v>
      </c>
      <c r="K42" s="72">
        <v>4.2219999999999995</v>
      </c>
      <c r="L42" s="72">
        <v>4.2219999999999995</v>
      </c>
      <c r="M42" s="72">
        <v>2.3719999999999999</v>
      </c>
      <c r="N42" s="72">
        <v>2.3719999999999999</v>
      </c>
    </row>
    <row r="43" spans="2:14" x14ac:dyDescent="0.3">
      <c r="B43" t="s">
        <v>864</v>
      </c>
      <c r="C43" t="s">
        <v>219</v>
      </c>
      <c r="D43" s="72">
        <v>27.819000000000003</v>
      </c>
      <c r="E43" s="72">
        <v>1.4159999999999999</v>
      </c>
      <c r="F43" s="72">
        <v>1.4159999999999999</v>
      </c>
      <c r="G43" s="72">
        <v>1.4159999999999999</v>
      </c>
      <c r="H43" s="72">
        <v>1.4159999999999999</v>
      </c>
      <c r="I43" s="72">
        <v>1.4790000000000001</v>
      </c>
      <c r="J43" s="72">
        <v>1.4790000000000001</v>
      </c>
      <c r="K43" s="72">
        <v>1.4790000000000001</v>
      </c>
      <c r="L43" s="72">
        <v>1.4790000000000001</v>
      </c>
      <c r="M43" s="72">
        <v>1.63</v>
      </c>
      <c r="N43" s="72">
        <v>1.63</v>
      </c>
    </row>
    <row r="44" spans="2:14" x14ac:dyDescent="0.3">
      <c r="B44" t="s">
        <v>220</v>
      </c>
      <c r="C44" t="s">
        <v>221</v>
      </c>
      <c r="D44" s="72">
        <v>1815.3019999999999</v>
      </c>
      <c r="E44" s="72">
        <v>1848.2440625000002</v>
      </c>
      <c r="F44" s="72">
        <v>1898.8232673750001</v>
      </c>
      <c r="G44" s="72">
        <v>1905.8232673750001</v>
      </c>
      <c r="H44" s="72">
        <v>1912.8232673750001</v>
      </c>
      <c r="I44" s="72">
        <v>1915.0722673750001</v>
      </c>
      <c r="J44" s="72">
        <v>1959.928037375</v>
      </c>
      <c r="K44" s="72">
        <v>1966.928037375</v>
      </c>
      <c r="L44" s="72">
        <v>1973.928037375</v>
      </c>
      <c r="M44" s="72">
        <v>1981.9560373750001</v>
      </c>
      <c r="N44" s="72">
        <v>2014.833217375</v>
      </c>
    </row>
    <row r="45" spans="2:14" x14ac:dyDescent="0.3">
      <c r="B45" t="s">
        <v>222</v>
      </c>
      <c r="C45" t="s">
        <v>223</v>
      </c>
      <c r="D45" s="72">
        <v>174.89999999999998</v>
      </c>
      <c r="E45" s="72">
        <v>177.61219387370579</v>
      </c>
      <c r="F45" s="72">
        <v>180.36644604134281</v>
      </c>
      <c r="G45" s="72">
        <v>183.16340870558193</v>
      </c>
      <c r="H45" s="72">
        <v>186.00374418287385</v>
      </c>
      <c r="I45" s="72">
        <v>188.88812506028458</v>
      </c>
      <c r="J45" s="72">
        <v>191.81723435476303</v>
      </c>
      <c r="K45" s="72">
        <v>194.79176567487843</v>
      </c>
      <c r="L45" s="72">
        <v>197.81242338506567</v>
      </c>
      <c r="M45" s="72">
        <v>200.87992277241776</v>
      </c>
      <c r="N45" s="72">
        <v>203.99499021606471</v>
      </c>
    </row>
    <row r="46" spans="2:14" x14ac:dyDescent="0.3">
      <c r="B46" t="s">
        <v>224</v>
      </c>
      <c r="C46" t="s">
        <v>225</v>
      </c>
      <c r="D46" s="72">
        <v>4521.3</v>
      </c>
      <c r="E46" s="72">
        <v>4551.0190720152614</v>
      </c>
      <c r="F46" s="72">
        <v>4544.8676839222089</v>
      </c>
      <c r="G46" s="72">
        <v>4561.1481332642215</v>
      </c>
      <c r="H46" s="72">
        <v>4577.8657982298319</v>
      </c>
      <c r="I46" s="72">
        <v>4581.3337918960706</v>
      </c>
      <c r="J46" s="72">
        <v>4588.1656521289278</v>
      </c>
      <c r="K46" s="72">
        <v>4595.1643406397661</v>
      </c>
      <c r="L46" s="72">
        <v>4602.3308285652874</v>
      </c>
      <c r="M46" s="72">
        <v>4618.5854622298712</v>
      </c>
      <c r="N46" s="72">
        <v>4630.1568421182028</v>
      </c>
    </row>
    <row r="47" spans="2:14" x14ac:dyDescent="0.3">
      <c r="B47" t="s">
        <v>226</v>
      </c>
      <c r="C47" t="s">
        <v>227</v>
      </c>
      <c r="D47" s="72">
        <v>2207.1</v>
      </c>
      <c r="E47" s="72">
        <v>2236.6129051275057</v>
      </c>
      <c r="F47" s="72">
        <v>2263.0458707440143</v>
      </c>
      <c r="G47" s="72">
        <v>2289.159990029701</v>
      </c>
      <c r="H47" s="72">
        <v>2314.5310511748094</v>
      </c>
      <c r="I47" s="72">
        <v>2338.1443958655282</v>
      </c>
      <c r="J47" s="72">
        <v>2361.3664215061503</v>
      </c>
      <c r="K47" s="72">
        <v>2382.9559638586984</v>
      </c>
      <c r="L47" s="72">
        <v>2404.3359612223162</v>
      </c>
      <c r="M47" s="72">
        <v>2426.7542649666989</v>
      </c>
      <c r="N47" s="72">
        <v>2448.808624379189</v>
      </c>
    </row>
    <row r="48" spans="2:14" x14ac:dyDescent="0.3">
      <c r="B48" t="s">
        <v>228</v>
      </c>
      <c r="C48" t="s">
        <v>229</v>
      </c>
      <c r="D48" s="72">
        <v>349.50195413008231</v>
      </c>
      <c r="E48" s="72">
        <v>397.64052507020307</v>
      </c>
      <c r="F48" s="72">
        <v>410.93245870623986</v>
      </c>
      <c r="G48" s="72">
        <v>424.7120104171741</v>
      </c>
      <c r="H48" s="72">
        <v>438.99706860009519</v>
      </c>
      <c r="I48" s="72">
        <v>444.50081322306482</v>
      </c>
      <c r="J48" s="72">
        <v>449.34534167153834</v>
      </c>
      <c r="K48" s="72">
        <v>454.24732741561337</v>
      </c>
      <c r="L48" s="72">
        <v>459.20745191290814</v>
      </c>
      <c r="M48" s="72">
        <v>445.38279824029598</v>
      </c>
      <c r="N48" s="72">
        <v>440.94025576348253</v>
      </c>
    </row>
    <row r="49" spans="2:14" x14ac:dyDescent="0.3">
      <c r="B49" t="s">
        <v>230</v>
      </c>
      <c r="C49" s="36" t="s">
        <v>231</v>
      </c>
      <c r="D49" s="72">
        <v>112.00035534253368</v>
      </c>
      <c r="E49" s="72">
        <v>112.81698206759772</v>
      </c>
      <c r="F49" s="72">
        <v>112.61282538633171</v>
      </c>
      <c r="G49" s="72">
        <v>112.00489215767293</v>
      </c>
      <c r="H49" s="72">
        <v>111.32436988678622</v>
      </c>
      <c r="I49" s="72">
        <v>110.73004710354516</v>
      </c>
      <c r="J49" s="72">
        <v>110.21738699281053</v>
      </c>
      <c r="K49" s="72">
        <v>110.08581935377244</v>
      </c>
      <c r="L49" s="72">
        <v>109.70019006693663</v>
      </c>
      <c r="M49" s="72">
        <v>110.30358648045618</v>
      </c>
      <c r="N49" s="72">
        <v>110.70282621270971</v>
      </c>
    </row>
    <row r="50" spans="2:14" x14ac:dyDescent="0.3">
      <c r="B50" s="36" t="s">
        <v>1486</v>
      </c>
      <c r="C50" s="36" t="s">
        <v>1485</v>
      </c>
      <c r="D50" s="72">
        <v>0</v>
      </c>
      <c r="E50" s="72">
        <v>0</v>
      </c>
      <c r="F50" s="72">
        <v>20.354099999999999</v>
      </c>
      <c r="G50" s="72">
        <v>20.595119999999998</v>
      </c>
      <c r="H50" s="72">
        <v>20.815079999999998</v>
      </c>
      <c r="I50" s="72">
        <v>21.006180000000001</v>
      </c>
      <c r="J50" s="72">
        <v>25.815300000000001</v>
      </c>
      <c r="K50" s="72">
        <v>26.04045</v>
      </c>
      <c r="L50" s="72">
        <v>26.26465</v>
      </c>
      <c r="M50" s="72">
        <v>26.498349999999999</v>
      </c>
      <c r="N50" s="72">
        <v>26.454419999999999</v>
      </c>
    </row>
    <row r="52" spans="2:14" x14ac:dyDescent="0.3">
      <c r="B52" s="1082" t="s">
        <v>232</v>
      </c>
      <c r="C52" s="1082"/>
      <c r="D52" s="1082"/>
      <c r="E52" s="1082"/>
      <c r="F52" s="1082"/>
      <c r="G52" s="1082"/>
      <c r="H52" s="1082"/>
      <c r="I52" s="1082"/>
      <c r="J52" s="1082"/>
      <c r="K52" s="1082"/>
      <c r="L52" s="1082"/>
      <c r="M52" s="1082"/>
      <c r="N52" s="1082"/>
    </row>
    <row r="53" spans="2:14" x14ac:dyDescent="0.3">
      <c r="B53" t="s">
        <v>178</v>
      </c>
      <c r="C53" t="s">
        <v>179</v>
      </c>
      <c r="D53" t="s">
        <v>184</v>
      </c>
      <c r="E53" t="s">
        <v>185</v>
      </c>
      <c r="F53" t="s">
        <v>186</v>
      </c>
      <c r="G53" t="s">
        <v>187</v>
      </c>
      <c r="H53" t="s">
        <v>188</v>
      </c>
      <c r="I53" t="s">
        <v>189</v>
      </c>
      <c r="J53" t="s">
        <v>190</v>
      </c>
      <c r="K53" t="s">
        <v>191</v>
      </c>
      <c r="L53" t="s">
        <v>175</v>
      </c>
      <c r="M53" t="s">
        <v>176</v>
      </c>
      <c r="N53" t="s">
        <v>177</v>
      </c>
    </row>
    <row r="54" spans="2:14" x14ac:dyDescent="0.3">
      <c r="B54" t="s">
        <v>192</v>
      </c>
      <c r="C54" t="s">
        <v>193</v>
      </c>
      <c r="D54" s="72">
        <f t="shared" ref="D54:J54" si="0">D4-D29</f>
        <v>0</v>
      </c>
      <c r="E54" s="72">
        <f t="shared" si="0"/>
        <v>0</v>
      </c>
      <c r="F54" s="72">
        <f t="shared" si="0"/>
        <v>0</v>
      </c>
      <c r="G54" s="72">
        <f t="shared" si="0"/>
        <v>0</v>
      </c>
      <c r="H54" s="72">
        <f t="shared" si="0"/>
        <v>0</v>
      </c>
      <c r="I54" s="72">
        <f t="shared" si="0"/>
        <v>0</v>
      </c>
      <c r="J54" s="72">
        <f t="shared" si="0"/>
        <v>0</v>
      </c>
      <c r="K54" s="72">
        <f t="shared" ref="K54:N54" si="1">K4-K29</f>
        <v>0</v>
      </c>
      <c r="L54" s="72">
        <f t="shared" si="1"/>
        <v>0</v>
      </c>
      <c r="M54" s="72">
        <f t="shared" si="1"/>
        <v>0</v>
      </c>
      <c r="N54" s="72">
        <f t="shared" si="1"/>
        <v>0</v>
      </c>
    </row>
    <row r="55" spans="2:14" x14ac:dyDescent="0.3">
      <c r="B55" t="s">
        <v>134</v>
      </c>
      <c r="C55" t="s">
        <v>194</v>
      </c>
      <c r="D55" s="72">
        <f t="shared" ref="D55:J55" si="2">D5-D30</f>
        <v>0</v>
      </c>
      <c r="E55" s="72">
        <f t="shared" si="2"/>
        <v>0</v>
      </c>
      <c r="F55" s="72">
        <f t="shared" si="2"/>
        <v>0</v>
      </c>
      <c r="G55" s="72">
        <f t="shared" si="2"/>
        <v>0</v>
      </c>
      <c r="H55" s="72">
        <f t="shared" si="2"/>
        <v>0</v>
      </c>
      <c r="I55" s="72">
        <f t="shared" si="2"/>
        <v>0</v>
      </c>
      <c r="J55" s="72">
        <f t="shared" si="2"/>
        <v>0</v>
      </c>
      <c r="K55" s="72">
        <f t="shared" ref="K55:N55" si="3">K5-K30</f>
        <v>0</v>
      </c>
      <c r="L55" s="72">
        <f t="shared" si="3"/>
        <v>0</v>
      </c>
      <c r="M55" s="72">
        <f t="shared" si="3"/>
        <v>0</v>
      </c>
      <c r="N55" s="72">
        <f t="shared" si="3"/>
        <v>0</v>
      </c>
    </row>
    <row r="56" spans="2:14" x14ac:dyDescent="0.3">
      <c r="B56" t="s">
        <v>195</v>
      </c>
      <c r="C56" t="s">
        <v>196</v>
      </c>
      <c r="D56" s="72">
        <f t="shared" ref="D56:J73" si="4">D6-D31</f>
        <v>0.10000000000013642</v>
      </c>
      <c r="E56" s="72">
        <f t="shared" si="4"/>
        <v>0.10093289383689807</v>
      </c>
      <c r="F56" s="72">
        <f t="shared" si="4"/>
        <v>0.1019341998883192</v>
      </c>
      <c r="G56" s="72">
        <f t="shared" si="4"/>
        <v>0.10286087443273573</v>
      </c>
      <c r="H56" s="72">
        <f t="shared" si="4"/>
        <v>0.10370047888568479</v>
      </c>
      <c r="I56" s="72">
        <f t="shared" si="4"/>
        <v>0.1044592325395115</v>
      </c>
      <c r="J56" s="72">
        <f t="shared" si="4"/>
        <v>0.10531127557692344</v>
      </c>
      <c r="K56" s="72">
        <f t="shared" ref="K56:N56" si="5">K6-K31</f>
        <v>0.10612600286094676</v>
      </c>
      <c r="L56" s="72">
        <f t="shared" si="5"/>
        <v>0.10694694943708782</v>
      </c>
      <c r="M56" s="72">
        <f t="shared" si="5"/>
        <v>0.10776789601345627</v>
      </c>
      <c r="N56" s="72">
        <f t="shared" si="5"/>
        <v>0.10844579886793326</v>
      </c>
    </row>
    <row r="57" spans="2:14" x14ac:dyDescent="0.3">
      <c r="B57" t="s">
        <v>197</v>
      </c>
      <c r="C57" t="s">
        <v>198</v>
      </c>
      <c r="D57" s="72">
        <f t="shared" si="4"/>
        <v>12.299999999999727</v>
      </c>
      <c r="E57" s="72">
        <f t="shared" si="4"/>
        <v>12.463217251035076</v>
      </c>
      <c r="F57" s="72">
        <f t="shared" si="4"/>
        <v>12.61541576141326</v>
      </c>
      <c r="G57" s="72">
        <f t="shared" si="4"/>
        <v>12.746961966548497</v>
      </c>
      <c r="H57" s="72">
        <f t="shared" si="4"/>
        <v>12.865937203274825</v>
      </c>
      <c r="I57" s="72">
        <f t="shared" si="4"/>
        <v>12.980871771583679</v>
      </c>
      <c r="J57" s="72">
        <f t="shared" si="4"/>
        <v>13.093561524105553</v>
      </c>
      <c r="K57" s="72">
        <f t="shared" ref="K57:N57" si="6">K7-K32</f>
        <v>13.205802313470485</v>
      </c>
      <c r="L57" s="72">
        <f t="shared" si="6"/>
        <v>13.32118584493719</v>
      </c>
      <c r="M57" s="72">
        <f t="shared" si="6"/>
        <v>13.440610044821369</v>
      </c>
      <c r="N57" s="72">
        <f t="shared" si="6"/>
        <v>0</v>
      </c>
    </row>
    <row r="58" spans="2:14" x14ac:dyDescent="0.3">
      <c r="B58" t="s">
        <v>199</v>
      </c>
      <c r="C58" t="s">
        <v>200</v>
      </c>
      <c r="D58" s="72">
        <f t="shared" si="4"/>
        <v>0</v>
      </c>
      <c r="E58" s="72">
        <f t="shared" si="4"/>
        <v>0</v>
      </c>
      <c r="F58" s="72">
        <f t="shared" si="4"/>
        <v>0</v>
      </c>
      <c r="G58" s="72">
        <f t="shared" si="4"/>
        <v>0</v>
      </c>
      <c r="H58" s="72">
        <f t="shared" si="4"/>
        <v>0</v>
      </c>
      <c r="I58" s="72">
        <f t="shared" si="4"/>
        <v>0</v>
      </c>
      <c r="J58" s="72">
        <f t="shared" si="4"/>
        <v>0</v>
      </c>
      <c r="K58" s="72">
        <f t="shared" ref="K58:N58" si="7">K8-K33</f>
        <v>0</v>
      </c>
      <c r="L58" s="72">
        <f t="shared" si="7"/>
        <v>0</v>
      </c>
      <c r="M58" s="72">
        <f t="shared" si="7"/>
        <v>0</v>
      </c>
      <c r="N58" s="72">
        <f t="shared" si="7"/>
        <v>0</v>
      </c>
    </row>
    <row r="59" spans="2:14" x14ac:dyDescent="0.3">
      <c r="B59" t="s">
        <v>201</v>
      </c>
      <c r="C59" t="s">
        <v>202</v>
      </c>
      <c r="D59" s="72">
        <f t="shared" si="4"/>
        <v>0</v>
      </c>
      <c r="E59" s="72">
        <f t="shared" si="4"/>
        <v>0</v>
      </c>
      <c r="F59" s="72">
        <f t="shared" si="4"/>
        <v>0</v>
      </c>
      <c r="G59" s="72">
        <f t="shared" si="4"/>
        <v>0</v>
      </c>
      <c r="H59" s="72">
        <f t="shared" si="4"/>
        <v>0</v>
      </c>
      <c r="I59" s="72">
        <f t="shared" si="4"/>
        <v>0</v>
      </c>
      <c r="J59" s="72">
        <f t="shared" si="4"/>
        <v>0</v>
      </c>
      <c r="K59" s="72">
        <f t="shared" ref="K59:N59" si="8">K9-K34</f>
        <v>0</v>
      </c>
      <c r="L59" s="72">
        <f t="shared" si="8"/>
        <v>0</v>
      </c>
      <c r="M59" s="72">
        <f t="shared" si="8"/>
        <v>0</v>
      </c>
      <c r="N59" s="72">
        <f t="shared" si="8"/>
        <v>0</v>
      </c>
    </row>
    <row r="60" spans="2:14" x14ac:dyDescent="0.3">
      <c r="B60" t="s">
        <v>203</v>
      </c>
      <c r="C60" t="s">
        <v>204</v>
      </c>
      <c r="D60" s="72">
        <f t="shared" si="4"/>
        <v>0</v>
      </c>
      <c r="E60" s="72">
        <f t="shared" si="4"/>
        <v>0</v>
      </c>
      <c r="F60" s="72">
        <f t="shared" si="4"/>
        <v>0</v>
      </c>
      <c r="G60" s="72">
        <f t="shared" si="4"/>
        <v>0</v>
      </c>
      <c r="H60" s="72">
        <f t="shared" si="4"/>
        <v>0</v>
      </c>
      <c r="I60" s="72">
        <f t="shared" si="4"/>
        <v>0</v>
      </c>
      <c r="J60" s="72">
        <f t="shared" si="4"/>
        <v>0</v>
      </c>
      <c r="K60" s="72">
        <f t="shared" ref="K60:N60" si="9">K10-K35</f>
        <v>0</v>
      </c>
      <c r="L60" s="72">
        <f t="shared" si="9"/>
        <v>0</v>
      </c>
      <c r="M60" s="72">
        <f t="shared" si="9"/>
        <v>0</v>
      </c>
      <c r="N60" s="72">
        <f t="shared" si="9"/>
        <v>0</v>
      </c>
    </row>
    <row r="61" spans="2:14" x14ac:dyDescent="0.3">
      <c r="B61" t="s">
        <v>205</v>
      </c>
      <c r="C61" t="s">
        <v>206</v>
      </c>
      <c r="D61" s="72">
        <f t="shared" si="4"/>
        <v>-0.10000000000000142</v>
      </c>
      <c r="E61" s="72">
        <f t="shared" si="4"/>
        <v>-0.10233644859812685</v>
      </c>
      <c r="F61" s="72">
        <f t="shared" si="4"/>
        <v>-0.10037383177569481</v>
      </c>
      <c r="G61" s="72">
        <f t="shared" si="4"/>
        <v>-9.8691588785040807E-2</v>
      </c>
      <c r="H61" s="72">
        <f t="shared" si="4"/>
        <v>-9.8999999999993094E-2</v>
      </c>
      <c r="I61" s="72">
        <f t="shared" si="4"/>
        <v>-9.956074766354206E-2</v>
      </c>
      <c r="J61" s="72">
        <f t="shared" si="4"/>
        <v>-0.10155140186914835</v>
      </c>
      <c r="K61" s="72">
        <f t="shared" ref="K61:N61" si="10">K11-K36</f>
        <v>-0.11136448598129789</v>
      </c>
      <c r="L61" s="72">
        <f t="shared" si="10"/>
        <v>-0.11273831775699605</v>
      </c>
      <c r="M61" s="72">
        <f t="shared" si="10"/>
        <v>-0.11444859813082786</v>
      </c>
      <c r="N61" s="72">
        <f t="shared" si="10"/>
        <v>-0.11610280373830406</v>
      </c>
    </row>
    <row r="62" spans="2:14" x14ac:dyDescent="0.3">
      <c r="B62" t="s">
        <v>207</v>
      </c>
      <c r="C62" t="s">
        <v>208</v>
      </c>
      <c r="D62" s="72">
        <f t="shared" si="4"/>
        <v>0</v>
      </c>
      <c r="E62" s="72">
        <f t="shared" si="4"/>
        <v>-10.845288909959891</v>
      </c>
      <c r="F62" s="72">
        <f t="shared" si="4"/>
        <v>-17.341800927027862</v>
      </c>
      <c r="G62" s="72">
        <f t="shared" si="4"/>
        <v>-24.00485176063728</v>
      </c>
      <c r="H62" s="72">
        <f t="shared" si="4"/>
        <v>-28.31020543592183</v>
      </c>
      <c r="I62" s="72">
        <f t="shared" si="4"/>
        <v>-28.067307228749883</v>
      </c>
      <c r="J62" s="72">
        <f t="shared" si="4"/>
        <v>-27.853219292433778</v>
      </c>
      <c r="K62" s="72">
        <f t="shared" ref="K62:N62" si="11">K12-K37</f>
        <v>-27.640451732752695</v>
      </c>
      <c r="L62" s="72">
        <f t="shared" si="11"/>
        <v>-27.429001334560439</v>
      </c>
      <c r="M62" s="72">
        <f t="shared" si="11"/>
        <v>-26.982928547836536</v>
      </c>
      <c r="N62" s="72">
        <f t="shared" si="11"/>
        <v>-26.776073500031544</v>
      </c>
    </row>
    <row r="63" spans="2:14" x14ac:dyDescent="0.3">
      <c r="B63" t="s">
        <v>209</v>
      </c>
      <c r="C63" t="s">
        <v>210</v>
      </c>
      <c r="D63" s="72">
        <f t="shared" si="4"/>
        <v>-9.3999999999999773</v>
      </c>
      <c r="E63" s="72">
        <f t="shared" si="4"/>
        <v>-23.823861424092001</v>
      </c>
      <c r="F63" s="72">
        <f t="shared" si="4"/>
        <v>-32.510587722722221</v>
      </c>
      <c r="G63" s="72">
        <f t="shared" si="4"/>
        <v>-41.418693984339143</v>
      </c>
      <c r="H63" s="72">
        <f t="shared" si="4"/>
        <v>-50.552690790180918</v>
      </c>
      <c r="I63" s="72">
        <f t="shared" si="4"/>
        <v>-50.132136202010997</v>
      </c>
      <c r="J63" s="72">
        <f t="shared" si="4"/>
        <v>-49.714726424194623</v>
      </c>
      <c r="K63" s="72">
        <f t="shared" ref="K63:N63" si="12">K13-K38</f>
        <v>-49.300443055035203</v>
      </c>
      <c r="L63" s="72">
        <f t="shared" si="12"/>
        <v>-48.889267718269252</v>
      </c>
      <c r="M63" s="72">
        <f>M13-M38</f>
        <v>-48.481182064721452</v>
      </c>
      <c r="N63" s="72">
        <f t="shared" si="12"/>
        <v>-48.076167773920019</v>
      </c>
    </row>
    <row r="64" spans="2:14" x14ac:dyDescent="0.3">
      <c r="B64" t="s">
        <v>55</v>
      </c>
      <c r="C64" t="s">
        <v>211</v>
      </c>
      <c r="D64" s="72">
        <f t="shared" si="4"/>
        <v>0</v>
      </c>
      <c r="E64" s="72">
        <f t="shared" si="4"/>
        <v>0</v>
      </c>
      <c r="F64" s="72">
        <f t="shared" si="4"/>
        <v>0</v>
      </c>
      <c r="G64" s="72">
        <f t="shared" si="4"/>
        <v>0</v>
      </c>
      <c r="H64" s="72">
        <f t="shared" si="4"/>
        <v>0</v>
      </c>
      <c r="I64" s="72">
        <f t="shared" si="4"/>
        <v>0</v>
      </c>
      <c r="J64" s="72">
        <f t="shared" si="4"/>
        <v>0</v>
      </c>
      <c r="K64" s="72">
        <f t="shared" ref="K64:N64" si="13">K14-K39</f>
        <v>0</v>
      </c>
      <c r="L64" s="72">
        <f t="shared" si="13"/>
        <v>0</v>
      </c>
      <c r="M64" s="72">
        <f t="shared" si="13"/>
        <v>0</v>
      </c>
      <c r="N64" s="72">
        <f t="shared" si="13"/>
        <v>0</v>
      </c>
    </row>
    <row r="65" spans="2:14" x14ac:dyDescent="0.3">
      <c r="B65" t="s">
        <v>212</v>
      </c>
      <c r="C65" t="s">
        <v>213</v>
      </c>
      <c r="D65" s="72">
        <f t="shared" si="4"/>
        <v>0</v>
      </c>
      <c r="E65" s="72">
        <f t="shared" si="4"/>
        <v>0</v>
      </c>
      <c r="F65" s="72">
        <f t="shared" si="4"/>
        <v>0</v>
      </c>
      <c r="G65" s="72">
        <f t="shared" si="4"/>
        <v>0</v>
      </c>
      <c r="H65" s="72">
        <f t="shared" si="4"/>
        <v>0</v>
      </c>
      <c r="I65" s="72">
        <f t="shared" si="4"/>
        <v>0</v>
      </c>
      <c r="J65" s="72">
        <f t="shared" si="4"/>
        <v>0</v>
      </c>
      <c r="K65" s="72">
        <f t="shared" ref="K65:N65" si="14">K15-K40</f>
        <v>0</v>
      </c>
      <c r="L65" s="72">
        <f t="shared" si="14"/>
        <v>0</v>
      </c>
      <c r="M65" s="72">
        <f t="shared" si="14"/>
        <v>0</v>
      </c>
      <c r="N65" s="72">
        <f t="shared" si="14"/>
        <v>0</v>
      </c>
    </row>
    <row r="66" spans="2:14" x14ac:dyDescent="0.3">
      <c r="B66" t="s">
        <v>214</v>
      </c>
      <c r="C66" t="s">
        <v>215</v>
      </c>
      <c r="D66" s="72">
        <f t="shared" si="4"/>
        <v>0</v>
      </c>
      <c r="E66" s="72">
        <f t="shared" si="4"/>
        <v>0</v>
      </c>
      <c r="F66" s="72">
        <f t="shared" si="4"/>
        <v>0</v>
      </c>
      <c r="G66" s="72">
        <f t="shared" si="4"/>
        <v>0</v>
      </c>
      <c r="H66" s="72">
        <f t="shared" si="4"/>
        <v>0</v>
      </c>
      <c r="I66" s="72">
        <f t="shared" si="4"/>
        <v>0</v>
      </c>
      <c r="J66" s="72">
        <f t="shared" si="4"/>
        <v>0</v>
      </c>
      <c r="K66" s="72">
        <f t="shared" ref="K66:N66" si="15">K16-K41</f>
        <v>0</v>
      </c>
      <c r="L66" s="72">
        <f t="shared" si="15"/>
        <v>0</v>
      </c>
      <c r="M66" s="72">
        <f t="shared" si="15"/>
        <v>0</v>
      </c>
      <c r="N66" s="72">
        <f t="shared" si="15"/>
        <v>0</v>
      </c>
    </row>
    <row r="67" spans="2:14" x14ac:dyDescent="0.3">
      <c r="B67" t="s">
        <v>216</v>
      </c>
      <c r="C67" t="s">
        <v>217</v>
      </c>
      <c r="D67" s="72">
        <f t="shared" si="4"/>
        <v>0</v>
      </c>
      <c r="E67" s="72">
        <f t="shared" si="4"/>
        <v>0</v>
      </c>
      <c r="F67" s="72">
        <f t="shared" si="4"/>
        <v>0</v>
      </c>
      <c r="G67" s="72">
        <f t="shared" si="4"/>
        <v>0</v>
      </c>
      <c r="H67" s="72">
        <f t="shared" si="4"/>
        <v>0</v>
      </c>
      <c r="I67" s="72">
        <f t="shared" si="4"/>
        <v>0</v>
      </c>
      <c r="J67" s="72">
        <f t="shared" si="4"/>
        <v>0</v>
      </c>
      <c r="K67" s="72">
        <f t="shared" ref="K67:N67" si="16">K17-K42</f>
        <v>0</v>
      </c>
      <c r="L67" s="72">
        <f t="shared" si="16"/>
        <v>0</v>
      </c>
      <c r="M67" s="72">
        <f t="shared" si="16"/>
        <v>0</v>
      </c>
      <c r="N67" s="72">
        <f t="shared" si="16"/>
        <v>0</v>
      </c>
    </row>
    <row r="68" spans="2:14" x14ac:dyDescent="0.3">
      <c r="B68" t="s">
        <v>891</v>
      </c>
      <c r="C68" t="s">
        <v>219</v>
      </c>
      <c r="D68" s="72">
        <f t="shared" si="4"/>
        <v>0</v>
      </c>
      <c r="E68" s="72">
        <f t="shared" si="4"/>
        <v>0</v>
      </c>
      <c r="F68" s="72">
        <f t="shared" si="4"/>
        <v>0</v>
      </c>
      <c r="G68" s="72">
        <f t="shared" si="4"/>
        <v>0</v>
      </c>
      <c r="H68" s="72">
        <f t="shared" si="4"/>
        <v>0</v>
      </c>
      <c r="I68" s="72">
        <f t="shared" si="4"/>
        <v>0</v>
      </c>
      <c r="J68" s="72">
        <f t="shared" si="4"/>
        <v>0</v>
      </c>
      <c r="K68" s="72">
        <f t="shared" ref="K68:N68" si="17">K18-K43</f>
        <v>0</v>
      </c>
      <c r="L68" s="72">
        <f t="shared" si="17"/>
        <v>0</v>
      </c>
      <c r="M68" s="72">
        <f t="shared" si="17"/>
        <v>0</v>
      </c>
      <c r="N68" s="72">
        <f t="shared" si="17"/>
        <v>0</v>
      </c>
    </row>
    <row r="69" spans="2:14" x14ac:dyDescent="0.3">
      <c r="B69" t="s">
        <v>220</v>
      </c>
      <c r="C69" t="s">
        <v>221</v>
      </c>
      <c r="D69" s="72">
        <f t="shared" si="4"/>
        <v>3.6000000000003638</v>
      </c>
      <c r="E69" s="72">
        <f t="shared" si="4"/>
        <v>3.9763750000001892</v>
      </c>
      <c r="F69" s="72">
        <f t="shared" si="4"/>
        <v>3.8542472500000713</v>
      </c>
      <c r="G69" s="72">
        <f t="shared" si="4"/>
        <v>3.8542472500000713</v>
      </c>
      <c r="H69" s="72">
        <f t="shared" si="4"/>
        <v>3.8542472500000713</v>
      </c>
      <c r="I69" s="72">
        <f t="shared" si="4"/>
        <v>3.8542472500000713</v>
      </c>
      <c r="J69" s="72">
        <f t="shared" si="4"/>
        <v>3.8705372500000976</v>
      </c>
      <c r="K69" s="72">
        <f t="shared" ref="K69:N69" si="18">K19-K44</f>
        <v>3.8705372500000976</v>
      </c>
      <c r="L69" s="72">
        <f t="shared" si="18"/>
        <v>3.8705372500000976</v>
      </c>
      <c r="M69" s="72">
        <f t="shared" si="18"/>
        <v>3.8705372500000976</v>
      </c>
      <c r="N69" s="72">
        <f t="shared" si="18"/>
        <v>3.881397250000191</v>
      </c>
    </row>
    <row r="70" spans="2:14" x14ac:dyDescent="0.3">
      <c r="B70" t="s">
        <v>222</v>
      </c>
      <c r="C70" t="s">
        <v>223</v>
      </c>
      <c r="D70" s="72">
        <f t="shared" si="4"/>
        <v>21.899999999999977</v>
      </c>
      <c r="E70" s="72">
        <f t="shared" si="4"/>
        <v>0.23960575090998759</v>
      </c>
      <c r="F70" s="72">
        <f t="shared" si="4"/>
        <v>0.24332134410451545</v>
      </c>
      <c r="G70" s="72">
        <f t="shared" si="4"/>
        <v>0.24709455541852776</v>
      </c>
      <c r="H70" s="72">
        <f t="shared" si="4"/>
        <v>0.25092627834266068</v>
      </c>
      <c r="I70" s="72">
        <f t="shared" si="4"/>
        <v>0.25481742022299159</v>
      </c>
      <c r="J70" s="72">
        <f t="shared" si="4"/>
        <v>0.25876890247596407</v>
      </c>
      <c r="K70" s="72">
        <f t="shared" ref="K70:N70" si="19">K20-K45</f>
        <v>0.26278166080643928</v>
      </c>
      <c r="L70" s="72">
        <f t="shared" si="19"/>
        <v>0.26685664542941367</v>
      </c>
      <c r="M70" s="72">
        <f t="shared" si="19"/>
        <v>0.27099482129497687</v>
      </c>
      <c r="N70" s="72">
        <f t="shared" si="19"/>
        <v>0.27519716831682217</v>
      </c>
    </row>
    <row r="71" spans="2:14" x14ac:dyDescent="0.3">
      <c r="B71" t="s">
        <v>224</v>
      </c>
      <c r="C71" t="s">
        <v>225</v>
      </c>
      <c r="D71" s="72">
        <f t="shared" si="4"/>
        <v>-16.099999999999454</v>
      </c>
      <c r="E71" s="72">
        <f t="shared" si="4"/>
        <v>23.845420023078077</v>
      </c>
      <c r="F71" s="72">
        <f t="shared" si="4"/>
        <v>-16.210767303059583</v>
      </c>
      <c r="G71" s="72">
        <f t="shared" si="4"/>
        <v>-16.26858264159182</v>
      </c>
      <c r="H71" s="72">
        <f t="shared" si="4"/>
        <v>-16.328046975829238</v>
      </c>
      <c r="I71" s="72">
        <f t="shared" si="4"/>
        <v>-16.350667659231476</v>
      </c>
      <c r="J71" s="72">
        <f t="shared" si="4"/>
        <v>-16.373904882135321</v>
      </c>
      <c r="K71" s="72">
        <f t="shared" ref="K71:N71" si="20">K21-K46</f>
        <v>-16.397762345996853</v>
      </c>
      <c r="L71" s="72">
        <f t="shared" si="20"/>
        <v>-16.422243789068489</v>
      </c>
      <c r="M71" s="72">
        <f t="shared" si="20"/>
        <v>-16.471039924961588</v>
      </c>
      <c r="N71" s="72">
        <f t="shared" si="20"/>
        <v>-16.520176935058771</v>
      </c>
    </row>
    <row r="72" spans="2:14" x14ac:dyDescent="0.3">
      <c r="B72" t="s">
        <v>226</v>
      </c>
      <c r="C72" t="s">
        <v>227</v>
      </c>
      <c r="D72" s="72">
        <f t="shared" si="4"/>
        <v>31.400000000000091</v>
      </c>
      <c r="E72" s="72">
        <f t="shared" si="4"/>
        <v>31.805351037637138</v>
      </c>
      <c r="F72" s="72">
        <f t="shared" si="4"/>
        <v>32.210383209198881</v>
      </c>
      <c r="G72" s="72">
        <f t="shared" si="4"/>
        <v>32.618297824396905</v>
      </c>
      <c r="H72" s="72">
        <f t="shared" si="4"/>
        <v>33.019675925524098</v>
      </c>
      <c r="I72" s="72">
        <f t="shared" si="4"/>
        <v>33.385577286594526</v>
      </c>
      <c r="J72" s="72">
        <f t="shared" si="4"/>
        <v>33.74881736497764</v>
      </c>
      <c r="K72" s="72">
        <f t="shared" ref="K72:N72" si="21">K22-K47</f>
        <v>34.082930731181932</v>
      </c>
      <c r="L72" s="72">
        <f t="shared" si="21"/>
        <v>34.426340507636723</v>
      </c>
      <c r="M72" s="72">
        <f t="shared" si="21"/>
        <v>34.773939601608618</v>
      </c>
      <c r="N72" s="72">
        <f t="shared" si="21"/>
        <v>35.108340526149277</v>
      </c>
    </row>
    <row r="73" spans="2:14" x14ac:dyDescent="0.3">
      <c r="B73" t="s">
        <v>228</v>
      </c>
      <c r="C73" t="s">
        <v>229</v>
      </c>
      <c r="D73" s="72">
        <f t="shared" si="4"/>
        <v>-14.901954130082288</v>
      </c>
      <c r="E73" s="72">
        <f t="shared" si="4"/>
        <v>-15.448636229473834</v>
      </c>
      <c r="F73" s="72">
        <f t="shared" si="4"/>
        <v>-16.015373505199079</v>
      </c>
      <c r="G73" s="72">
        <f t="shared" si="4"/>
        <v>-16.602901686666712</v>
      </c>
      <c r="H73" s="72">
        <f t="shared" si="4"/>
        <v>-17.211983493712069</v>
      </c>
      <c r="I73" s="72">
        <f t="shared" si="4"/>
        <v>-17.41612183947791</v>
      </c>
      <c r="J73" s="72">
        <f t="shared" si="4"/>
        <v>-17.622681316092951</v>
      </c>
      <c r="K73" s="72">
        <f t="shared" ref="K73:N73" si="22">K23-K48</f>
        <v>-17.831690638762836</v>
      </c>
      <c r="L73" s="72">
        <f t="shared" si="22"/>
        <v>-18.043178863262654</v>
      </c>
      <c r="M73" s="72">
        <f t="shared" si="22"/>
        <v>-18.09145948896645</v>
      </c>
      <c r="N73" s="72">
        <f t="shared" si="22"/>
        <v>-17.902039763473965</v>
      </c>
    </row>
    <row r="74" spans="2:14" x14ac:dyDescent="0.3">
      <c r="B74" t="s">
        <v>230</v>
      </c>
      <c r="C74" t="s">
        <v>231</v>
      </c>
      <c r="D74" s="72">
        <f t="shared" ref="D74:N74" si="23">D24-D49</f>
        <v>-10.400355342533686</v>
      </c>
      <c r="E74" s="72">
        <f t="shared" si="23"/>
        <v>-10.476187317324289</v>
      </c>
      <c r="F74" s="72">
        <f t="shared" si="23"/>
        <v>-10.45722932362662</v>
      </c>
      <c r="G74" s="72">
        <f t="shared" si="23"/>
        <v>-10.400776631282497</v>
      </c>
      <c r="H74" s="72">
        <f t="shared" si="23"/>
        <v>-10.337583318956973</v>
      </c>
      <c r="I74" s="72">
        <f t="shared" si="23"/>
        <v>-10.282394492859368</v>
      </c>
      <c r="J74" s="72">
        <f t="shared" si="23"/>
        <v>-10.234788864240826</v>
      </c>
      <c r="K74" s="72">
        <f t="shared" si="23"/>
        <v>-10.222571490524558</v>
      </c>
      <c r="L74" s="72">
        <f t="shared" si="23"/>
        <v>-10.186761946873418</v>
      </c>
      <c r="M74" s="72">
        <f t="shared" si="23"/>
        <v>-10.242793350468702</v>
      </c>
      <c r="N74" s="72">
        <f t="shared" si="23"/>
        <v>-10.27986676036636</v>
      </c>
    </row>
    <row r="75" spans="2:14" x14ac:dyDescent="0.3">
      <c r="B75" s="36" t="s">
        <v>1486</v>
      </c>
      <c r="C75" s="36" t="s">
        <v>1485</v>
      </c>
      <c r="D75" s="72">
        <f t="shared" ref="D75:N75" si="24">D25-D50</f>
        <v>0</v>
      </c>
      <c r="E75" s="72">
        <f t="shared" si="24"/>
        <v>0</v>
      </c>
      <c r="F75" s="72">
        <f t="shared" si="24"/>
        <v>-20.354099999999999</v>
      </c>
      <c r="G75" s="72">
        <f t="shared" si="24"/>
        <v>-20.595119999999998</v>
      </c>
      <c r="H75" s="72">
        <f t="shared" si="24"/>
        <v>0</v>
      </c>
      <c r="I75" s="72">
        <f t="shared" si="24"/>
        <v>0</v>
      </c>
      <c r="J75" s="72">
        <f t="shared" si="24"/>
        <v>0</v>
      </c>
      <c r="K75" s="72">
        <f t="shared" si="24"/>
        <v>0</v>
      </c>
      <c r="L75" s="72">
        <f t="shared" si="24"/>
        <v>0</v>
      </c>
      <c r="M75" s="72">
        <f t="shared" si="24"/>
        <v>0</v>
      </c>
      <c r="N75" s="72">
        <f t="shared" si="24"/>
        <v>0</v>
      </c>
    </row>
    <row r="77" spans="2:14" x14ac:dyDescent="0.3">
      <c r="B77" s="1082" t="s">
        <v>233</v>
      </c>
      <c r="C77" s="1082"/>
      <c r="D77" s="1082"/>
      <c r="E77" s="1082"/>
      <c r="F77" s="1082"/>
      <c r="G77" s="1082"/>
      <c r="H77" s="1082"/>
      <c r="I77" s="1082"/>
      <c r="J77" s="1082"/>
      <c r="K77" s="1082"/>
      <c r="L77" s="1082"/>
      <c r="M77" s="1082"/>
      <c r="N77" s="1082"/>
    </row>
    <row r="78" spans="2:14" x14ac:dyDescent="0.3">
      <c r="B78" t="s">
        <v>178</v>
      </c>
      <c r="C78" t="s">
        <v>179</v>
      </c>
      <c r="D78" t="s">
        <v>184</v>
      </c>
      <c r="E78" t="s">
        <v>185</v>
      </c>
      <c r="F78" t="s">
        <v>186</v>
      </c>
      <c r="G78" t="s">
        <v>187</v>
      </c>
      <c r="H78" t="s">
        <v>188</v>
      </c>
      <c r="I78" t="s">
        <v>189</v>
      </c>
      <c r="J78" t="s">
        <v>190</v>
      </c>
      <c r="K78" t="s">
        <v>191</v>
      </c>
      <c r="L78" t="s">
        <v>175</v>
      </c>
      <c r="M78" t="s">
        <v>176</v>
      </c>
      <c r="N78" t="s">
        <v>177</v>
      </c>
    </row>
    <row r="79" spans="2:14" x14ac:dyDescent="0.3">
      <c r="B79" t="s">
        <v>192</v>
      </c>
      <c r="C79" t="s">
        <v>193</v>
      </c>
      <c r="D79" s="73">
        <f t="shared" ref="D79:J79" si="25">(D4/D29-1)</f>
        <v>0</v>
      </c>
      <c r="E79" s="73">
        <f t="shared" si="25"/>
        <v>0</v>
      </c>
      <c r="F79" s="73">
        <f t="shared" si="25"/>
        <v>0</v>
      </c>
      <c r="G79" s="73">
        <f t="shared" si="25"/>
        <v>0</v>
      </c>
      <c r="H79" s="73">
        <f t="shared" si="25"/>
        <v>0</v>
      </c>
      <c r="I79" s="73">
        <f t="shared" si="25"/>
        <v>0</v>
      </c>
      <c r="J79" s="73">
        <f t="shared" si="25"/>
        <v>0</v>
      </c>
      <c r="K79" s="73">
        <f t="shared" ref="K79:N79" si="26">(K4/K29-1)</f>
        <v>0</v>
      </c>
      <c r="L79" s="73">
        <f t="shared" si="26"/>
        <v>0</v>
      </c>
      <c r="M79" s="73">
        <f t="shared" si="26"/>
        <v>0</v>
      </c>
      <c r="N79" s="73">
        <f t="shared" si="26"/>
        <v>0</v>
      </c>
    </row>
    <row r="80" spans="2:14" x14ac:dyDescent="0.3">
      <c r="B80" t="s">
        <v>134</v>
      </c>
      <c r="C80" t="s">
        <v>194</v>
      </c>
      <c r="D80" s="73">
        <f t="shared" ref="D80:J98" si="27">(D5/D30-1)</f>
        <v>0</v>
      </c>
      <c r="E80" s="73">
        <f t="shared" si="27"/>
        <v>0</v>
      </c>
      <c r="F80" s="73">
        <f t="shared" si="27"/>
        <v>0</v>
      </c>
      <c r="G80" s="73">
        <f t="shared" si="27"/>
        <v>0</v>
      </c>
      <c r="H80" s="73">
        <f t="shared" si="27"/>
        <v>0</v>
      </c>
      <c r="I80" s="73">
        <f t="shared" si="27"/>
        <v>0</v>
      </c>
      <c r="J80" s="73">
        <f t="shared" si="27"/>
        <v>0</v>
      </c>
      <c r="K80" s="73">
        <f t="shared" ref="K80:N80" si="28">(K5/K30-1)</f>
        <v>0</v>
      </c>
      <c r="L80" s="73">
        <f t="shared" si="28"/>
        <v>0</v>
      </c>
      <c r="M80" s="73">
        <f t="shared" si="28"/>
        <v>0</v>
      </c>
      <c r="N80" s="73">
        <f t="shared" si="28"/>
        <v>0</v>
      </c>
    </row>
    <row r="81" spans="2:14" x14ac:dyDescent="0.3">
      <c r="B81" t="s">
        <v>195</v>
      </c>
      <c r="C81" t="s">
        <v>196</v>
      </c>
      <c r="D81" s="73">
        <f t="shared" si="27"/>
        <v>6.0357315306625026E-5</v>
      </c>
      <c r="E81" s="73">
        <f t="shared" si="27"/>
        <v>6.0193787505768981E-5</v>
      </c>
      <c r="F81" s="73">
        <f t="shared" si="27"/>
        <v>6.0195389540274036E-5</v>
      </c>
      <c r="G81" s="73">
        <f t="shared" si="27"/>
        <v>6.0196844452464759E-5</v>
      </c>
      <c r="H81" s="73">
        <f t="shared" si="27"/>
        <v>6.0198140268141742E-5</v>
      </c>
      <c r="I81" s="73">
        <f t="shared" si="27"/>
        <v>6.0162368550109591E-5</v>
      </c>
      <c r="J81" s="73">
        <f t="shared" si="27"/>
        <v>6.0163940754476286E-5</v>
      </c>
      <c r="K81" s="73">
        <f t="shared" ref="K81:N81" si="29">(K6/K31-1)</f>
        <v>6.016542056741514E-5</v>
      </c>
      <c r="L81" s="73">
        <f t="shared" si="29"/>
        <v>6.0166888943058439E-5</v>
      </c>
      <c r="M81" s="73">
        <f t="shared" si="29"/>
        <v>6.0082728091437332E-5</v>
      </c>
      <c r="N81" s="73">
        <f t="shared" si="29"/>
        <v>6.0084436796392637E-5</v>
      </c>
    </row>
    <row r="82" spans="2:14" x14ac:dyDescent="0.3">
      <c r="B82" t="s">
        <v>197</v>
      </c>
      <c r="C82" t="s">
        <v>198</v>
      </c>
      <c r="D82" s="73">
        <f t="shared" si="27"/>
        <v>4.3658822276646525E-3</v>
      </c>
      <c r="E82" s="73">
        <f t="shared" si="27"/>
        <v>4.3658822276646525E-3</v>
      </c>
      <c r="F82" s="73">
        <f t="shared" si="27"/>
        <v>4.3658822276646525E-3</v>
      </c>
      <c r="G82" s="73">
        <f t="shared" si="27"/>
        <v>4.3658822276646525E-3</v>
      </c>
      <c r="H82" s="73">
        <f t="shared" si="27"/>
        <v>4.3658822276646525E-3</v>
      </c>
      <c r="I82" s="73">
        <f t="shared" si="27"/>
        <v>4.3658822276644305E-3</v>
      </c>
      <c r="J82" s="73">
        <f t="shared" si="27"/>
        <v>4.3658822276644305E-3</v>
      </c>
      <c r="K82" s="73">
        <f t="shared" ref="K82:N82" si="30">(K7/K32-1)</f>
        <v>4.3658822276646525E-3</v>
      </c>
      <c r="L82" s="73">
        <f t="shared" si="30"/>
        <v>4.3658822276646525E-3</v>
      </c>
      <c r="M82" s="73">
        <f t="shared" si="30"/>
        <v>4.3658822276646525E-3</v>
      </c>
      <c r="N82" s="73">
        <f t="shared" si="30"/>
        <v>0</v>
      </c>
    </row>
    <row r="83" spans="2:14" x14ac:dyDescent="0.3">
      <c r="B83" t="s">
        <v>199</v>
      </c>
      <c r="C83" t="s">
        <v>200</v>
      </c>
      <c r="D83" s="73">
        <f t="shared" si="27"/>
        <v>0</v>
      </c>
      <c r="E83" s="73">
        <f t="shared" si="27"/>
        <v>0</v>
      </c>
      <c r="F83" s="73">
        <f t="shared" si="27"/>
        <v>0</v>
      </c>
      <c r="G83" s="73">
        <f t="shared" si="27"/>
        <v>0</v>
      </c>
      <c r="H83" s="73">
        <f t="shared" si="27"/>
        <v>0</v>
      </c>
      <c r="I83" s="73">
        <f t="shared" si="27"/>
        <v>0</v>
      </c>
      <c r="J83" s="73">
        <f t="shared" si="27"/>
        <v>0</v>
      </c>
      <c r="K83" s="73">
        <f t="shared" ref="K83:N83" si="31">(K8/K33-1)</f>
        <v>0</v>
      </c>
      <c r="L83" s="73">
        <f t="shared" si="31"/>
        <v>0</v>
      </c>
      <c r="M83" s="73">
        <f t="shared" si="31"/>
        <v>0</v>
      </c>
      <c r="N83" s="73">
        <f t="shared" si="31"/>
        <v>0</v>
      </c>
    </row>
    <row r="84" spans="2:14" x14ac:dyDescent="0.3">
      <c r="B84" t="s">
        <v>201</v>
      </c>
      <c r="C84" t="s">
        <v>202</v>
      </c>
      <c r="D84" s="73">
        <f t="shared" si="27"/>
        <v>0</v>
      </c>
      <c r="E84" s="73">
        <f t="shared" si="27"/>
        <v>0</v>
      </c>
      <c r="F84" s="73">
        <f t="shared" si="27"/>
        <v>0</v>
      </c>
      <c r="G84" s="73">
        <f t="shared" si="27"/>
        <v>0</v>
      </c>
      <c r="H84" s="73">
        <f t="shared" si="27"/>
        <v>0</v>
      </c>
      <c r="I84" s="73">
        <f t="shared" si="27"/>
        <v>0</v>
      </c>
      <c r="J84" s="73">
        <f t="shared" si="27"/>
        <v>0</v>
      </c>
      <c r="K84" s="73">
        <f t="shared" ref="K84:N84" si="32">(K9/K34-1)</f>
        <v>0</v>
      </c>
      <c r="L84" s="73">
        <f t="shared" si="32"/>
        <v>0</v>
      </c>
      <c r="M84" s="73">
        <f t="shared" si="32"/>
        <v>0</v>
      </c>
      <c r="N84" s="73">
        <f t="shared" si="32"/>
        <v>0</v>
      </c>
    </row>
    <row r="85" spans="2:14" x14ac:dyDescent="0.3">
      <c r="B85" t="s">
        <v>203</v>
      </c>
      <c r="C85" t="s">
        <v>204</v>
      </c>
      <c r="D85" s="73">
        <f t="shared" si="27"/>
        <v>0</v>
      </c>
      <c r="E85" s="73" t="e">
        <f t="shared" si="27"/>
        <v>#DIV/0!</v>
      </c>
      <c r="F85" s="73" t="e">
        <f t="shared" si="27"/>
        <v>#DIV/0!</v>
      </c>
      <c r="G85" s="73" t="e">
        <f t="shared" si="27"/>
        <v>#DIV/0!</v>
      </c>
      <c r="H85" s="73" t="e">
        <f t="shared" si="27"/>
        <v>#DIV/0!</v>
      </c>
      <c r="I85" s="73" t="e">
        <f t="shared" si="27"/>
        <v>#DIV/0!</v>
      </c>
      <c r="J85" s="73" t="e">
        <f t="shared" si="27"/>
        <v>#DIV/0!</v>
      </c>
      <c r="K85" s="73" t="e">
        <f t="shared" ref="K85:N85" si="33">(K10/K35-1)</f>
        <v>#DIV/0!</v>
      </c>
      <c r="L85" s="73" t="e">
        <f t="shared" si="33"/>
        <v>#DIV/0!</v>
      </c>
      <c r="M85" s="73" t="e">
        <f t="shared" si="33"/>
        <v>#DIV/0!</v>
      </c>
      <c r="N85" s="73" t="e">
        <f t="shared" si="33"/>
        <v>#DIV/0!</v>
      </c>
    </row>
    <row r="86" spans="2:14" x14ac:dyDescent="0.3">
      <c r="B86" t="s">
        <v>205</v>
      </c>
      <c r="C86" t="s">
        <v>206</v>
      </c>
      <c r="D86" s="73">
        <f t="shared" si="27"/>
        <v>-5.5248618784531356E-3</v>
      </c>
      <c r="E86" s="73">
        <f t="shared" si="27"/>
        <v>-5.5248618784528025E-3</v>
      </c>
      <c r="F86" s="73">
        <f t="shared" si="27"/>
        <v>-5.5248618784526915E-3</v>
      </c>
      <c r="G86" s="73">
        <f t="shared" si="27"/>
        <v>-5.5248618784526915E-3</v>
      </c>
      <c r="H86" s="73">
        <f t="shared" si="27"/>
        <v>-5.5248618784526915E-3</v>
      </c>
      <c r="I86" s="73">
        <f t="shared" si="27"/>
        <v>-5.5248618784524695E-3</v>
      </c>
      <c r="J86" s="73">
        <f t="shared" si="27"/>
        <v>-5.5248618784524695E-3</v>
      </c>
      <c r="K86" s="73">
        <f t="shared" ref="K86:N86" si="34">(K11/K36-1)</f>
        <v>-5.5248618784524695E-3</v>
      </c>
      <c r="L86" s="73">
        <f t="shared" si="34"/>
        <v>-5.5248618784523584E-3</v>
      </c>
      <c r="M86" s="73">
        <f t="shared" si="34"/>
        <v>-5.5248618784523584E-3</v>
      </c>
      <c r="N86" s="73">
        <f t="shared" si="34"/>
        <v>-5.5248618784523584E-3</v>
      </c>
    </row>
    <row r="87" spans="2:14" x14ac:dyDescent="0.3">
      <c r="B87" t="s">
        <v>207</v>
      </c>
      <c r="C87" t="s">
        <v>208</v>
      </c>
      <c r="D87" s="73">
        <f t="shared" si="27"/>
        <v>0</v>
      </c>
      <c r="E87" s="73">
        <f t="shared" si="27"/>
        <v>-1.7667769108687059E-2</v>
      </c>
      <c r="F87" s="73">
        <f t="shared" si="27"/>
        <v>-2.7747229524820893E-2</v>
      </c>
      <c r="G87" s="73">
        <f t="shared" si="27"/>
        <v>-3.7723267169019414E-2</v>
      </c>
      <c r="H87" s="73">
        <f t="shared" si="27"/>
        <v>-4.6798194280841754E-2</v>
      </c>
      <c r="I87" s="73">
        <f t="shared" si="27"/>
        <v>-4.6943538961693676E-2</v>
      </c>
      <c r="J87" s="73">
        <f t="shared" si="27"/>
        <v>-4.7098168474770441E-2</v>
      </c>
      <c r="K87" s="73">
        <f t="shared" ref="K87:N87" si="35">(K12/K37-1)</f>
        <v>-4.72527728998412E-2</v>
      </c>
      <c r="L87" s="73">
        <f t="shared" si="35"/>
        <v>-4.7407352240976364E-2</v>
      </c>
      <c r="M87" s="73">
        <f t="shared" si="35"/>
        <v>-4.7478001971378747E-2</v>
      </c>
      <c r="N87" s="73">
        <f t="shared" si="35"/>
        <v>-4.7632544770017993E-2</v>
      </c>
    </row>
    <row r="88" spans="2:14" x14ac:dyDescent="0.3">
      <c r="B88" t="s">
        <v>209</v>
      </c>
      <c r="C88" t="s">
        <v>210</v>
      </c>
      <c r="D88" s="73">
        <f t="shared" si="27"/>
        <v>-1.1758819114335739E-2</v>
      </c>
      <c r="E88" s="73">
        <f t="shared" si="27"/>
        <v>-2.927068265521382E-2</v>
      </c>
      <c r="F88" s="73">
        <f t="shared" si="27"/>
        <v>-3.9231088535492953E-2</v>
      </c>
      <c r="G88" s="73">
        <f t="shared" si="27"/>
        <v>-4.9089293232056463E-2</v>
      </c>
      <c r="H88" s="73">
        <f t="shared" si="27"/>
        <v>-5.8846345405177858E-2</v>
      </c>
      <c r="I88" s="73">
        <f t="shared" si="27"/>
        <v>-5.8999043736588375E-2</v>
      </c>
      <c r="J88" s="73">
        <f t="shared" si="27"/>
        <v>-5.9151717293319139E-2</v>
      </c>
      <c r="K88" s="73">
        <f t="shared" ref="K88:N88" si="36">(K13/K38-1)</f>
        <v>-5.9304366079389603E-2</v>
      </c>
      <c r="L88" s="73">
        <f t="shared" si="36"/>
        <v>-5.9456990098818774E-2</v>
      </c>
      <c r="M88" s="73">
        <f t="shared" si="36"/>
        <v>-5.9609589355624992E-2</v>
      </c>
      <c r="N88" s="73">
        <f t="shared" si="36"/>
        <v>-5.9762163853825934E-2</v>
      </c>
    </row>
    <row r="89" spans="2:14" x14ac:dyDescent="0.3">
      <c r="B89" t="s">
        <v>55</v>
      </c>
      <c r="C89" t="s">
        <v>211</v>
      </c>
      <c r="D89" s="73">
        <f t="shared" si="27"/>
        <v>0</v>
      </c>
      <c r="E89" s="73">
        <f t="shared" si="27"/>
        <v>0</v>
      </c>
      <c r="F89" s="73">
        <f t="shared" si="27"/>
        <v>0</v>
      </c>
      <c r="G89" s="73">
        <f t="shared" si="27"/>
        <v>0</v>
      </c>
      <c r="H89" s="73">
        <f t="shared" si="27"/>
        <v>0</v>
      </c>
      <c r="I89" s="73">
        <f t="shared" si="27"/>
        <v>0</v>
      </c>
      <c r="J89" s="73">
        <f t="shared" si="27"/>
        <v>0</v>
      </c>
      <c r="K89" s="73">
        <f t="shared" ref="K89:N89" si="37">(K14/K39-1)</f>
        <v>0</v>
      </c>
      <c r="L89" s="73">
        <f t="shared" si="37"/>
        <v>0</v>
      </c>
      <c r="M89" s="73">
        <f t="shared" si="37"/>
        <v>0</v>
      </c>
      <c r="N89" s="73">
        <f t="shared" si="37"/>
        <v>0</v>
      </c>
    </row>
    <row r="90" spans="2:14" x14ac:dyDescent="0.3">
      <c r="B90" t="s">
        <v>212</v>
      </c>
      <c r="C90" t="s">
        <v>213</v>
      </c>
      <c r="D90" s="73" t="e">
        <f t="shared" si="27"/>
        <v>#DIV/0!</v>
      </c>
      <c r="E90" s="73" t="e">
        <f t="shared" si="27"/>
        <v>#DIV/0!</v>
      </c>
      <c r="F90" s="73" t="e">
        <f t="shared" si="27"/>
        <v>#DIV/0!</v>
      </c>
      <c r="G90" s="73" t="e">
        <f t="shared" si="27"/>
        <v>#DIV/0!</v>
      </c>
      <c r="H90" s="73" t="e">
        <f t="shared" si="27"/>
        <v>#DIV/0!</v>
      </c>
      <c r="I90" s="73" t="e">
        <f t="shared" si="27"/>
        <v>#DIV/0!</v>
      </c>
      <c r="J90" s="73" t="e">
        <f t="shared" si="27"/>
        <v>#DIV/0!</v>
      </c>
      <c r="K90" s="73" t="e">
        <f t="shared" ref="K90:N90" si="38">(K15/K40-1)</f>
        <v>#DIV/0!</v>
      </c>
      <c r="L90" s="73" t="e">
        <f t="shared" si="38"/>
        <v>#DIV/0!</v>
      </c>
      <c r="M90" s="73" t="e">
        <f t="shared" si="38"/>
        <v>#DIV/0!</v>
      </c>
      <c r="N90" s="73" t="e">
        <f t="shared" si="38"/>
        <v>#DIV/0!</v>
      </c>
    </row>
    <row r="91" spans="2:14" x14ac:dyDescent="0.3">
      <c r="B91" t="s">
        <v>214</v>
      </c>
      <c r="C91" t="s">
        <v>215</v>
      </c>
      <c r="D91" s="73" t="e">
        <f t="shared" si="27"/>
        <v>#DIV/0!</v>
      </c>
      <c r="E91" s="73" t="e">
        <f t="shared" si="27"/>
        <v>#DIV/0!</v>
      </c>
      <c r="F91" s="73" t="e">
        <f t="shared" si="27"/>
        <v>#DIV/0!</v>
      </c>
      <c r="G91" s="73" t="e">
        <f t="shared" si="27"/>
        <v>#DIV/0!</v>
      </c>
      <c r="H91" s="73" t="e">
        <f t="shared" si="27"/>
        <v>#DIV/0!</v>
      </c>
      <c r="I91" s="73" t="e">
        <f t="shared" si="27"/>
        <v>#DIV/0!</v>
      </c>
      <c r="J91" s="73" t="e">
        <f t="shared" si="27"/>
        <v>#DIV/0!</v>
      </c>
      <c r="K91" s="73" t="e">
        <f t="shared" ref="K91:N91" si="39">(K16/K41-1)</f>
        <v>#DIV/0!</v>
      </c>
      <c r="L91" s="73" t="e">
        <f t="shared" si="39"/>
        <v>#DIV/0!</v>
      </c>
      <c r="M91" s="73" t="e">
        <f t="shared" si="39"/>
        <v>#DIV/0!</v>
      </c>
      <c r="N91" s="73" t="e">
        <f t="shared" si="39"/>
        <v>#DIV/0!</v>
      </c>
    </row>
    <row r="92" spans="2:14" x14ac:dyDescent="0.3">
      <c r="B92" t="s">
        <v>216</v>
      </c>
      <c r="C92" t="s">
        <v>217</v>
      </c>
      <c r="D92" s="73">
        <f t="shared" si="27"/>
        <v>0</v>
      </c>
      <c r="E92" s="73">
        <f t="shared" si="27"/>
        <v>0</v>
      </c>
      <c r="F92" s="73">
        <f t="shared" si="27"/>
        <v>0</v>
      </c>
      <c r="G92" s="73">
        <f t="shared" si="27"/>
        <v>0</v>
      </c>
      <c r="H92" s="73">
        <f t="shared" si="27"/>
        <v>0</v>
      </c>
      <c r="I92" s="73">
        <f t="shared" si="27"/>
        <v>0</v>
      </c>
      <c r="J92" s="73">
        <f t="shared" si="27"/>
        <v>0</v>
      </c>
      <c r="K92" s="73">
        <f t="shared" ref="K92:N92" si="40">(K17/K42-1)</f>
        <v>0</v>
      </c>
      <c r="L92" s="73">
        <f t="shared" si="40"/>
        <v>0</v>
      </c>
      <c r="M92" s="73">
        <f t="shared" si="40"/>
        <v>0</v>
      </c>
      <c r="N92" s="73">
        <f t="shared" si="40"/>
        <v>0</v>
      </c>
    </row>
    <row r="93" spans="2:14" x14ac:dyDescent="0.3">
      <c r="B93" t="s">
        <v>218</v>
      </c>
      <c r="C93" t="s">
        <v>219</v>
      </c>
      <c r="D93" s="73">
        <f t="shared" si="27"/>
        <v>0</v>
      </c>
      <c r="E93" s="73">
        <f t="shared" si="27"/>
        <v>0</v>
      </c>
      <c r="F93" s="73">
        <f t="shared" si="27"/>
        <v>0</v>
      </c>
      <c r="G93" s="73">
        <f t="shared" si="27"/>
        <v>0</v>
      </c>
      <c r="H93" s="73">
        <f t="shared" si="27"/>
        <v>0</v>
      </c>
      <c r="I93" s="73">
        <f t="shared" si="27"/>
        <v>0</v>
      </c>
      <c r="J93" s="73">
        <f t="shared" si="27"/>
        <v>0</v>
      </c>
      <c r="K93" s="73">
        <f t="shared" ref="K93:N93" si="41">(K18/K43-1)</f>
        <v>0</v>
      </c>
      <c r="L93" s="73">
        <f t="shared" si="41"/>
        <v>0</v>
      </c>
      <c r="M93" s="73">
        <f t="shared" si="41"/>
        <v>0</v>
      </c>
      <c r="N93" s="73">
        <f t="shared" si="41"/>
        <v>0</v>
      </c>
    </row>
    <row r="94" spans="2:14" x14ac:dyDescent="0.3">
      <c r="B94" t="s">
        <v>220</v>
      </c>
      <c r="C94" t="s">
        <v>221</v>
      </c>
      <c r="D94" s="73">
        <f t="shared" si="27"/>
        <v>1.9831410971840047E-3</v>
      </c>
      <c r="E94" s="73">
        <f t="shared" si="27"/>
        <v>2.1514339370427571E-3</v>
      </c>
      <c r="F94" s="73">
        <f t="shared" si="27"/>
        <v>2.0298083114014265E-3</v>
      </c>
      <c r="G94" s="73">
        <f t="shared" si="27"/>
        <v>2.0223529201155444E-3</v>
      </c>
      <c r="H94" s="73">
        <f t="shared" si="27"/>
        <v>2.0149520950198951E-3</v>
      </c>
      <c r="I94" s="73">
        <f t="shared" si="27"/>
        <v>2.0125857993249507E-3</v>
      </c>
      <c r="J94" s="73">
        <f t="shared" si="27"/>
        <v>1.9748364104144045E-3</v>
      </c>
      <c r="K94" s="73">
        <f t="shared" ref="K94:N94" si="42">(K19/K44-1)</f>
        <v>1.967808265708415E-3</v>
      </c>
      <c r="L94" s="73">
        <f t="shared" si="42"/>
        <v>1.9608299678175456E-3</v>
      </c>
      <c r="M94" s="73">
        <f t="shared" si="42"/>
        <v>1.9528875398904244E-3</v>
      </c>
      <c r="N94" s="73">
        <f t="shared" si="42"/>
        <v>1.9264111870544998E-3</v>
      </c>
    </row>
    <row r="95" spans="2:14" x14ac:dyDescent="0.3">
      <c r="B95" t="s">
        <v>222</v>
      </c>
      <c r="C95" t="s">
        <v>223</v>
      </c>
      <c r="D95" s="73">
        <f t="shared" si="27"/>
        <v>0.12521440823327601</v>
      </c>
      <c r="E95" s="73">
        <f t="shared" si="27"/>
        <v>1.3490388564219025E-3</v>
      </c>
      <c r="F95" s="73">
        <f t="shared" si="27"/>
        <v>1.3490388564219025E-3</v>
      </c>
      <c r="G95" s="73">
        <f t="shared" si="27"/>
        <v>1.3490388564219025E-3</v>
      </c>
      <c r="H95" s="73">
        <f t="shared" si="27"/>
        <v>1.3490388564219025E-3</v>
      </c>
      <c r="I95" s="73">
        <f t="shared" si="27"/>
        <v>1.3490388564219025E-3</v>
      </c>
      <c r="J95" s="73">
        <f t="shared" si="27"/>
        <v>1.3490388564219025E-3</v>
      </c>
      <c r="K95" s="73">
        <f t="shared" ref="K95:N95" si="43">(K20/K45-1)</f>
        <v>1.3490388564219025E-3</v>
      </c>
      <c r="L95" s="73">
        <f t="shared" si="43"/>
        <v>1.3490388564219025E-3</v>
      </c>
      <c r="M95" s="73">
        <f t="shared" si="43"/>
        <v>1.3490388564216804E-3</v>
      </c>
      <c r="N95" s="73">
        <f t="shared" si="43"/>
        <v>1.3490388564216804E-3</v>
      </c>
    </row>
    <row r="96" spans="2:14" x14ac:dyDescent="0.3">
      <c r="B96" t="s">
        <v>224</v>
      </c>
      <c r="C96" t="s">
        <v>225</v>
      </c>
      <c r="D96" s="73">
        <f t="shared" si="27"/>
        <v>-3.5609227434586499E-3</v>
      </c>
      <c r="E96" s="73">
        <f t="shared" si="27"/>
        <v>5.239578135302958E-3</v>
      </c>
      <c r="F96" s="73">
        <f t="shared" si="27"/>
        <v>-3.5668293183553912E-3</v>
      </c>
      <c r="G96" s="73">
        <f t="shared" si="27"/>
        <v>-3.5667735767987985E-3</v>
      </c>
      <c r="H96" s="73">
        <f t="shared" si="27"/>
        <v>-3.5667377978059189E-3</v>
      </c>
      <c r="I96" s="73">
        <f t="shared" si="27"/>
        <v>-3.5689754123906514E-3</v>
      </c>
      <c r="J96" s="73">
        <f t="shared" si="27"/>
        <v>-3.5687257443588472E-3</v>
      </c>
      <c r="K96" s="73">
        <f t="shared" ref="K96:N96" si="44">(K21/K46-1)</f>
        <v>-3.5684822414238093E-3</v>
      </c>
      <c r="L96" s="73">
        <f t="shared" si="44"/>
        <v>-3.5682449612576272E-3</v>
      </c>
      <c r="M96" s="73">
        <f t="shared" si="44"/>
        <v>-3.5662520612986803E-3</v>
      </c>
      <c r="N96" s="73">
        <f t="shared" si="44"/>
        <v>-3.5679519071110111E-3</v>
      </c>
    </row>
    <row r="97" spans="2:14" x14ac:dyDescent="0.3">
      <c r="B97" t="s">
        <v>226</v>
      </c>
      <c r="C97" t="s">
        <v>227</v>
      </c>
      <c r="D97" s="73">
        <f t="shared" si="27"/>
        <v>1.4226813465633592E-2</v>
      </c>
      <c r="E97" s="73">
        <f t="shared" si="27"/>
        <v>1.4220319915315915E-2</v>
      </c>
      <c r="F97" s="73">
        <f t="shared" si="27"/>
        <v>1.4233199435152999E-2</v>
      </c>
      <c r="G97" s="73">
        <f t="shared" si="27"/>
        <v>1.4249024955208078E-2</v>
      </c>
      <c r="H97" s="73">
        <f t="shared" si="27"/>
        <v>1.4266248840672846E-2</v>
      </c>
      <c r="I97" s="73">
        <f t="shared" si="27"/>
        <v>1.4278663604193609E-2</v>
      </c>
      <c r="J97" s="73">
        <f t="shared" si="27"/>
        <v>1.4292071343782187E-2</v>
      </c>
      <c r="K97" s="73">
        <f t="shared" ref="K97:N97" si="45">(K22/K47-1)</f>
        <v>1.4302795036124749E-2</v>
      </c>
      <c r="L97" s="73">
        <f t="shared" si="45"/>
        <v>1.4318440127699672E-2</v>
      </c>
      <c r="M97" s="73">
        <f t="shared" si="45"/>
        <v>1.4329402899838195E-2</v>
      </c>
      <c r="N97" s="73">
        <f t="shared" si="45"/>
        <v>1.4336906598836352E-2</v>
      </c>
    </row>
    <row r="98" spans="2:14" x14ac:dyDescent="0.3">
      <c r="B98" t="s">
        <v>228</v>
      </c>
      <c r="C98" t="s">
        <v>229</v>
      </c>
      <c r="D98" s="73">
        <f t="shared" si="27"/>
        <v>-4.2637684722460434E-2</v>
      </c>
      <c r="E98" s="73">
        <f t="shared" si="27"/>
        <v>-3.885075905366131E-2</v>
      </c>
      <c r="F98" s="73">
        <f t="shared" si="27"/>
        <v>-3.8973250143396143E-2</v>
      </c>
      <c r="G98" s="73">
        <f t="shared" si="27"/>
        <v>-3.9092140743461679E-2</v>
      </c>
      <c r="H98" s="73">
        <f t="shared" si="27"/>
        <v>-3.9207513500258306E-2</v>
      </c>
      <c r="I98" s="73">
        <f t="shared" si="27"/>
        <v>-3.9181304783660664E-2</v>
      </c>
      <c r="J98" s="73">
        <f t="shared" si="27"/>
        <v>-3.9218569064358388E-2</v>
      </c>
      <c r="K98" s="73">
        <f t="shared" ref="K98:N98" si="46">(K23/K48-1)</f>
        <v>-3.9255466268154238E-2</v>
      </c>
      <c r="L98" s="73">
        <f t="shared" si="46"/>
        <v>-3.9291999265474997E-2</v>
      </c>
      <c r="M98" s="73">
        <f t="shared" si="46"/>
        <v>-4.0620022956534663E-2</v>
      </c>
      <c r="N98" s="73">
        <f t="shared" si="46"/>
        <v>-4.0599694696681343E-2</v>
      </c>
    </row>
    <row r="99" spans="2:14" x14ac:dyDescent="0.3">
      <c r="B99" t="s">
        <v>230</v>
      </c>
      <c r="C99" t="s">
        <v>231</v>
      </c>
      <c r="D99" s="73">
        <f t="shared" ref="D99:N99" si="47">(D24/D49-1)</f>
        <v>-9.2860020941237242E-2</v>
      </c>
      <c r="E99" s="73">
        <f t="shared" si="47"/>
        <v>-9.286002094123702E-2</v>
      </c>
      <c r="F99" s="73">
        <f t="shared" si="47"/>
        <v>-9.2860020941236909E-2</v>
      </c>
      <c r="G99" s="73">
        <f t="shared" si="47"/>
        <v>-9.286002094123702E-2</v>
      </c>
      <c r="H99" s="73">
        <f t="shared" si="47"/>
        <v>-9.2860020941236909E-2</v>
      </c>
      <c r="I99" s="73">
        <f t="shared" si="47"/>
        <v>-9.286002094123702E-2</v>
      </c>
      <c r="J99" s="73">
        <f t="shared" si="47"/>
        <v>-9.2860020941237131E-2</v>
      </c>
      <c r="K99" s="73">
        <f t="shared" si="47"/>
        <v>-9.2860020941237131E-2</v>
      </c>
      <c r="L99" s="73">
        <f t="shared" si="47"/>
        <v>-9.286002094123702E-2</v>
      </c>
      <c r="M99" s="73">
        <f t="shared" si="47"/>
        <v>-9.2860020941236909E-2</v>
      </c>
      <c r="N99" s="73">
        <f t="shared" si="47"/>
        <v>-9.2860020941237131E-2</v>
      </c>
    </row>
    <row r="100" spans="2:14" x14ac:dyDescent="0.3">
      <c r="B100" s="36" t="s">
        <v>1486</v>
      </c>
      <c r="C100" s="36" t="s">
        <v>1485</v>
      </c>
      <c r="D100" s="73" t="e">
        <f t="shared" ref="D100:N100" si="48">(D25/D50-1)</f>
        <v>#DIV/0!</v>
      </c>
      <c r="E100" s="73" t="e">
        <f t="shared" si="48"/>
        <v>#DIV/0!</v>
      </c>
      <c r="F100" s="73">
        <f t="shared" si="48"/>
        <v>-1</v>
      </c>
      <c r="G100" s="73">
        <f t="shared" si="48"/>
        <v>-1</v>
      </c>
      <c r="H100" s="73">
        <f t="shared" si="48"/>
        <v>0</v>
      </c>
      <c r="I100" s="73">
        <f t="shared" si="48"/>
        <v>0</v>
      </c>
      <c r="J100" s="73">
        <f t="shared" si="48"/>
        <v>0</v>
      </c>
      <c r="K100" s="73">
        <f t="shared" si="48"/>
        <v>0</v>
      </c>
      <c r="L100" s="73">
        <f t="shared" si="48"/>
        <v>0</v>
      </c>
      <c r="M100" s="73">
        <f t="shared" si="48"/>
        <v>0</v>
      </c>
      <c r="N100" s="73">
        <f t="shared" si="48"/>
        <v>0</v>
      </c>
    </row>
  </sheetData>
  <mergeCells count="4">
    <mergeCell ref="B2:N2"/>
    <mergeCell ref="B77:N77"/>
    <mergeCell ref="B52:N52"/>
    <mergeCell ref="B27:N27"/>
  </mergeCells>
  <conditionalFormatting sqref="D54:N75 D79:N100">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3"/>
  <sheetViews>
    <sheetView zoomScaleNormal="100" workbookViewId="0">
      <selection activeCell="C21" sqref="C21"/>
    </sheetView>
  </sheetViews>
  <sheetFormatPr defaultColWidth="11.5546875" defaultRowHeight="14.4" x14ac:dyDescent="0.3"/>
  <cols>
    <col min="1" max="1" width="41.21875" customWidth="1"/>
    <col min="2" max="2" width="23.44140625" customWidth="1"/>
    <col min="3" max="9" width="10.44140625" customWidth="1"/>
  </cols>
  <sheetData>
    <row r="1" spans="1:14" x14ac:dyDescent="0.3">
      <c r="A1" s="50" t="s">
        <v>178</v>
      </c>
      <c r="B1" s="50" t="s">
        <v>179</v>
      </c>
      <c r="C1" s="74" t="s">
        <v>184</v>
      </c>
      <c r="D1" s="74" t="s">
        <v>185</v>
      </c>
      <c r="E1" s="74" t="s">
        <v>186</v>
      </c>
      <c r="F1" s="74" t="s">
        <v>187</v>
      </c>
      <c r="G1" s="74" t="s">
        <v>188</v>
      </c>
      <c r="H1" s="74" t="s">
        <v>189</v>
      </c>
      <c r="I1" s="74" t="s">
        <v>190</v>
      </c>
      <c r="J1" s="74" t="s">
        <v>191</v>
      </c>
      <c r="K1" s="74" t="s">
        <v>175</v>
      </c>
      <c r="L1" s="74" t="s">
        <v>176</v>
      </c>
      <c r="M1" s="74" t="s">
        <v>177</v>
      </c>
      <c r="N1" s="50"/>
    </row>
    <row r="2" spans="1:14" x14ac:dyDescent="0.3">
      <c r="A2" t="s">
        <v>192</v>
      </c>
      <c r="B2" t="s">
        <v>193</v>
      </c>
      <c r="C2" s="72">
        <f>Grants!S85</f>
        <v>492.38786800000003</v>
      </c>
      <c r="D2" s="72">
        <f>Grants!T85</f>
        <v>483.36755273237202</v>
      </c>
      <c r="E2" s="72">
        <f>Grants!U85</f>
        <v>468.25943079425093</v>
      </c>
      <c r="F2" s="72">
        <f>Grants!V85</f>
        <v>472.80054303303206</v>
      </c>
      <c r="G2" s="72">
        <f>Grants!W85</f>
        <v>471.87100266666664</v>
      </c>
      <c r="H2" s="72">
        <f>Grants!X85</f>
        <v>472.47773764166686</v>
      </c>
      <c r="I2" s="72">
        <f>Grants!Y85</f>
        <v>461.31629365802087</v>
      </c>
      <c r="J2" s="72">
        <f>Grants!Z85</f>
        <v>441.70520399435327</v>
      </c>
      <c r="K2" s="72">
        <f>Grants!AA85</f>
        <v>446.41869053333329</v>
      </c>
      <c r="L2" s="72">
        <f>Grants!AB85</f>
        <v>451.42557348733351</v>
      </c>
      <c r="M2" s="72">
        <f>Grants!AC85</f>
        <v>434.85302592434175</v>
      </c>
      <c r="N2" s="72"/>
    </row>
    <row r="3" spans="1:14" x14ac:dyDescent="0.3">
      <c r="A3" t="s">
        <v>134</v>
      </c>
      <c r="B3" t="s">
        <v>194</v>
      </c>
      <c r="C3" s="72">
        <f>Grants!S116</f>
        <v>75.340000000000018</v>
      </c>
      <c r="D3" s="72">
        <f>Grants!T116</f>
        <v>76.15900000000002</v>
      </c>
      <c r="E3" s="72">
        <f>Grants!U116</f>
        <v>76.15900000000002</v>
      </c>
      <c r="F3" s="72">
        <f>Grants!V116</f>
        <v>76.15900000000002</v>
      </c>
      <c r="G3" s="72">
        <f>Grants!W116</f>
        <v>76.15900000000002</v>
      </c>
      <c r="H3" s="72">
        <f>Grants!X116</f>
        <v>77.818000000000012</v>
      </c>
      <c r="I3" s="72">
        <f>Grants!Y116</f>
        <v>77.818000000000012</v>
      </c>
      <c r="J3" s="72">
        <f>Grants!Z116</f>
        <v>77.818000000000012</v>
      </c>
      <c r="K3" s="72">
        <f>Grants!AA116</f>
        <v>77.818000000000012</v>
      </c>
      <c r="L3" s="72">
        <f>Grants!AB116</f>
        <v>79.41200000000002</v>
      </c>
      <c r="M3" s="72">
        <f>Grants!AC116</f>
        <v>79.41200000000002</v>
      </c>
      <c r="N3" s="72"/>
    </row>
    <row r="4" spans="1:14" x14ac:dyDescent="0.3">
      <c r="A4" t="s">
        <v>195</v>
      </c>
      <c r="B4" t="s">
        <v>196</v>
      </c>
      <c r="C4" s="72">
        <f>'Federal and State Purchases'!S13</f>
        <v>1656.9</v>
      </c>
      <c r="D4" s="72">
        <f>'Federal and State Purchases'!T13</f>
        <v>1676.9001179799739</v>
      </c>
      <c r="E4" s="72">
        <f>'Federal and State Purchases'!U13</f>
        <v>1693.4907579451458</v>
      </c>
      <c r="F4" s="72">
        <f>'Federal and State Purchases'!V13</f>
        <v>1708.8448284719198</v>
      </c>
      <c r="G4" s="72">
        <f>'Federal and State Purchases'!W13</f>
        <v>1722.7562346538962</v>
      </c>
      <c r="H4" s="72">
        <f>'Federal and State Purchases'!X13</f>
        <v>1736.3930239442748</v>
      </c>
      <c r="I4" s="72">
        <f>'Federal and State Purchases'!Y13</f>
        <v>1750.510525032651</v>
      </c>
      <c r="J4" s="72">
        <f>'Federal and State Purchases'!Z13</f>
        <v>1764.0097414018283</v>
      </c>
      <c r="K4" s="72">
        <f>'Federal and State Purchases'!AA13</f>
        <v>1777.6120052242049</v>
      </c>
      <c r="L4" s="72">
        <f>'Federal and State Purchases'!AB13</f>
        <v>1793.7662690465822</v>
      </c>
      <c r="M4" s="72">
        <f>'Federal and State Purchases'!AC13</f>
        <v>1804.9984414453634</v>
      </c>
      <c r="N4" s="72"/>
    </row>
    <row r="5" spans="1:14" x14ac:dyDescent="0.3">
      <c r="A5" t="s">
        <v>197</v>
      </c>
      <c r="B5" t="s">
        <v>198</v>
      </c>
      <c r="C5" s="72">
        <f>'Federal and State Purchases'!S35</f>
        <v>2829.6</v>
      </c>
      <c r="D5" s="72">
        <f>'Federal and State Purchases'!T35</f>
        <v>2867.1479295552822</v>
      </c>
      <c r="E5" s="72">
        <f>'Federal and State Purchases'!U35</f>
        <v>2902.161011259866</v>
      </c>
      <c r="F5" s="72">
        <f>'Federal and State Purchases'!V35</f>
        <v>2932.4230553290195</v>
      </c>
      <c r="G5" s="72">
        <f>'Federal and State Purchases'!W35</f>
        <v>2959.7931634461715</v>
      </c>
      <c r="H5" s="72">
        <f>'Federal and State Purchases'!X35</f>
        <v>2986.2337207216096</v>
      </c>
      <c r="I5" s="72">
        <f>'Federal and State Purchases'!Y35</f>
        <v>3012.157860862761</v>
      </c>
      <c r="J5" s="72">
        <f>'Federal and State Purchases'!Z35</f>
        <v>3037.9787175770557</v>
      </c>
      <c r="K5" s="72">
        <f>'Federal and State Purchases'!AA35</f>
        <v>3064.5225582793501</v>
      </c>
      <c r="L5" s="72">
        <f>'Federal and State Purchases'!AB35</f>
        <v>3091.9959498233598</v>
      </c>
      <c r="M5" s="72">
        <f>'Federal and State Purchases'!AC35</f>
        <v>3137.5691162790699</v>
      </c>
      <c r="N5" s="72"/>
    </row>
    <row r="6" spans="1:14" x14ac:dyDescent="0.3">
      <c r="A6" t="s">
        <v>199</v>
      </c>
      <c r="B6" t="s">
        <v>200</v>
      </c>
      <c r="C6" s="72">
        <f>Subsidies!S46</f>
        <v>3.1520000000000152</v>
      </c>
      <c r="D6" s="72">
        <f>Subsidies!T46</f>
        <v>75.782000000000011</v>
      </c>
      <c r="E6" s="72">
        <f>Subsidies!U46</f>
        <v>75.782000000000011</v>
      </c>
      <c r="F6" s="72">
        <f>Subsidies!V46</f>
        <v>75.782000000000011</v>
      </c>
      <c r="G6" s="72">
        <f>Subsidies!W46</f>
        <v>75.782000000000011</v>
      </c>
      <c r="H6" s="72">
        <f>Subsidies!X46</f>
        <v>84.266000000000005</v>
      </c>
      <c r="I6" s="72">
        <f>Subsidies!Y46</f>
        <v>84.266000000000005</v>
      </c>
      <c r="J6" s="72">
        <f>Subsidies!Z46</f>
        <v>84.266000000000005</v>
      </c>
      <c r="K6" s="72">
        <f>Subsidies!AA46</f>
        <v>84.266000000000005</v>
      </c>
      <c r="L6" s="72">
        <f>Subsidies!AB46</f>
        <v>91.364999999999995</v>
      </c>
      <c r="M6" s="72">
        <f>Subsidies!AC46</f>
        <v>91.364999999999995</v>
      </c>
      <c r="N6" s="72"/>
    </row>
    <row r="7" spans="1:14" x14ac:dyDescent="0.3">
      <c r="A7" t="s">
        <v>201</v>
      </c>
      <c r="B7" t="s">
        <v>202</v>
      </c>
      <c r="C7" s="72">
        <f>Subsidies!S45</f>
        <v>110.24799999999999</v>
      </c>
      <c r="D7" s="72">
        <f>Subsidies!T45</f>
        <v>12.726000000000001</v>
      </c>
      <c r="E7" s="72">
        <f>Subsidies!U45</f>
        <v>12.726000000000001</v>
      </c>
      <c r="F7" s="72">
        <f>Subsidies!V45</f>
        <v>12.726000000000001</v>
      </c>
      <c r="G7" s="72">
        <f>Subsidies!W45</f>
        <v>12.726000000000001</v>
      </c>
      <c r="H7" s="72">
        <f>Subsidies!X45</f>
        <v>1.365</v>
      </c>
      <c r="I7" s="72">
        <f>Subsidies!Y45</f>
        <v>1.365</v>
      </c>
      <c r="J7" s="72">
        <f>Subsidies!Z45</f>
        <v>1.365</v>
      </c>
      <c r="K7" s="72">
        <f>Subsidies!AA45</f>
        <v>1.365</v>
      </c>
      <c r="L7" s="72">
        <f>Subsidies!AB45</f>
        <v>-0.90100000000000025</v>
      </c>
      <c r="M7" s="72">
        <f>Subsidies!AC45</f>
        <v>-0.90100000000000025</v>
      </c>
      <c r="N7" s="72"/>
    </row>
    <row r="8" spans="1:14" x14ac:dyDescent="0.3">
      <c r="A8" t="s">
        <v>203</v>
      </c>
      <c r="B8" t="s">
        <v>204</v>
      </c>
      <c r="C8" s="72">
        <f>'Unemployment Insurance'!S19</f>
        <v>0.5</v>
      </c>
      <c r="D8" s="72">
        <f>'Unemployment Insurance'!T19</f>
        <v>0</v>
      </c>
      <c r="E8" s="72">
        <f>'Unemployment Insurance'!U19</f>
        <v>0</v>
      </c>
      <c r="F8" s="72">
        <f>'Unemployment Insurance'!V19</f>
        <v>0</v>
      </c>
      <c r="G8" s="72">
        <f>'Unemployment Insurance'!W19</f>
        <v>0</v>
      </c>
      <c r="H8" s="72">
        <f>'Unemployment Insurance'!X19</f>
        <v>0</v>
      </c>
      <c r="I8" s="72">
        <f>'Unemployment Insurance'!Y19</f>
        <v>0</v>
      </c>
      <c r="J8" s="72">
        <f>'Unemployment Insurance'!Z19</f>
        <v>0</v>
      </c>
      <c r="K8" s="72">
        <f>'Unemployment Insurance'!AA19</f>
        <v>0</v>
      </c>
      <c r="L8" s="72">
        <f>'Unemployment Insurance'!AB19</f>
        <v>0</v>
      </c>
      <c r="M8" s="72">
        <f>'Unemployment Insurance'!AC19</f>
        <v>0</v>
      </c>
      <c r="N8" s="72"/>
    </row>
    <row r="9" spans="1:14" x14ac:dyDescent="0.3">
      <c r="A9" t="s">
        <v>205</v>
      </c>
      <c r="B9" t="s">
        <v>206</v>
      </c>
      <c r="C9" s="72">
        <f>'Unemployment Insurance'!S20</f>
        <v>18</v>
      </c>
      <c r="D9" s="72">
        <f>'Unemployment Insurance'!T20</f>
        <v>18.420560747663554</v>
      </c>
      <c r="E9" s="72">
        <f>'Unemployment Insurance'!U20</f>
        <v>18.067289719626174</v>
      </c>
      <c r="F9" s="72">
        <f>'Unemployment Insurance'!V20</f>
        <v>17.764485981308418</v>
      </c>
      <c r="G9" s="72">
        <f>'Unemployment Insurance'!W20</f>
        <v>17.820000000000007</v>
      </c>
      <c r="H9" s="72">
        <f>'Unemployment Insurance'!X20</f>
        <v>17.920934579439262</v>
      </c>
      <c r="I9" s="72">
        <f>'Unemployment Insurance'!Y20</f>
        <v>18.279252336448607</v>
      </c>
      <c r="J9" s="72">
        <f>'Unemployment Insurance'!Z20</f>
        <v>20.045607476635524</v>
      </c>
      <c r="K9" s="72">
        <f>'Unemployment Insurance'!AA20</f>
        <v>20.292897196261695</v>
      </c>
      <c r="L9" s="72">
        <f>'Unemployment Insurance'!AB20</f>
        <v>20.600747663551413</v>
      </c>
      <c r="M9" s="72">
        <f>'Unemployment Insurance'!AC20</f>
        <v>20.898504672897207</v>
      </c>
      <c r="N9" s="72"/>
    </row>
    <row r="10" spans="1:14" x14ac:dyDescent="0.3">
      <c r="A10" s="36" t="s">
        <v>207</v>
      </c>
      <c r="B10" s="36" t="s">
        <v>208</v>
      </c>
      <c r="C10" s="72">
        <f>Medicaid!S34</f>
        <v>605.63699999999994</v>
      </c>
      <c r="D10" s="72">
        <f>Medicaid!T34</f>
        <v>603.00068356357667</v>
      </c>
      <c r="E10" s="72">
        <f>Medicaid!U34</f>
        <v>607.65035951605387</v>
      </c>
      <c r="F10" s="72">
        <f>Medicaid!V34</f>
        <v>612.33588863926911</v>
      </c>
      <c r="G10" s="72">
        <f>Medicaid!W34</f>
        <v>576.63205507158432</v>
      </c>
      <c r="H10" s="72">
        <f>Medicaid!X34</f>
        <v>569.82769279783622</v>
      </c>
      <c r="I10" s="72">
        <f>Medicaid!Y34</f>
        <v>563.5332442248091</v>
      </c>
      <c r="J10" s="72">
        <f>Medicaid!Z34</f>
        <v>557.30832558747863</v>
      </c>
      <c r="K10" s="72">
        <f>Medicaid!AA34</f>
        <v>551.1521688420836</v>
      </c>
      <c r="L10" s="72">
        <f>Medicaid!AB34</f>
        <v>541.34192564680143</v>
      </c>
      <c r="M10" s="72">
        <f>Medicaid!AC34</f>
        <v>535.36213745034365</v>
      </c>
      <c r="N10" s="72"/>
    </row>
    <row r="11" spans="1:14" x14ac:dyDescent="0.3">
      <c r="A11" s="36" t="s">
        <v>209</v>
      </c>
      <c r="B11" s="36" t="s">
        <v>210</v>
      </c>
      <c r="C11" s="72">
        <f>Medicaid!S32</f>
        <v>790</v>
      </c>
      <c r="D11" s="72">
        <f>Medicaid!T32</f>
        <v>790.0916083556474</v>
      </c>
      <c r="E11" s="72">
        <f>Medicaid!U32</f>
        <v>796.18392309385763</v>
      </c>
      <c r="F11" s="72">
        <f>Medicaid!V32</f>
        <v>802.32321504139009</v>
      </c>
      <c r="G11" s="72">
        <f>Medicaid!W32</f>
        <v>808.50984643465085</v>
      </c>
      <c r="H11" s="72">
        <f>Medicaid!X32</f>
        <v>799.5788595530172</v>
      </c>
      <c r="I11" s="72">
        <f>Medicaid!Y32</f>
        <v>790.74652641942589</v>
      </c>
      <c r="J11" s="72">
        <f>Medicaid!Z32</f>
        <v>782.01175728174405</v>
      </c>
      <c r="K11" s="72">
        <f>Medicaid!AA32</f>
        <v>773.3734744254931</v>
      </c>
      <c r="L11" s="72">
        <f>Medicaid!AB32</f>
        <v>764.83061204087801</v>
      </c>
      <c r="M11" s="72">
        <f>Medicaid!AC32</f>
        <v>756.38211609128541</v>
      </c>
      <c r="N11" s="72"/>
    </row>
    <row r="12" spans="1:14" x14ac:dyDescent="0.3">
      <c r="A12" t="s">
        <v>55</v>
      </c>
      <c r="B12" t="s">
        <v>211</v>
      </c>
      <c r="C12" s="72">
        <f>Medicare!S10</f>
        <v>920.3</v>
      </c>
      <c r="D12" s="72">
        <f>Medicare!T10</f>
        <v>942.65830121332203</v>
      </c>
      <c r="E12" s="72">
        <f>Medicare!U10</f>
        <v>965.55978794565488</v>
      </c>
      <c r="F12" s="72">
        <f>Medicare!V10</f>
        <v>989.017656660596</v>
      </c>
      <c r="G12" s="72">
        <f>Medicare!W10</f>
        <v>1013.0454244242726</v>
      </c>
      <c r="H12" s="72">
        <f>Medicare!X10</f>
        <v>1037.4736868172592</v>
      </c>
      <c r="I12" s="72">
        <f>Medicare!Y10</f>
        <v>1062.4910047344636</v>
      </c>
      <c r="J12" s="72">
        <f>Medicare!Z10</f>
        <v>1088.11158247765</v>
      </c>
      <c r="K12" s="72">
        <f>Medicare!AA10</f>
        <v>1114.3499668666996</v>
      </c>
      <c r="L12" s="72">
        <f>Medicare!AB10</f>
        <v>1141.2210554989849</v>
      </c>
      <c r="M12" s="72">
        <f>Medicare!AC10</f>
        <v>1168.7401052079097</v>
      </c>
      <c r="N12" s="72"/>
    </row>
    <row r="13" spans="1:14" x14ac:dyDescent="0.3">
      <c r="A13" t="s">
        <v>212</v>
      </c>
      <c r="B13" t="s">
        <v>213</v>
      </c>
      <c r="C13" s="72">
        <f>'Rebate Checks'!S11</f>
        <v>0</v>
      </c>
      <c r="D13" s="72">
        <f>'Rebate Checks'!T11</f>
        <v>0</v>
      </c>
      <c r="E13" s="72">
        <f>'Rebate Checks'!U11</f>
        <v>0</v>
      </c>
      <c r="F13" s="72">
        <f>'Rebate Checks'!V11</f>
        <v>0</v>
      </c>
      <c r="G13" s="72">
        <f>'Rebate Checks'!W11</f>
        <v>0</v>
      </c>
      <c r="H13" s="72">
        <f>'Rebate Checks'!X11</f>
        <v>0</v>
      </c>
      <c r="I13" s="72">
        <f>'Rebate Checks'!Y11</f>
        <v>0</v>
      </c>
      <c r="J13" s="72">
        <f>'Rebate Checks'!Z11</f>
        <v>0</v>
      </c>
      <c r="K13" s="72">
        <f>'Rebate Checks'!AA11</f>
        <v>0</v>
      </c>
      <c r="L13" s="72">
        <f>'Rebate Checks'!AB11</f>
        <v>0</v>
      </c>
      <c r="M13" s="72">
        <f>'Rebate Checks'!AC11</f>
        <v>0</v>
      </c>
      <c r="N13" s="72"/>
    </row>
    <row r="14" spans="1:14" x14ac:dyDescent="0.3">
      <c r="A14" t="s">
        <v>214</v>
      </c>
      <c r="B14" t="s">
        <v>215</v>
      </c>
      <c r="C14" s="72">
        <f>'Rebate Checks'!S10</f>
        <v>0</v>
      </c>
      <c r="D14" s="72">
        <f>'Rebate Checks'!T10</f>
        <v>0</v>
      </c>
      <c r="E14" s="72">
        <f>'Rebate Checks'!U10</f>
        <v>0</v>
      </c>
      <c r="F14" s="72">
        <f>'Rebate Checks'!V10</f>
        <v>0</v>
      </c>
      <c r="G14" s="72">
        <f>'Rebate Checks'!W10</f>
        <v>0</v>
      </c>
      <c r="H14" s="72">
        <f>'Rebate Checks'!X10</f>
        <v>0</v>
      </c>
      <c r="I14" s="72">
        <f>'Rebate Checks'!Y10</f>
        <v>0</v>
      </c>
      <c r="J14" s="72">
        <f>'Rebate Checks'!Z10</f>
        <v>0</v>
      </c>
      <c r="K14" s="72">
        <f>'Rebate Checks'!AA10</f>
        <v>0</v>
      </c>
      <c r="L14" s="72">
        <f>'Rebate Checks'!AB10</f>
        <v>0</v>
      </c>
      <c r="M14" s="72">
        <f>'Rebate Checks'!AC10</f>
        <v>0</v>
      </c>
      <c r="N14" s="72"/>
    </row>
    <row r="15" spans="1:14" x14ac:dyDescent="0.3">
      <c r="A15" t="s">
        <v>216</v>
      </c>
      <c r="B15" t="s">
        <v>217</v>
      </c>
      <c r="C15" s="72">
        <f>'Social Benefits'!S17</f>
        <v>52.756999999999998</v>
      </c>
      <c r="D15" s="72">
        <f>'Social Benefits'!T17</f>
        <v>12</v>
      </c>
      <c r="E15" s="72">
        <f>'Social Benefits'!U17</f>
        <v>12</v>
      </c>
      <c r="F15" s="72">
        <f>'Social Benefits'!V17</f>
        <v>12</v>
      </c>
      <c r="G15" s="72">
        <f>'Social Benefits'!W17</f>
        <v>12</v>
      </c>
      <c r="H15" s="72">
        <f>'Social Benefits'!X17</f>
        <v>4.2219999999999995</v>
      </c>
      <c r="I15" s="72">
        <f>'Social Benefits'!Y17</f>
        <v>4.2219999999999995</v>
      </c>
      <c r="J15" s="72">
        <f>'Social Benefits'!Z17</f>
        <v>4.2219999999999995</v>
      </c>
      <c r="K15" s="72">
        <f>'Social Benefits'!AA17</f>
        <v>4.2219999999999995</v>
      </c>
      <c r="L15" s="72">
        <f>'Social Benefits'!AB17</f>
        <v>2.3719999999999999</v>
      </c>
      <c r="M15" s="72">
        <f>'Social Benefits'!AC17</f>
        <v>2.3719999999999999</v>
      </c>
      <c r="N15" s="72"/>
    </row>
    <row r="16" spans="1:14" x14ac:dyDescent="0.3">
      <c r="A16" t="s">
        <v>864</v>
      </c>
      <c r="B16" t="s">
        <v>219</v>
      </c>
      <c r="C16" s="72">
        <f>'Social Benefits'!S24</f>
        <v>27.819000000000003</v>
      </c>
      <c r="D16" s="72">
        <f>'Social Benefits'!T24</f>
        <v>1.4159999999999999</v>
      </c>
      <c r="E16" s="72">
        <f>'Social Benefits'!U24</f>
        <v>1.4159999999999999</v>
      </c>
      <c r="F16" s="72">
        <f>'Social Benefits'!V24</f>
        <v>1.4159999999999999</v>
      </c>
      <c r="G16" s="72">
        <f>'Social Benefits'!W24</f>
        <v>1.4159999999999999</v>
      </c>
      <c r="H16" s="72">
        <f>'Social Benefits'!X24</f>
        <v>1.4790000000000001</v>
      </c>
      <c r="I16" s="72">
        <f>'Social Benefits'!Y24</f>
        <v>1.4790000000000001</v>
      </c>
      <c r="J16" s="72">
        <f>'Social Benefits'!Z24</f>
        <v>1.4790000000000001</v>
      </c>
      <c r="K16" s="72">
        <f>'Social Benefits'!AA24</f>
        <v>1.4790000000000001</v>
      </c>
      <c r="L16" s="72">
        <f>'Social Benefits'!AB24</f>
        <v>1.63</v>
      </c>
      <c r="M16" s="72">
        <f>'Social Benefits'!AC24</f>
        <v>1.63</v>
      </c>
      <c r="N16" s="72"/>
    </row>
    <row r="17" spans="1:14" x14ac:dyDescent="0.3">
      <c r="A17" t="s">
        <v>220</v>
      </c>
      <c r="B17" t="s">
        <v>221</v>
      </c>
      <c r="C17" s="72">
        <f>'Social Benefits'!S28</f>
        <v>1818.9020000000003</v>
      </c>
      <c r="D17" s="72">
        <f>'Social Benefits'!T28</f>
        <v>1852.2204375000003</v>
      </c>
      <c r="E17" s="72">
        <f>'Social Benefits'!U28</f>
        <v>1902.6775146250002</v>
      </c>
      <c r="F17" s="72">
        <f>'Social Benefits'!V28</f>
        <v>1909.6775146250002</v>
      </c>
      <c r="G17" s="72">
        <f>'Social Benefits'!W28</f>
        <v>1916.6775146250002</v>
      </c>
      <c r="H17" s="72">
        <f>'Social Benefits'!X28</f>
        <v>1918.9265146250002</v>
      </c>
      <c r="I17" s="72">
        <f>'Social Benefits'!Y28</f>
        <v>1963.7985746250001</v>
      </c>
      <c r="J17" s="72">
        <f>'Social Benefits'!Z28</f>
        <v>1970.7985746250001</v>
      </c>
      <c r="K17" s="72">
        <f>'Social Benefits'!AA28</f>
        <v>1977.7985746250001</v>
      </c>
      <c r="L17" s="72">
        <f>'Social Benefits'!AB28</f>
        <v>1985.8265746250001</v>
      </c>
      <c r="M17" s="72">
        <f>'Social Benefits'!AC28</f>
        <v>2018.7146146250002</v>
      </c>
      <c r="N17" s="72"/>
    </row>
    <row r="18" spans="1:14" x14ac:dyDescent="0.3">
      <c r="A18" t="s">
        <v>222</v>
      </c>
      <c r="B18" t="s">
        <v>223</v>
      </c>
      <c r="C18" s="72">
        <f>'Social Benefits'!S32</f>
        <v>196.79999999999995</v>
      </c>
      <c r="D18" s="72">
        <f>'Social Benefits'!T32</f>
        <v>177.85179962461578</v>
      </c>
      <c r="E18" s="72">
        <f>'Social Benefits'!U32</f>
        <v>180.60976738544733</v>
      </c>
      <c r="F18" s="72">
        <f>'Social Benefits'!V32</f>
        <v>183.41050326100046</v>
      </c>
      <c r="G18" s="72">
        <f>'Social Benefits'!W32</f>
        <v>186.25467046121651</v>
      </c>
      <c r="H18" s="72">
        <f>'Social Benefits'!X32</f>
        <v>189.14294248050757</v>
      </c>
      <c r="I18" s="72">
        <f>'Social Benefits'!Y32</f>
        <v>192.07600325723899</v>
      </c>
      <c r="J18" s="72">
        <f>'Social Benefits'!Z32</f>
        <v>195.05454733568487</v>
      </c>
      <c r="K18" s="72">
        <f>'Social Benefits'!AA32</f>
        <v>198.07928003049508</v>
      </c>
      <c r="L18" s="72">
        <f>'Social Benefits'!AB32</f>
        <v>201.15091759371273</v>
      </c>
      <c r="M18" s="72">
        <f>'Social Benefits'!AC32</f>
        <v>204.27018738438153</v>
      </c>
      <c r="N18" s="72"/>
    </row>
    <row r="19" spans="1:14" x14ac:dyDescent="0.3">
      <c r="A19" t="s">
        <v>224</v>
      </c>
      <c r="B19" t="s">
        <v>225</v>
      </c>
      <c r="C19" s="72">
        <f>Taxes!S9</f>
        <v>4505.2000000000007</v>
      </c>
      <c r="D19" s="72">
        <f>Taxes!T9</f>
        <v>4574.8644920383394</v>
      </c>
      <c r="E19" s="72">
        <f>Taxes!U9</f>
        <v>4528.6569166191493</v>
      </c>
      <c r="F19" s="72">
        <f>Taxes!V9</f>
        <v>4544.8795506226297</v>
      </c>
      <c r="G19" s="72">
        <f>Taxes!W9</f>
        <v>4561.5377512540026</v>
      </c>
      <c r="H19" s="72">
        <f>Taxes!X9</f>
        <v>4564.9831242368391</v>
      </c>
      <c r="I19" s="72">
        <f>Taxes!Y9</f>
        <v>4571.7917472467925</v>
      </c>
      <c r="J19" s="72">
        <f>Taxes!Z9</f>
        <v>4578.7665782937693</v>
      </c>
      <c r="K19" s="72">
        <f>Taxes!AA9</f>
        <v>4585.908584776219</v>
      </c>
      <c r="L19" s="72">
        <f>Taxes!AB9</f>
        <v>4602.1144223049096</v>
      </c>
      <c r="M19" s="72">
        <f>Taxes!AC9</f>
        <v>4613.636665183144</v>
      </c>
      <c r="N19" s="72"/>
    </row>
    <row r="20" spans="1:14" x14ac:dyDescent="0.3">
      <c r="A20" t="s">
        <v>226</v>
      </c>
      <c r="B20" t="s">
        <v>227</v>
      </c>
      <c r="C20" s="72">
        <f>Taxes!S21</f>
        <v>2238.5</v>
      </c>
      <c r="D20" s="72">
        <f>Taxes!T21</f>
        <v>2268.4182561651428</v>
      </c>
      <c r="E20" s="72">
        <f>Taxes!U21</f>
        <v>2295.2562539532132</v>
      </c>
      <c r="F20" s="72">
        <f>Taxes!V21</f>
        <v>2321.7782878540979</v>
      </c>
      <c r="G20" s="72">
        <f>Taxes!W21</f>
        <v>2347.5507271003335</v>
      </c>
      <c r="H20" s="72">
        <f>Taxes!X21</f>
        <v>2371.5299731521227</v>
      </c>
      <c r="I20" s="72">
        <f>Taxes!Y21</f>
        <v>2395.115238871128</v>
      </c>
      <c r="J20" s="72">
        <f>Taxes!Z21</f>
        <v>2417.0388945898803</v>
      </c>
      <c r="K20" s="72">
        <f>Taxes!AA21</f>
        <v>2438.7623017299529</v>
      </c>
      <c r="L20" s="72">
        <f>Taxes!AB21</f>
        <v>2461.5282045683075</v>
      </c>
      <c r="M20" s="72">
        <f>Taxes!AC21</f>
        <v>2483.9169649053383</v>
      </c>
      <c r="N20" s="72"/>
    </row>
    <row r="21" spans="1:14" x14ac:dyDescent="0.3">
      <c r="A21" t="s">
        <v>228</v>
      </c>
      <c r="B21" t="s">
        <v>229</v>
      </c>
      <c r="C21" s="72">
        <f>Taxes!S17</f>
        <v>334.6</v>
      </c>
      <c r="D21" s="72">
        <f>Taxes!T17</f>
        <v>382.19188884072923</v>
      </c>
      <c r="E21" s="72">
        <f>Taxes!U17</f>
        <v>394.91708520104078</v>
      </c>
      <c r="F21" s="72">
        <f>Taxes!V17</f>
        <v>408.10910873050739</v>
      </c>
      <c r="G21" s="72">
        <f>Taxes!W17</f>
        <v>421.78508510638312</v>
      </c>
      <c r="H21" s="72">
        <f>Taxes!X17</f>
        <v>427.08469138358691</v>
      </c>
      <c r="I21" s="72">
        <f>Taxes!Y17</f>
        <v>431.72266035544538</v>
      </c>
      <c r="J21" s="72">
        <f>Taxes!Z17</f>
        <v>436.41563677685053</v>
      </c>
      <c r="K21" s="72">
        <f>Taxes!AA17</f>
        <v>441.16427304964549</v>
      </c>
      <c r="L21" s="72">
        <f>Taxes!AB17</f>
        <v>427.29133875132953</v>
      </c>
      <c r="M21" s="72">
        <f>Taxes!AC17</f>
        <v>423.03821600000856</v>
      </c>
      <c r="N21" s="72"/>
    </row>
    <row r="22" spans="1:14" x14ac:dyDescent="0.3">
      <c r="A22" t="s">
        <v>230</v>
      </c>
      <c r="B22" t="s">
        <v>231</v>
      </c>
      <c r="C22" s="72">
        <f>Taxes!S26</f>
        <v>101.6</v>
      </c>
      <c r="D22" s="72">
        <f>Taxes!T26</f>
        <v>102.34079475027343</v>
      </c>
      <c r="E22" s="72">
        <f>Taxes!U26</f>
        <v>102.15559606270509</v>
      </c>
      <c r="F22" s="72">
        <f>Taxes!V26</f>
        <v>101.60411552639043</v>
      </c>
      <c r="G22" s="72">
        <f>Taxes!W26</f>
        <v>100.98678656782924</v>
      </c>
      <c r="H22" s="72">
        <f>Taxes!X26</f>
        <v>100.44765261068579</v>
      </c>
      <c r="I22" s="72">
        <f>Taxes!Y26</f>
        <v>99.982598128569705</v>
      </c>
      <c r="J22" s="72">
        <f>Taxes!Z26</f>
        <v>99.863247863247878</v>
      </c>
      <c r="K22" s="72">
        <f>Taxes!AA26</f>
        <v>99.51342812006321</v>
      </c>
      <c r="L22" s="72">
        <f>Taxes!AB26</f>
        <v>100.06079312998747</v>
      </c>
      <c r="M22" s="72">
        <f>Taxes!AC26</f>
        <v>100.42295945234335</v>
      </c>
      <c r="N22" s="72"/>
    </row>
    <row r="23" spans="1:14" x14ac:dyDescent="0.3">
      <c r="A23" t="s">
        <v>1486</v>
      </c>
      <c r="B23" t="s">
        <v>1485</v>
      </c>
      <c r="C23" s="72">
        <f>'Student loans'!S11</f>
        <v>0</v>
      </c>
      <c r="D23" s="72">
        <f>'Student loans'!T11</f>
        <v>0</v>
      </c>
      <c r="E23" s="72">
        <f>'Student loans'!U11</f>
        <v>0</v>
      </c>
      <c r="F23" s="72">
        <f>'Student loans'!V11</f>
        <v>0</v>
      </c>
      <c r="G23" s="72">
        <f>'Student loans'!W11</f>
        <v>20.815079999999998</v>
      </c>
      <c r="H23" s="72">
        <f>'Student loans'!X11</f>
        <v>21.006180000000001</v>
      </c>
      <c r="I23" s="72">
        <f>'Student loans'!Y11</f>
        <v>25.815300000000001</v>
      </c>
      <c r="J23" s="72">
        <f>'Student loans'!Z11</f>
        <v>26.04045</v>
      </c>
      <c r="K23" s="72">
        <f>'Student loans'!AA11</f>
        <v>26.26465</v>
      </c>
      <c r="L23" s="72">
        <f>'Student loans'!AB11</f>
        <v>26.498349999999999</v>
      </c>
      <c r="M23" s="72">
        <f>'Student loans'!AC11</f>
        <v>26.454419999999999</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90"/>
  <sheetViews>
    <sheetView topLeftCell="A4" workbookViewId="0">
      <pane xSplit="7" ySplit="4" topLeftCell="J44" activePane="bottomRight" state="frozen"/>
      <selection activeCell="A4" sqref="A4"/>
      <selection pane="topRight" activeCell="H4" sqref="H4"/>
      <selection pane="bottomLeft" activeCell="A8" sqref="A8"/>
      <selection pane="bottomRight" activeCell="M48" sqref="M48"/>
    </sheetView>
  </sheetViews>
  <sheetFormatPr defaultColWidth="11.5546875" defaultRowHeight="14.4" x14ac:dyDescent="0.3"/>
  <cols>
    <col min="1" max="1" width="6.5546875" customWidth="1"/>
    <col min="2" max="2" width="65" customWidth="1"/>
    <col min="3" max="12" width="11.5546875" customWidth="1"/>
    <col min="13" max="13" width="18.21875" customWidth="1"/>
  </cols>
  <sheetData>
    <row r="2" spans="1:17" x14ac:dyDescent="0.3">
      <c r="A2" s="1087" t="s">
        <v>986</v>
      </c>
      <c r="B2" s="1087"/>
      <c r="C2" s="1087"/>
      <c r="D2" s="1087"/>
      <c r="E2" s="1087"/>
      <c r="F2" s="1087"/>
      <c r="G2" s="1087"/>
      <c r="H2" s="1087"/>
      <c r="I2" s="1087"/>
      <c r="J2" s="1087"/>
      <c r="K2" s="1087"/>
      <c r="L2" s="1087"/>
      <c r="M2" s="1087"/>
      <c r="N2" s="1087"/>
      <c r="O2" s="1087"/>
      <c r="P2" s="1087"/>
      <c r="Q2" s="1087"/>
    </row>
    <row r="3" spans="1:17" x14ac:dyDescent="0.3">
      <c r="A3" s="1087" t="s">
        <v>957</v>
      </c>
      <c r="B3" s="1087"/>
      <c r="C3" s="1087"/>
      <c r="D3" s="1087"/>
      <c r="E3" s="1087"/>
      <c r="F3" s="1087"/>
      <c r="G3" s="1087"/>
      <c r="H3" s="1087"/>
      <c r="I3" s="1087"/>
      <c r="J3" s="1087"/>
      <c r="K3" s="1087"/>
      <c r="L3" s="1087"/>
      <c r="M3" s="1087"/>
      <c r="N3" s="1087"/>
      <c r="O3" s="1087"/>
      <c r="P3" s="1087"/>
      <c r="Q3" s="1087"/>
    </row>
    <row r="4" spans="1:17" ht="15" customHeight="1" x14ac:dyDescent="0.3">
      <c r="A4" s="1088"/>
      <c r="B4" s="1088"/>
      <c r="C4" s="1088"/>
      <c r="D4" s="84"/>
      <c r="E4" s="84"/>
      <c r="F4" s="84"/>
      <c r="G4" s="84"/>
      <c r="H4" s="84"/>
      <c r="I4" s="84"/>
      <c r="J4" s="84"/>
      <c r="K4" s="84"/>
      <c r="L4" s="84"/>
    </row>
    <row r="5" spans="1:17" x14ac:dyDescent="0.3">
      <c r="A5" s="86"/>
      <c r="B5" s="95"/>
      <c r="C5" s="1089"/>
      <c r="D5" s="1089"/>
      <c r="E5" s="1089"/>
      <c r="F5" s="1089"/>
      <c r="G5" s="1089"/>
      <c r="H5" s="36"/>
      <c r="I5" s="36"/>
      <c r="J5" s="36"/>
      <c r="K5" s="36"/>
      <c r="L5" s="36"/>
      <c r="M5" s="36"/>
    </row>
    <row r="6" spans="1:17" x14ac:dyDescent="0.3">
      <c r="A6" s="130" t="s">
        <v>884</v>
      </c>
      <c r="B6" s="96"/>
      <c r="C6" s="1090"/>
      <c r="D6" s="1091"/>
      <c r="E6" s="100">
        <v>2022</v>
      </c>
      <c r="F6" s="75"/>
      <c r="G6" s="75"/>
      <c r="H6" s="94"/>
      <c r="I6" s="130"/>
      <c r="J6" s="130"/>
      <c r="K6" s="130"/>
      <c r="L6" s="130"/>
      <c r="M6" s="87"/>
    </row>
    <row r="7" spans="1:17" ht="15" customHeight="1" x14ac:dyDescent="0.3">
      <c r="A7" s="97"/>
      <c r="B7" s="102"/>
      <c r="C7" s="132" t="s">
        <v>234</v>
      </c>
      <c r="D7" s="133" t="s">
        <v>235</v>
      </c>
      <c r="E7" s="133" t="s">
        <v>236</v>
      </c>
      <c r="F7" s="133" t="s">
        <v>237</v>
      </c>
      <c r="G7" s="133" t="s">
        <v>1007</v>
      </c>
      <c r="H7" s="133" t="s">
        <v>1020</v>
      </c>
      <c r="I7" s="133" t="s">
        <v>1280</v>
      </c>
      <c r="J7" s="134" t="s">
        <v>1487</v>
      </c>
      <c r="K7" s="130" t="s">
        <v>1538</v>
      </c>
      <c r="L7" s="130" t="s">
        <v>1549</v>
      </c>
      <c r="M7" s="88" t="s">
        <v>1540</v>
      </c>
    </row>
    <row r="8" spans="1:17" x14ac:dyDescent="0.3">
      <c r="A8" s="103">
        <v>1</v>
      </c>
      <c r="B8" s="112" t="s">
        <v>239</v>
      </c>
      <c r="C8" s="114">
        <v>21205.7</v>
      </c>
      <c r="D8" s="117">
        <v>21319.5</v>
      </c>
      <c r="E8" s="117">
        <v>21434.3</v>
      </c>
      <c r="F8" s="114">
        <v>21503.599999999999</v>
      </c>
      <c r="G8" s="117">
        <v>21624.3</v>
      </c>
      <c r="H8" s="117">
        <v>21687</v>
      </c>
      <c r="I8" s="117">
        <v>21790.5</v>
      </c>
      <c r="J8" s="117">
        <v>21864.9</v>
      </c>
      <c r="K8" s="117">
        <v>21953.3</v>
      </c>
      <c r="L8" s="119">
        <v>22108.6</v>
      </c>
      <c r="M8" s="89"/>
    </row>
    <row r="9" spans="1:17" x14ac:dyDescent="0.3">
      <c r="A9" s="50">
        <v>2</v>
      </c>
      <c r="B9" s="113" t="s">
        <v>240</v>
      </c>
      <c r="C9" s="115">
        <v>13174.5</v>
      </c>
      <c r="D9" s="118">
        <v>13269.4</v>
      </c>
      <c r="E9" s="118">
        <v>13335.3</v>
      </c>
      <c r="F9" s="115">
        <v>13396.5</v>
      </c>
      <c r="G9" s="118">
        <v>13471.4</v>
      </c>
      <c r="H9" s="118">
        <v>13468.8</v>
      </c>
      <c r="I9" s="118">
        <v>13573.8</v>
      </c>
      <c r="J9" s="118">
        <v>13623.3</v>
      </c>
      <c r="K9" s="118">
        <v>13701.1</v>
      </c>
      <c r="L9" s="120">
        <v>13764.2</v>
      </c>
      <c r="M9" s="89"/>
    </row>
    <row r="10" spans="1:17" x14ac:dyDescent="0.3">
      <c r="A10" s="104">
        <v>3</v>
      </c>
      <c r="B10" s="116" t="s">
        <v>241</v>
      </c>
      <c r="C10" s="99">
        <v>10851.2</v>
      </c>
      <c r="D10" s="121">
        <v>10933.6</v>
      </c>
      <c r="E10" s="121">
        <v>10991.7</v>
      </c>
      <c r="F10" s="99">
        <v>11045</v>
      </c>
      <c r="G10" s="121">
        <v>11110.6</v>
      </c>
      <c r="H10" s="121">
        <v>11104</v>
      </c>
      <c r="I10" s="121">
        <v>11196.2</v>
      </c>
      <c r="J10" s="121">
        <v>11236.8</v>
      </c>
      <c r="K10" s="121">
        <v>11304.7</v>
      </c>
      <c r="L10" s="123">
        <v>11358.9</v>
      </c>
      <c r="M10" s="89"/>
    </row>
    <row r="11" spans="1:17" x14ac:dyDescent="0.3">
      <c r="A11" s="36">
        <v>4</v>
      </c>
      <c r="B11" s="135" t="s">
        <v>242</v>
      </c>
      <c r="C11" s="101">
        <v>9268.7999999999993</v>
      </c>
      <c r="D11" s="124">
        <v>9345.6</v>
      </c>
      <c r="E11" s="124">
        <v>9398.7999999999993</v>
      </c>
      <c r="F11" s="101">
        <v>9449.9</v>
      </c>
      <c r="G11" s="124">
        <v>9508.5</v>
      </c>
      <c r="H11" s="124">
        <v>9500.1</v>
      </c>
      <c r="I11" s="124">
        <v>9581.1</v>
      </c>
      <c r="J11" s="124">
        <v>9612.2000000000007</v>
      </c>
      <c r="K11" s="124">
        <v>9675.1</v>
      </c>
      <c r="L11" s="125">
        <v>9724</v>
      </c>
      <c r="M11" s="89"/>
    </row>
    <row r="12" spans="1:17" x14ac:dyDescent="0.3">
      <c r="A12" s="104">
        <v>5</v>
      </c>
      <c r="B12" s="116" t="s">
        <v>243</v>
      </c>
      <c r="C12" s="99">
        <v>1582.4</v>
      </c>
      <c r="D12" s="121">
        <v>1588</v>
      </c>
      <c r="E12" s="121">
        <v>1592.8</v>
      </c>
      <c r="F12" s="99">
        <v>1595.1</v>
      </c>
      <c r="G12" s="121">
        <v>1602.1</v>
      </c>
      <c r="H12" s="121">
        <v>1603.9</v>
      </c>
      <c r="I12" s="121">
        <v>1615.2</v>
      </c>
      <c r="J12" s="121">
        <v>1624.6</v>
      </c>
      <c r="K12" s="121">
        <v>1629.5</v>
      </c>
      <c r="L12" s="123">
        <v>1634.9</v>
      </c>
      <c r="M12" s="89"/>
    </row>
    <row r="13" spans="1:17" x14ac:dyDescent="0.3">
      <c r="A13" s="36">
        <v>6</v>
      </c>
      <c r="B13" s="135" t="s">
        <v>244</v>
      </c>
      <c r="C13" s="101">
        <v>2323.3000000000002</v>
      </c>
      <c r="D13" s="124">
        <v>2335.6999999999998</v>
      </c>
      <c r="E13" s="124">
        <v>2343.6</v>
      </c>
      <c r="F13" s="101">
        <v>2351.5</v>
      </c>
      <c r="G13" s="124">
        <v>2360.8000000000002</v>
      </c>
      <c r="H13" s="124">
        <v>2364.8000000000002</v>
      </c>
      <c r="I13" s="124">
        <v>2377.6</v>
      </c>
      <c r="J13" s="124">
        <v>2386.5</v>
      </c>
      <c r="K13" s="124">
        <v>2396.4</v>
      </c>
      <c r="L13" s="125">
        <v>2405.3000000000002</v>
      </c>
      <c r="M13" s="89"/>
    </row>
    <row r="14" spans="1:17" x14ac:dyDescent="0.3">
      <c r="A14" s="103">
        <v>7</v>
      </c>
      <c r="B14" s="76" t="s">
        <v>245</v>
      </c>
      <c r="C14" s="122">
        <v>1780.7</v>
      </c>
      <c r="D14" s="126">
        <v>1808.6</v>
      </c>
      <c r="E14" s="126">
        <v>1844.9</v>
      </c>
      <c r="F14" s="122">
        <v>1827.2</v>
      </c>
      <c r="G14" s="126">
        <v>1836.2</v>
      </c>
      <c r="H14" s="126">
        <v>1842.6</v>
      </c>
      <c r="I14" s="126">
        <v>1847</v>
      </c>
      <c r="J14" s="126">
        <v>1862.7</v>
      </c>
      <c r="K14" s="126">
        <v>1867.4</v>
      </c>
      <c r="L14" s="127">
        <v>1867.5</v>
      </c>
      <c r="M14" s="89"/>
    </row>
    <row r="15" spans="1:17" x14ac:dyDescent="0.3">
      <c r="A15" s="36">
        <v>8</v>
      </c>
      <c r="B15" s="135" t="s">
        <v>246</v>
      </c>
      <c r="C15" s="101">
        <v>51.2</v>
      </c>
      <c r="D15" s="124">
        <v>71.099999999999994</v>
      </c>
      <c r="E15" s="124">
        <v>100.9</v>
      </c>
      <c r="F15" s="101">
        <v>97.7</v>
      </c>
      <c r="G15" s="124">
        <v>95.7</v>
      </c>
      <c r="H15" s="124">
        <v>93.7</v>
      </c>
      <c r="I15" s="124">
        <v>93.3</v>
      </c>
      <c r="J15" s="124">
        <v>93</v>
      </c>
      <c r="K15" s="124">
        <v>92.6</v>
      </c>
      <c r="L15" s="125">
        <v>90.1</v>
      </c>
      <c r="M15" s="89"/>
    </row>
    <row r="16" spans="1:17" x14ac:dyDescent="0.3">
      <c r="A16" s="104"/>
      <c r="B16" s="77" t="s">
        <v>249</v>
      </c>
      <c r="C16" s="99" t="s">
        <v>1488</v>
      </c>
      <c r="D16" s="121"/>
      <c r="E16" s="121"/>
      <c r="F16" s="99" t="s">
        <v>1539</v>
      </c>
      <c r="G16" s="121"/>
      <c r="H16" s="121"/>
      <c r="I16" s="121"/>
      <c r="J16" s="121"/>
      <c r="K16" s="121"/>
      <c r="L16" s="123"/>
      <c r="M16" s="89"/>
    </row>
    <row r="17" spans="1:14" ht="16.2" customHeight="1" x14ac:dyDescent="0.3">
      <c r="A17" s="104">
        <v>9</v>
      </c>
      <c r="B17" s="116" t="s">
        <v>976</v>
      </c>
      <c r="C17" s="99">
        <v>0.3</v>
      </c>
      <c r="D17" s="121">
        <v>0.2</v>
      </c>
      <c r="E17" s="121">
        <v>1.3</v>
      </c>
      <c r="F17" s="99">
        <v>0</v>
      </c>
      <c r="G17" s="121">
        <v>0</v>
      </c>
      <c r="H17" s="121">
        <v>0</v>
      </c>
      <c r="I17" s="121">
        <v>0</v>
      </c>
      <c r="J17" s="121">
        <v>0</v>
      </c>
      <c r="K17" s="121">
        <v>0</v>
      </c>
      <c r="L17" s="123">
        <v>0</v>
      </c>
      <c r="M17" s="89"/>
    </row>
    <row r="18" spans="1:14" ht="16.2" customHeight="1" x14ac:dyDescent="0.3">
      <c r="A18" s="106">
        <v>10</v>
      </c>
      <c r="B18" s="109" t="s">
        <v>977</v>
      </c>
      <c r="C18" s="101">
        <v>0</v>
      </c>
      <c r="D18" s="124">
        <v>0</v>
      </c>
      <c r="E18" s="124">
        <v>0</v>
      </c>
      <c r="F18" s="101">
        <v>0</v>
      </c>
      <c r="G18" s="124">
        <v>0</v>
      </c>
      <c r="H18" s="124">
        <v>0</v>
      </c>
      <c r="I18" s="124">
        <v>0</v>
      </c>
      <c r="J18" s="124">
        <v>0</v>
      </c>
      <c r="K18" s="124">
        <v>0</v>
      </c>
      <c r="L18" s="125">
        <v>0</v>
      </c>
      <c r="M18" s="90"/>
    </row>
    <row r="19" spans="1:14" x14ac:dyDescent="0.3">
      <c r="A19" s="104">
        <v>11</v>
      </c>
      <c r="B19" s="116" t="s">
        <v>250</v>
      </c>
      <c r="C19" s="99">
        <v>1729.6</v>
      </c>
      <c r="D19" s="121">
        <v>1737.5</v>
      </c>
      <c r="E19" s="121">
        <v>1743.9</v>
      </c>
      <c r="F19" s="99">
        <v>1729.6</v>
      </c>
      <c r="G19" s="121">
        <v>1740.5</v>
      </c>
      <c r="H19" s="121">
        <v>1749</v>
      </c>
      <c r="I19" s="121">
        <v>1753.6</v>
      </c>
      <c r="J19" s="121">
        <v>1769.7</v>
      </c>
      <c r="K19" s="121">
        <v>1774.8</v>
      </c>
      <c r="L19" s="123">
        <v>1777.4</v>
      </c>
      <c r="M19" s="89"/>
    </row>
    <row r="20" spans="1:14" x14ac:dyDescent="0.3">
      <c r="B20" s="78" t="s">
        <v>251</v>
      </c>
      <c r="C20" s="101" t="s">
        <v>1488</v>
      </c>
      <c r="D20" s="124"/>
      <c r="E20" s="124"/>
      <c r="F20" s="101" t="s">
        <v>1539</v>
      </c>
      <c r="G20" s="124"/>
      <c r="H20" s="124"/>
      <c r="I20" s="124"/>
      <c r="J20" s="124"/>
      <c r="K20" s="124"/>
      <c r="L20" s="125"/>
      <c r="M20" s="89"/>
    </row>
    <row r="21" spans="1:14" ht="16.2" customHeight="1" x14ac:dyDescent="0.3">
      <c r="A21" s="106">
        <v>12</v>
      </c>
      <c r="B21" s="109" t="s">
        <v>977</v>
      </c>
      <c r="C21" s="101">
        <v>0</v>
      </c>
      <c r="D21" s="124">
        <v>0</v>
      </c>
      <c r="E21" s="124">
        <v>0</v>
      </c>
      <c r="F21" s="101">
        <v>0</v>
      </c>
      <c r="G21" s="124">
        <v>0</v>
      </c>
      <c r="H21" s="124">
        <v>0</v>
      </c>
      <c r="I21" s="124">
        <v>0</v>
      </c>
      <c r="J21" s="124">
        <v>0</v>
      </c>
      <c r="K21" s="124">
        <v>0</v>
      </c>
      <c r="L21" s="125">
        <v>0</v>
      </c>
      <c r="M21" s="90"/>
    </row>
    <row r="22" spans="1:14" x14ac:dyDescent="0.3">
      <c r="A22" s="103">
        <v>13</v>
      </c>
      <c r="B22" s="76" t="s">
        <v>252</v>
      </c>
      <c r="C22" s="122">
        <v>739.2</v>
      </c>
      <c r="D22" s="126">
        <v>743.3</v>
      </c>
      <c r="E22" s="126">
        <v>752.1</v>
      </c>
      <c r="F22" s="122">
        <v>759.9</v>
      </c>
      <c r="G22" s="126">
        <v>775.8</v>
      </c>
      <c r="H22" s="126">
        <v>792</v>
      </c>
      <c r="I22" s="126">
        <v>792.9</v>
      </c>
      <c r="J22" s="126">
        <v>794.9</v>
      </c>
      <c r="K22" s="126">
        <v>796.9</v>
      </c>
      <c r="L22" s="127">
        <v>799.7</v>
      </c>
      <c r="M22" s="89"/>
    </row>
    <row r="23" spans="1:14" x14ac:dyDescent="0.3">
      <c r="A23" s="50">
        <v>14</v>
      </c>
      <c r="B23" s="113" t="s">
        <v>253</v>
      </c>
      <c r="C23" s="115">
        <v>3265.4</v>
      </c>
      <c r="D23" s="118">
        <v>3267.6</v>
      </c>
      <c r="E23" s="118">
        <v>3276.5</v>
      </c>
      <c r="F23" s="115">
        <v>3296.5</v>
      </c>
      <c r="G23" s="118">
        <v>3324.2</v>
      </c>
      <c r="H23" s="118">
        <v>3348.4</v>
      </c>
      <c r="I23" s="118">
        <v>3355.1</v>
      </c>
      <c r="J23" s="118">
        <v>3365.4</v>
      </c>
      <c r="K23" s="118">
        <v>3380.3</v>
      </c>
      <c r="L23" s="120">
        <v>3415.5</v>
      </c>
      <c r="M23" s="89"/>
    </row>
    <row r="24" spans="1:14" x14ac:dyDescent="0.3">
      <c r="A24" s="104">
        <v>15</v>
      </c>
      <c r="B24" s="116" t="s">
        <v>254</v>
      </c>
      <c r="C24" s="99">
        <v>1664.6</v>
      </c>
      <c r="D24" s="121">
        <v>1670.8</v>
      </c>
      <c r="E24" s="121">
        <v>1676.9</v>
      </c>
      <c r="F24" s="99">
        <v>1692.6</v>
      </c>
      <c r="G24" s="121">
        <v>1708.5</v>
      </c>
      <c r="H24" s="121">
        <v>1724.6</v>
      </c>
      <c r="I24" s="121">
        <v>1733.8</v>
      </c>
      <c r="J24" s="121">
        <v>1743.2</v>
      </c>
      <c r="K24" s="121">
        <v>1753.1</v>
      </c>
      <c r="L24" s="123">
        <v>1763.6</v>
      </c>
      <c r="M24" s="89"/>
    </row>
    <row r="25" spans="1:14" x14ac:dyDescent="0.3">
      <c r="A25" s="36">
        <v>16</v>
      </c>
      <c r="B25" s="135" t="s">
        <v>255</v>
      </c>
      <c r="C25" s="101">
        <v>1600.8</v>
      </c>
      <c r="D25" s="124">
        <v>1596.8</v>
      </c>
      <c r="E25" s="124">
        <v>1599.6</v>
      </c>
      <c r="F25" s="101">
        <v>1603.8</v>
      </c>
      <c r="G25" s="124">
        <v>1615.6</v>
      </c>
      <c r="H25" s="124">
        <v>1623.8</v>
      </c>
      <c r="I25" s="124">
        <v>1621.3</v>
      </c>
      <c r="J25" s="124">
        <v>1622.2</v>
      </c>
      <c r="K25" s="124">
        <v>1627.2</v>
      </c>
      <c r="L25" s="125">
        <v>1651.9</v>
      </c>
      <c r="M25" s="89"/>
    </row>
    <row r="26" spans="1:14" x14ac:dyDescent="0.3">
      <c r="A26" s="103">
        <v>17</v>
      </c>
      <c r="B26" s="76" t="s">
        <v>256</v>
      </c>
      <c r="C26" s="122">
        <v>3869.5</v>
      </c>
      <c r="D26" s="126">
        <v>3866.5</v>
      </c>
      <c r="E26" s="126">
        <v>3870.2</v>
      </c>
      <c r="F26" s="122">
        <v>3875.3</v>
      </c>
      <c r="G26" s="126">
        <v>3877.8</v>
      </c>
      <c r="H26" s="126">
        <v>3896.4</v>
      </c>
      <c r="I26" s="126">
        <v>3896.3</v>
      </c>
      <c r="J26" s="126">
        <v>3899.5</v>
      </c>
      <c r="K26" s="126">
        <v>3898.3</v>
      </c>
      <c r="L26" s="127">
        <v>3959.9</v>
      </c>
      <c r="M26" s="89"/>
    </row>
    <row r="27" spans="1:14" x14ac:dyDescent="0.3">
      <c r="A27" s="36">
        <v>18</v>
      </c>
      <c r="B27" s="135" t="s">
        <v>257</v>
      </c>
      <c r="C27" s="101">
        <v>3797.8</v>
      </c>
      <c r="D27" s="124">
        <v>3795.5</v>
      </c>
      <c r="E27" s="124">
        <v>3799.7</v>
      </c>
      <c r="F27" s="101">
        <v>3805.1</v>
      </c>
      <c r="G27" s="124">
        <v>3807.9</v>
      </c>
      <c r="H27" s="124">
        <v>3814.4</v>
      </c>
      <c r="I27" s="124">
        <v>3825.6</v>
      </c>
      <c r="J27" s="124">
        <v>3830.1</v>
      </c>
      <c r="K27" s="124">
        <v>3828.9</v>
      </c>
      <c r="L27" s="125">
        <v>3890.5</v>
      </c>
      <c r="M27" s="89"/>
    </row>
    <row r="28" spans="1:14" x14ac:dyDescent="0.3">
      <c r="A28" s="104">
        <v>19</v>
      </c>
      <c r="B28" s="116" t="s">
        <v>258</v>
      </c>
      <c r="C28" s="99">
        <v>1195.8</v>
      </c>
      <c r="D28" s="121">
        <v>1197.5999999999999</v>
      </c>
      <c r="E28" s="121">
        <v>1202.7</v>
      </c>
      <c r="F28" s="99">
        <v>1204.4000000000001</v>
      </c>
      <c r="G28" s="121">
        <v>1207.2</v>
      </c>
      <c r="H28" s="121">
        <v>1209</v>
      </c>
      <c r="I28" s="121">
        <v>1211</v>
      </c>
      <c r="J28" s="121">
        <v>1215.5999999999999</v>
      </c>
      <c r="K28" s="121">
        <v>1216.5999999999999</v>
      </c>
      <c r="L28" s="123">
        <v>1227.7</v>
      </c>
      <c r="M28" s="89"/>
    </row>
    <row r="29" spans="1:14" x14ac:dyDescent="0.3">
      <c r="A29" s="106">
        <v>20</v>
      </c>
      <c r="B29" s="107" t="s">
        <v>259</v>
      </c>
      <c r="C29" s="101">
        <v>905</v>
      </c>
      <c r="D29" s="124">
        <v>907.8</v>
      </c>
      <c r="E29" s="124">
        <v>911.2</v>
      </c>
      <c r="F29" s="101">
        <v>907.1</v>
      </c>
      <c r="G29" s="124">
        <v>911.6</v>
      </c>
      <c r="H29" s="124">
        <v>916.6</v>
      </c>
      <c r="I29" s="124">
        <v>914.1</v>
      </c>
      <c r="J29" s="124">
        <v>920.1</v>
      </c>
      <c r="K29" s="124">
        <v>926.7</v>
      </c>
      <c r="L29" s="125">
        <v>933.8</v>
      </c>
      <c r="M29" s="91">
        <v>942.65830121332203</v>
      </c>
    </row>
    <row r="30" spans="1:14" x14ac:dyDescent="0.3">
      <c r="A30" s="104"/>
      <c r="B30" s="77" t="s">
        <v>260</v>
      </c>
      <c r="C30" s="99" t="s">
        <v>1488</v>
      </c>
      <c r="D30" s="121" t="s">
        <v>1488</v>
      </c>
      <c r="E30" s="121" t="s">
        <v>1488</v>
      </c>
      <c r="F30" s="99" t="s">
        <v>1539</v>
      </c>
      <c r="G30" s="121" t="s">
        <v>1539</v>
      </c>
      <c r="H30" s="121" t="s">
        <v>1810</v>
      </c>
      <c r="I30" s="121" t="s">
        <v>1810</v>
      </c>
      <c r="J30" s="121" t="s">
        <v>1810</v>
      </c>
      <c r="K30" s="121" t="s">
        <v>1810</v>
      </c>
      <c r="L30" s="123" t="s">
        <v>1810</v>
      </c>
      <c r="M30" s="89"/>
      <c r="N30" s="73"/>
    </row>
    <row r="31" spans="1:14" ht="16.2" customHeight="1" x14ac:dyDescent="0.3">
      <c r="A31" s="104">
        <v>21</v>
      </c>
      <c r="B31" s="116" t="s">
        <v>978</v>
      </c>
      <c r="C31" s="99">
        <v>15.8</v>
      </c>
      <c r="D31" s="121">
        <v>15.8</v>
      </c>
      <c r="E31" s="121">
        <v>15.9</v>
      </c>
      <c r="F31" s="99">
        <v>7.9</v>
      </c>
      <c r="G31" s="121">
        <v>7.9</v>
      </c>
      <c r="H31" s="121">
        <v>8</v>
      </c>
      <c r="I31" s="121">
        <v>0</v>
      </c>
      <c r="J31" s="121">
        <v>0</v>
      </c>
      <c r="K31" s="121">
        <v>0</v>
      </c>
      <c r="L31" s="123">
        <v>0</v>
      </c>
      <c r="M31" s="89"/>
    </row>
    <row r="32" spans="1:14" x14ac:dyDescent="0.3">
      <c r="A32" s="106">
        <v>22</v>
      </c>
      <c r="B32" s="107" t="s">
        <v>261</v>
      </c>
      <c r="C32" s="101">
        <v>756.6</v>
      </c>
      <c r="D32" s="124">
        <v>763.8</v>
      </c>
      <c r="E32" s="124">
        <v>769</v>
      </c>
      <c r="F32" s="101">
        <v>780.7</v>
      </c>
      <c r="G32" s="124">
        <v>790.6</v>
      </c>
      <c r="H32" s="124">
        <v>797.2</v>
      </c>
      <c r="I32" s="124">
        <v>793.7</v>
      </c>
      <c r="J32" s="124">
        <v>789.9</v>
      </c>
      <c r="K32" s="124">
        <v>786.4</v>
      </c>
      <c r="L32" s="125">
        <v>783</v>
      </c>
      <c r="M32" s="91">
        <f>forecast!D11</f>
        <v>790.0916083556474</v>
      </c>
    </row>
    <row r="33" spans="1:13" x14ac:dyDescent="0.3">
      <c r="A33" s="106">
        <v>23</v>
      </c>
      <c r="B33" s="107" t="s">
        <v>262</v>
      </c>
      <c r="C33" s="99">
        <v>25.5</v>
      </c>
      <c r="D33" s="121">
        <v>23.6</v>
      </c>
      <c r="E33" s="121">
        <v>21.7</v>
      </c>
      <c r="F33" s="99">
        <v>19.5</v>
      </c>
      <c r="G33" s="121">
        <v>18.2</v>
      </c>
      <c r="H33" s="121">
        <v>18.100000000000001</v>
      </c>
      <c r="I33" s="121">
        <v>18.7</v>
      </c>
      <c r="J33" s="121">
        <v>18.899999999999999</v>
      </c>
      <c r="K33" s="121">
        <v>18</v>
      </c>
      <c r="L33" s="123">
        <v>18.899999999999999</v>
      </c>
      <c r="M33" s="91">
        <f>forecast!D9+forecast!D8</f>
        <v>18.420560747663554</v>
      </c>
    </row>
    <row r="34" spans="1:13" ht="16.2" customHeight="1" x14ac:dyDescent="0.3">
      <c r="B34" s="79" t="s">
        <v>979</v>
      </c>
      <c r="C34" s="101" t="s">
        <v>1488</v>
      </c>
      <c r="D34" s="124"/>
      <c r="E34" s="124"/>
      <c r="F34" s="101" t="s">
        <v>1539</v>
      </c>
      <c r="G34" s="124"/>
      <c r="H34" s="124"/>
      <c r="I34" s="124"/>
      <c r="J34" s="124"/>
      <c r="K34" s="124"/>
      <c r="L34" s="125"/>
      <c r="M34" s="89"/>
    </row>
    <row r="35" spans="1:13" x14ac:dyDescent="0.3">
      <c r="A35" s="36">
        <v>24</v>
      </c>
      <c r="B35" s="80" t="s">
        <v>263</v>
      </c>
      <c r="C35" s="101">
        <v>0.2</v>
      </c>
      <c r="D35" s="124">
        <v>0.2</v>
      </c>
      <c r="E35" s="124">
        <v>0.2</v>
      </c>
      <c r="F35" s="101">
        <v>0.1</v>
      </c>
      <c r="G35" s="124">
        <v>0</v>
      </c>
      <c r="H35" s="124">
        <v>0</v>
      </c>
      <c r="I35" s="124">
        <v>0</v>
      </c>
      <c r="J35" s="124">
        <v>0</v>
      </c>
      <c r="K35" s="124">
        <v>0</v>
      </c>
      <c r="L35" s="125">
        <v>0</v>
      </c>
      <c r="M35" s="89"/>
    </row>
    <row r="36" spans="1:13" x14ac:dyDescent="0.3">
      <c r="A36" s="104">
        <v>25</v>
      </c>
      <c r="B36" s="81" t="s">
        <v>264</v>
      </c>
      <c r="C36" s="99">
        <v>0.9</v>
      </c>
      <c r="D36" s="121">
        <v>0.8</v>
      </c>
      <c r="E36" s="121">
        <v>0.7</v>
      </c>
      <c r="F36" s="99">
        <v>0.7</v>
      </c>
      <c r="G36" s="121">
        <v>0.5</v>
      </c>
      <c r="H36" s="121">
        <v>0.4</v>
      </c>
      <c r="I36" s="121">
        <v>0.4</v>
      </c>
      <c r="J36" s="121">
        <v>0.3</v>
      </c>
      <c r="K36" s="121">
        <v>0.3</v>
      </c>
      <c r="L36" s="123">
        <v>0.2</v>
      </c>
      <c r="M36" s="89"/>
    </row>
    <row r="37" spans="1:13" x14ac:dyDescent="0.3">
      <c r="A37" s="36">
        <v>26</v>
      </c>
      <c r="B37" s="80" t="s">
        <v>265</v>
      </c>
      <c r="C37" s="101">
        <v>1</v>
      </c>
      <c r="D37" s="124">
        <v>0.7</v>
      </c>
      <c r="E37" s="124">
        <v>0.6</v>
      </c>
      <c r="F37" s="101">
        <v>0.5</v>
      </c>
      <c r="G37" s="124">
        <v>0.3</v>
      </c>
      <c r="H37" s="124">
        <v>0.3</v>
      </c>
      <c r="I37" s="124">
        <v>0.2</v>
      </c>
      <c r="J37" s="124">
        <v>0.2</v>
      </c>
      <c r="K37" s="124">
        <v>0.2</v>
      </c>
      <c r="L37" s="125">
        <v>0.1</v>
      </c>
      <c r="M37" s="89"/>
    </row>
    <row r="38" spans="1:13" x14ac:dyDescent="0.3">
      <c r="A38" s="104">
        <v>27</v>
      </c>
      <c r="B38" s="81" t="s">
        <v>266</v>
      </c>
      <c r="C38" s="99">
        <v>0</v>
      </c>
      <c r="D38" s="121">
        <v>0</v>
      </c>
      <c r="E38" s="121">
        <v>0</v>
      </c>
      <c r="F38" s="99">
        <v>0</v>
      </c>
      <c r="G38" s="121">
        <v>0</v>
      </c>
      <c r="H38" s="121">
        <v>0</v>
      </c>
      <c r="I38" s="121">
        <v>0</v>
      </c>
      <c r="J38" s="121">
        <v>0</v>
      </c>
      <c r="K38" s="121">
        <v>0</v>
      </c>
      <c r="L38" s="123">
        <v>0</v>
      </c>
      <c r="M38" s="89"/>
    </row>
    <row r="39" spans="1:13" x14ac:dyDescent="0.3">
      <c r="A39" s="36">
        <v>28</v>
      </c>
      <c r="B39" s="135" t="s">
        <v>267</v>
      </c>
      <c r="C39" s="101">
        <v>157.19999999999999</v>
      </c>
      <c r="D39" s="124">
        <v>157.6</v>
      </c>
      <c r="E39" s="124">
        <v>158.1</v>
      </c>
      <c r="F39" s="101">
        <v>159.1</v>
      </c>
      <c r="G39" s="124">
        <v>159.69999999999999</v>
      </c>
      <c r="H39" s="124">
        <v>160.4</v>
      </c>
      <c r="I39" s="124">
        <v>161.1</v>
      </c>
      <c r="J39" s="124">
        <v>161.6</v>
      </c>
      <c r="K39" s="124">
        <v>162.5</v>
      </c>
      <c r="L39" s="125">
        <v>163.19999999999999</v>
      </c>
      <c r="M39" s="89"/>
    </row>
    <row r="40" spans="1:13" x14ac:dyDescent="0.3">
      <c r="A40" s="104">
        <v>29</v>
      </c>
      <c r="B40" s="116" t="s">
        <v>268</v>
      </c>
      <c r="C40" s="99">
        <v>757.8</v>
      </c>
      <c r="D40" s="121">
        <v>745.1</v>
      </c>
      <c r="E40" s="121">
        <v>736.9</v>
      </c>
      <c r="F40" s="99">
        <v>734.2</v>
      </c>
      <c r="G40" s="121">
        <v>720.5</v>
      </c>
      <c r="H40" s="121">
        <v>713.2</v>
      </c>
      <c r="I40" s="121">
        <v>727.1</v>
      </c>
      <c r="J40" s="121">
        <v>723.9</v>
      </c>
      <c r="K40" s="121">
        <v>718.7</v>
      </c>
      <c r="L40" s="123">
        <v>764</v>
      </c>
      <c r="M40" s="89"/>
    </row>
    <row r="41" spans="1:13" x14ac:dyDescent="0.3">
      <c r="B41" s="79" t="s">
        <v>269</v>
      </c>
      <c r="C41" s="101" t="s">
        <v>1488</v>
      </c>
      <c r="D41" s="124"/>
      <c r="E41" s="124"/>
      <c r="F41" s="101" t="s">
        <v>1539</v>
      </c>
      <c r="G41" s="124"/>
      <c r="H41" s="124"/>
      <c r="I41" s="124"/>
      <c r="J41" s="124"/>
      <c r="K41" s="124"/>
      <c r="L41" s="125"/>
      <c r="M41" s="89"/>
    </row>
    <row r="42" spans="1:13" ht="16.2" customHeight="1" x14ac:dyDescent="0.3">
      <c r="A42" s="106">
        <v>30</v>
      </c>
      <c r="B42" s="108" t="s">
        <v>980</v>
      </c>
      <c r="C42" s="101">
        <v>94.3</v>
      </c>
      <c r="D42" s="124">
        <v>94.3</v>
      </c>
      <c r="E42" s="124">
        <v>94.3</v>
      </c>
      <c r="F42" s="101">
        <v>94.3</v>
      </c>
      <c r="G42" s="124">
        <v>94.3</v>
      </c>
      <c r="H42" s="124">
        <v>94.3</v>
      </c>
      <c r="I42" s="124">
        <v>94.3</v>
      </c>
      <c r="J42" s="124">
        <v>94.3</v>
      </c>
      <c r="K42" s="124">
        <v>94.3</v>
      </c>
      <c r="L42" s="125">
        <v>94.3</v>
      </c>
      <c r="M42" s="91">
        <f>'Social Benefits'!T21</f>
        <v>94.3</v>
      </c>
    </row>
    <row r="43" spans="1:13" ht="16.2" customHeight="1" x14ac:dyDescent="0.3">
      <c r="A43" s="106">
        <v>31</v>
      </c>
      <c r="B43" s="108" t="s">
        <v>981</v>
      </c>
      <c r="C43" s="99">
        <v>0</v>
      </c>
      <c r="D43" s="121">
        <v>0</v>
      </c>
      <c r="E43" s="121">
        <v>0</v>
      </c>
      <c r="F43" s="99">
        <v>0</v>
      </c>
      <c r="G43" s="121">
        <v>0</v>
      </c>
      <c r="H43" s="121">
        <v>0</v>
      </c>
      <c r="I43" s="121">
        <v>0</v>
      </c>
      <c r="J43" s="121">
        <v>0</v>
      </c>
      <c r="K43" s="121">
        <v>0</v>
      </c>
      <c r="L43" s="123">
        <v>0</v>
      </c>
      <c r="M43" s="90"/>
    </row>
    <row r="44" spans="1:13" ht="16.2" customHeight="1" x14ac:dyDescent="0.3">
      <c r="A44" s="36">
        <v>32</v>
      </c>
      <c r="B44" s="80" t="s">
        <v>982</v>
      </c>
      <c r="C44" s="101">
        <v>0</v>
      </c>
      <c r="D44" s="124">
        <v>0</v>
      </c>
      <c r="E44" s="124">
        <v>0</v>
      </c>
      <c r="F44" s="101">
        <v>0</v>
      </c>
      <c r="G44" s="124">
        <v>0</v>
      </c>
      <c r="H44" s="124">
        <v>0</v>
      </c>
      <c r="I44" s="124">
        <v>0</v>
      </c>
      <c r="J44" s="124">
        <v>0</v>
      </c>
      <c r="K44" s="124">
        <v>0</v>
      </c>
      <c r="L44" s="125">
        <v>0</v>
      </c>
      <c r="M44" s="89"/>
    </row>
    <row r="45" spans="1:13" ht="16.2" customHeight="1" x14ac:dyDescent="0.3">
      <c r="A45" s="106">
        <v>33</v>
      </c>
      <c r="B45" s="109" t="s">
        <v>983</v>
      </c>
      <c r="C45" s="99">
        <v>0</v>
      </c>
      <c r="D45" s="121">
        <v>0</v>
      </c>
      <c r="E45" s="121">
        <v>0</v>
      </c>
      <c r="F45" s="99">
        <v>0</v>
      </c>
      <c r="G45" s="121">
        <v>0</v>
      </c>
      <c r="H45" s="121">
        <v>0</v>
      </c>
      <c r="I45" s="121">
        <v>0</v>
      </c>
      <c r="J45" s="121">
        <v>0</v>
      </c>
      <c r="K45" s="121">
        <v>0</v>
      </c>
      <c r="L45" s="123">
        <v>0</v>
      </c>
      <c r="M45" s="90"/>
    </row>
    <row r="46" spans="1:13" ht="16.2" customHeight="1" x14ac:dyDescent="0.3">
      <c r="A46" s="106">
        <v>34</v>
      </c>
      <c r="B46" s="85" t="s">
        <v>984</v>
      </c>
      <c r="C46" s="101">
        <v>32.700000000000003</v>
      </c>
      <c r="D46" s="124">
        <v>23.6</v>
      </c>
      <c r="E46" s="124">
        <v>24.3</v>
      </c>
      <c r="F46" s="101">
        <v>27.3</v>
      </c>
      <c r="G46" s="124">
        <v>17.8</v>
      </c>
      <c r="H46" s="124">
        <v>14.8</v>
      </c>
      <c r="I46" s="124">
        <v>11.8</v>
      </c>
      <c r="J46" s="124">
        <v>9.8000000000000007</v>
      </c>
      <c r="K46" s="124">
        <v>2.8</v>
      </c>
      <c r="L46" s="125">
        <v>3.2</v>
      </c>
      <c r="M46" s="92">
        <f>'Provider Relief'!T11</f>
        <v>0</v>
      </c>
    </row>
    <row r="47" spans="1:13" x14ac:dyDescent="0.3">
      <c r="A47" s="104">
        <v>35</v>
      </c>
      <c r="B47" s="116" t="s">
        <v>270</v>
      </c>
      <c r="C47" s="99">
        <v>71.7</v>
      </c>
      <c r="D47" s="121">
        <v>71</v>
      </c>
      <c r="E47" s="121">
        <v>70.5</v>
      </c>
      <c r="F47" s="99">
        <v>70.2</v>
      </c>
      <c r="G47" s="121">
        <v>70</v>
      </c>
      <c r="H47" s="121">
        <v>82</v>
      </c>
      <c r="I47" s="121">
        <v>70.7</v>
      </c>
      <c r="J47" s="121">
        <v>69.400000000000006</v>
      </c>
      <c r="K47" s="121">
        <v>69.400000000000006</v>
      </c>
      <c r="L47" s="123">
        <v>69.400000000000006</v>
      </c>
      <c r="M47" s="89"/>
    </row>
    <row r="48" spans="1:13" x14ac:dyDescent="0.3">
      <c r="A48" s="50">
        <v>36</v>
      </c>
      <c r="B48" s="113" t="s">
        <v>271</v>
      </c>
      <c r="C48" s="115">
        <v>1623.6</v>
      </c>
      <c r="D48" s="118">
        <v>1635.9</v>
      </c>
      <c r="E48" s="118">
        <v>1644.7</v>
      </c>
      <c r="F48" s="115">
        <v>1651.8</v>
      </c>
      <c r="G48" s="118">
        <v>1661.2</v>
      </c>
      <c r="H48" s="118">
        <v>1661.3</v>
      </c>
      <c r="I48" s="118">
        <v>1674.5</v>
      </c>
      <c r="J48" s="118">
        <v>1680.9</v>
      </c>
      <c r="K48" s="118">
        <v>1690.7</v>
      </c>
      <c r="L48" s="120">
        <v>1698.1</v>
      </c>
      <c r="M48" s="98">
        <f>Taxes!T13+Taxes!T24</f>
        <v>1712.7249451718719</v>
      </c>
    </row>
    <row r="49" spans="1:14" x14ac:dyDescent="0.3">
      <c r="A49" s="103">
        <v>37</v>
      </c>
      <c r="B49" s="76" t="s">
        <v>272</v>
      </c>
      <c r="C49" s="122">
        <v>3125.7</v>
      </c>
      <c r="D49" s="126">
        <v>3147</v>
      </c>
      <c r="E49" s="126">
        <v>3163.7</v>
      </c>
      <c r="F49" s="122">
        <v>3183.6</v>
      </c>
      <c r="G49" s="126">
        <v>3199.3</v>
      </c>
      <c r="H49" s="126">
        <v>3198.5</v>
      </c>
      <c r="I49" s="126">
        <v>3225.5</v>
      </c>
      <c r="J49" s="126">
        <v>3238.6</v>
      </c>
      <c r="K49" s="126">
        <v>3267.8</v>
      </c>
      <c r="L49" s="127">
        <v>3290.2</v>
      </c>
      <c r="M49" s="98">
        <f>Taxes!T10+Taxes!T23</f>
        <v>3294.6339385910173</v>
      </c>
    </row>
    <row r="50" spans="1:14" x14ac:dyDescent="0.3">
      <c r="A50" s="50">
        <v>38</v>
      </c>
      <c r="B50" s="113" t="s">
        <v>273</v>
      </c>
      <c r="C50" s="115">
        <v>18080</v>
      </c>
      <c r="D50" s="118">
        <v>18172.5</v>
      </c>
      <c r="E50" s="118">
        <v>18270.599999999999</v>
      </c>
      <c r="F50" s="115">
        <v>18320</v>
      </c>
      <c r="G50" s="118">
        <v>18425</v>
      </c>
      <c r="H50" s="118">
        <v>18488.5</v>
      </c>
      <c r="I50" s="118">
        <v>18565</v>
      </c>
      <c r="J50" s="118">
        <v>18626.2</v>
      </c>
      <c r="K50" s="118">
        <v>18685.5</v>
      </c>
      <c r="L50" s="120">
        <v>18818.5</v>
      </c>
      <c r="M50" s="89"/>
      <c r="N50" s="73"/>
    </row>
    <row r="51" spans="1:14" x14ac:dyDescent="0.3">
      <c r="A51" s="103">
        <v>39</v>
      </c>
      <c r="B51" s="76" t="s">
        <v>274</v>
      </c>
      <c r="C51" s="122">
        <v>17234.400000000001</v>
      </c>
      <c r="D51" s="126">
        <v>17359.2</v>
      </c>
      <c r="E51" s="126">
        <v>17574.8</v>
      </c>
      <c r="F51" s="122">
        <v>17645.400000000001</v>
      </c>
      <c r="G51" s="126">
        <v>17768.400000000001</v>
      </c>
      <c r="H51" s="126">
        <v>17982.2</v>
      </c>
      <c r="I51" s="126">
        <v>17971.2</v>
      </c>
      <c r="J51" s="126">
        <v>18106</v>
      </c>
      <c r="K51" s="126">
        <v>18237.8</v>
      </c>
      <c r="L51" s="127">
        <v>18392</v>
      </c>
      <c r="M51" s="89"/>
      <c r="N51" s="73">
        <f>K49/C49-1</f>
        <v>4.5461816553092227E-2</v>
      </c>
    </row>
    <row r="52" spans="1:14" x14ac:dyDescent="0.3">
      <c r="A52" s="36">
        <v>40</v>
      </c>
      <c r="B52" s="135" t="s">
        <v>275</v>
      </c>
      <c r="C52" s="101">
        <v>16725.599999999999</v>
      </c>
      <c r="D52" s="124">
        <v>16844.5</v>
      </c>
      <c r="E52" s="124">
        <v>17054.2</v>
      </c>
      <c r="F52" s="101">
        <v>17115.599999999999</v>
      </c>
      <c r="G52" s="124">
        <v>17231.099999999999</v>
      </c>
      <c r="H52" s="124">
        <v>17437.400000000001</v>
      </c>
      <c r="I52" s="124">
        <v>17405</v>
      </c>
      <c r="J52" s="124">
        <v>17518.2</v>
      </c>
      <c r="K52" s="124">
        <v>17628.2</v>
      </c>
      <c r="L52" s="125">
        <v>17776.099999999999</v>
      </c>
      <c r="M52" s="89"/>
    </row>
    <row r="53" spans="1:14" x14ac:dyDescent="0.3">
      <c r="A53" s="104">
        <v>41</v>
      </c>
      <c r="B53" s="116" t="s">
        <v>276</v>
      </c>
      <c r="C53" s="99">
        <v>288.10000000000002</v>
      </c>
      <c r="D53" s="121">
        <v>293.5</v>
      </c>
      <c r="E53" s="121">
        <v>298.8</v>
      </c>
      <c r="F53" s="99">
        <v>306</v>
      </c>
      <c r="G53" s="121">
        <v>313.10000000000002</v>
      </c>
      <c r="H53" s="121">
        <v>320.2</v>
      </c>
      <c r="I53" s="121">
        <v>341.6</v>
      </c>
      <c r="J53" s="121">
        <v>363</v>
      </c>
      <c r="K53" s="121">
        <v>384.4</v>
      </c>
      <c r="L53" s="123">
        <v>390.6</v>
      </c>
      <c r="M53" s="89"/>
    </row>
    <row r="54" spans="1:14" x14ac:dyDescent="0.3">
      <c r="B54" s="82" t="s">
        <v>277</v>
      </c>
      <c r="C54" s="101" t="s">
        <v>1488</v>
      </c>
      <c r="D54" s="124"/>
      <c r="E54" s="124"/>
      <c r="F54" s="101" t="s">
        <v>1539</v>
      </c>
      <c r="G54" s="124"/>
      <c r="H54" s="124"/>
      <c r="I54" s="124"/>
      <c r="J54" s="124"/>
      <c r="K54" s="124"/>
      <c r="L54" s="125"/>
      <c r="M54" s="89"/>
    </row>
    <row r="55" spans="1:14" ht="16.2" customHeight="1" x14ac:dyDescent="0.3">
      <c r="A55" s="36">
        <v>42</v>
      </c>
      <c r="B55" s="80" t="s">
        <v>985</v>
      </c>
      <c r="C55" s="101">
        <v>-37.799999999999997</v>
      </c>
      <c r="D55" s="124">
        <v>-37.799999999999997</v>
      </c>
      <c r="E55" s="124">
        <v>-37.799999999999997</v>
      </c>
      <c r="F55" s="101">
        <v>-37.799999999999997</v>
      </c>
      <c r="G55" s="124">
        <v>-37.799999999999997</v>
      </c>
      <c r="H55" s="124">
        <v>-37.799999999999997</v>
      </c>
      <c r="I55" s="124">
        <v>-37.799999999999997</v>
      </c>
      <c r="J55" s="124">
        <v>-37.799999999999997</v>
      </c>
      <c r="K55" s="124">
        <v>-37.799999999999997</v>
      </c>
      <c r="L55" s="125">
        <v>-37.799999999999997</v>
      </c>
      <c r="M55" s="89"/>
    </row>
    <row r="56" spans="1:14" x14ac:dyDescent="0.3">
      <c r="A56" s="104">
        <v>43</v>
      </c>
      <c r="B56" s="116" t="s">
        <v>278</v>
      </c>
      <c r="C56" s="99">
        <v>220.7</v>
      </c>
      <c r="D56" s="121">
        <v>221.3</v>
      </c>
      <c r="E56" s="121">
        <v>221.8</v>
      </c>
      <c r="F56" s="99">
        <v>223.8</v>
      </c>
      <c r="G56" s="121">
        <v>224.2</v>
      </c>
      <c r="H56" s="121">
        <v>224.6</v>
      </c>
      <c r="I56" s="121">
        <v>224.5</v>
      </c>
      <c r="J56" s="121">
        <v>224.8</v>
      </c>
      <c r="K56" s="121">
        <v>225.1</v>
      </c>
      <c r="L56" s="123">
        <v>225.3</v>
      </c>
      <c r="M56" s="89"/>
    </row>
    <row r="57" spans="1:14" x14ac:dyDescent="0.3">
      <c r="A57" s="36">
        <v>44</v>
      </c>
      <c r="B57" s="135" t="s">
        <v>279</v>
      </c>
      <c r="C57" s="101">
        <v>113.6</v>
      </c>
      <c r="D57" s="124">
        <v>114.1</v>
      </c>
      <c r="E57" s="124">
        <v>114.6</v>
      </c>
      <c r="F57" s="101">
        <v>115</v>
      </c>
      <c r="G57" s="124">
        <v>115.4</v>
      </c>
      <c r="H57" s="124">
        <v>115.8</v>
      </c>
      <c r="I57" s="124">
        <v>116.1</v>
      </c>
      <c r="J57" s="124">
        <v>116.4</v>
      </c>
      <c r="K57" s="124">
        <v>116.7</v>
      </c>
      <c r="L57" s="125">
        <v>116.9</v>
      </c>
      <c r="M57" s="89"/>
    </row>
    <row r="58" spans="1:14" x14ac:dyDescent="0.3">
      <c r="A58" s="104">
        <v>45</v>
      </c>
      <c r="B58" s="116" t="s">
        <v>280</v>
      </c>
      <c r="C58" s="99">
        <v>107.2</v>
      </c>
      <c r="D58" s="121">
        <v>107.2</v>
      </c>
      <c r="E58" s="121">
        <v>107.2</v>
      </c>
      <c r="F58" s="99">
        <v>108.8</v>
      </c>
      <c r="G58" s="121">
        <v>108.8</v>
      </c>
      <c r="H58" s="121">
        <v>108.8</v>
      </c>
      <c r="I58" s="121">
        <v>108.4</v>
      </c>
      <c r="J58" s="121">
        <v>108.4</v>
      </c>
      <c r="K58" s="121">
        <v>108.4</v>
      </c>
      <c r="L58" s="123">
        <v>108.4</v>
      </c>
      <c r="M58" s="89"/>
    </row>
    <row r="59" spans="1:14" ht="15" customHeight="1" x14ac:dyDescent="0.3">
      <c r="A59" s="105">
        <v>46</v>
      </c>
      <c r="B59" s="83" t="s">
        <v>281</v>
      </c>
      <c r="C59" s="131">
        <v>845.6</v>
      </c>
      <c r="D59" s="128">
        <v>813.3</v>
      </c>
      <c r="E59" s="128">
        <v>695.8</v>
      </c>
      <c r="F59" s="131">
        <v>674.7</v>
      </c>
      <c r="G59" s="128">
        <v>656.6</v>
      </c>
      <c r="H59" s="128">
        <v>506.3</v>
      </c>
      <c r="I59" s="128">
        <v>593.79999999999995</v>
      </c>
      <c r="J59" s="128">
        <v>520.20000000000005</v>
      </c>
      <c r="K59" s="128">
        <v>447.8</v>
      </c>
      <c r="L59" s="129">
        <v>426.5</v>
      </c>
      <c r="M59" s="93"/>
    </row>
    <row r="61" spans="1:14" x14ac:dyDescent="0.3">
      <c r="A61" s="36" t="s">
        <v>282</v>
      </c>
      <c r="B61" s="36" t="s">
        <v>283</v>
      </c>
      <c r="I61" s="36"/>
      <c r="J61" s="36"/>
      <c r="K61" s="36"/>
      <c r="L61" s="36"/>
    </row>
    <row r="62" spans="1:14" x14ac:dyDescent="0.3">
      <c r="A62" s="36" t="s">
        <v>284</v>
      </c>
      <c r="B62" s="36" t="s">
        <v>285</v>
      </c>
    </row>
    <row r="63" spans="1:14" x14ac:dyDescent="0.3">
      <c r="A63" s="36" t="s">
        <v>286</v>
      </c>
      <c r="B63" s="36" t="s">
        <v>287</v>
      </c>
    </row>
    <row r="64" spans="1:14" x14ac:dyDescent="0.3">
      <c r="A64" s="36" t="s">
        <v>288</v>
      </c>
      <c r="B64" s="36" t="s">
        <v>289</v>
      </c>
    </row>
    <row r="66" spans="1:7" x14ac:dyDescent="0.3">
      <c r="A66" s="1086" t="s">
        <v>958</v>
      </c>
      <c r="B66" s="1086"/>
      <c r="C66" s="1086"/>
      <c r="D66" s="1086"/>
      <c r="E66" s="1086"/>
      <c r="F66" s="1086"/>
      <c r="G66" s="1086"/>
    </row>
    <row r="67" spans="1:7" x14ac:dyDescent="0.3">
      <c r="A67" s="1084" t="s">
        <v>959</v>
      </c>
      <c r="B67" s="1084"/>
      <c r="C67" s="1084"/>
      <c r="D67" s="1084"/>
      <c r="E67" s="1084"/>
      <c r="F67" s="1084"/>
      <c r="G67" s="1084"/>
    </row>
    <row r="68" spans="1:7" x14ac:dyDescent="0.3">
      <c r="A68" s="1083" t="s">
        <v>960</v>
      </c>
      <c r="B68" s="1083"/>
      <c r="C68" s="1083"/>
      <c r="D68" s="1083"/>
      <c r="E68" s="1083"/>
      <c r="F68" s="1083"/>
      <c r="G68" s="1083"/>
    </row>
    <row r="69" spans="1:7" x14ac:dyDescent="0.3">
      <c r="A69" s="1085" t="s">
        <v>961</v>
      </c>
      <c r="B69" s="1085"/>
      <c r="C69" s="1085"/>
      <c r="D69" s="1085"/>
      <c r="E69" s="1085"/>
      <c r="F69" s="1085"/>
      <c r="G69" s="1085"/>
    </row>
    <row r="70" spans="1:7" x14ac:dyDescent="0.3">
      <c r="A70" s="1086" t="s">
        <v>962</v>
      </c>
      <c r="B70" s="1086"/>
      <c r="C70" s="1086"/>
      <c r="D70" s="1086"/>
      <c r="E70" s="1086"/>
      <c r="F70" s="1086"/>
      <c r="G70" s="1086"/>
    </row>
    <row r="71" spans="1:7" x14ac:dyDescent="0.3">
      <c r="A71" s="1084" t="s">
        <v>963</v>
      </c>
      <c r="B71" s="1084"/>
      <c r="C71" s="1084"/>
      <c r="D71" s="1084"/>
      <c r="E71" s="1084"/>
      <c r="F71" s="1084"/>
      <c r="G71" s="1084"/>
    </row>
    <row r="72" spans="1:7" x14ac:dyDescent="0.3">
      <c r="A72" s="1083" t="s">
        <v>964</v>
      </c>
      <c r="B72" s="1083"/>
      <c r="C72" s="1083"/>
      <c r="D72" s="1083"/>
      <c r="E72" s="1083"/>
      <c r="F72" s="1083"/>
      <c r="G72" s="1083"/>
    </row>
    <row r="73" spans="1:7" x14ac:dyDescent="0.3">
      <c r="A73" s="1083" t="s">
        <v>965</v>
      </c>
      <c r="B73" s="1083"/>
      <c r="C73" s="1083"/>
      <c r="D73" s="1083"/>
      <c r="E73" s="1083"/>
      <c r="F73" s="1083"/>
      <c r="G73" s="1083"/>
    </row>
    <row r="74" spans="1:7" x14ac:dyDescent="0.3">
      <c r="A74" s="1084" t="s">
        <v>966</v>
      </c>
      <c r="B74" s="1084"/>
      <c r="C74" s="1084"/>
      <c r="D74" s="1084"/>
      <c r="E74" s="1084"/>
      <c r="F74" s="1084"/>
      <c r="G74" s="1084"/>
    </row>
    <row r="76" spans="1:7" x14ac:dyDescent="0.3">
      <c r="A76" s="1085" t="s">
        <v>967</v>
      </c>
      <c r="B76" s="1085"/>
      <c r="C76" s="1085"/>
      <c r="D76" s="1085"/>
      <c r="E76" s="1085"/>
      <c r="F76" s="1085"/>
      <c r="G76" s="1085"/>
    </row>
    <row r="78" spans="1:7" x14ac:dyDescent="0.3">
      <c r="A78" s="36" t="s">
        <v>290</v>
      </c>
    </row>
    <row r="80" spans="1:7" x14ac:dyDescent="0.3">
      <c r="A80" s="36" t="s">
        <v>291</v>
      </c>
    </row>
    <row r="82" spans="1:1" x14ac:dyDescent="0.3">
      <c r="A82" s="111"/>
    </row>
    <row r="88" spans="1:1" x14ac:dyDescent="0.3">
      <c r="A88" s="110"/>
    </row>
    <row r="89" spans="1:1" x14ac:dyDescent="0.3">
      <c r="A89" s="110"/>
    </row>
    <row r="90" spans="1:1" x14ac:dyDescent="0.3">
      <c r="A90" s="110"/>
    </row>
  </sheetData>
  <mergeCells count="15">
    <mergeCell ref="A2:Q2"/>
    <mergeCell ref="A3:Q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October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Cares Act Scores</vt:lpstr>
      <vt:lpstr>IRA and CHIPS</vt:lpstr>
      <vt:lpstr>Response and Relief Act Score</vt:lpstr>
      <vt:lpstr>ARP Score</vt:lpstr>
      <vt:lpstr>ARP Timing</vt:lpstr>
      <vt:lpstr>ARP Quarterly</vt:lpstr>
      <vt:lpstr>deflators_raw</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2022-12-01T21:42:04Z</dcterms:modified>
  <cp:category/>
  <cp:contentStatus/>
</cp:coreProperties>
</file>