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8CBE4627-AC1F-4188-AEF4-27288D682388}" xr6:coauthVersionLast="47" xr6:coauthVersionMax="47" xr10:uidLastSave="{00000000-0000-0000-0000-000000000000}"/>
  <bookViews>
    <workbookView xWindow="28680" yWindow="-120" windowWidth="29040" windowHeight="15840" activeTab="3"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MPI" sheetId="6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s>
  <externalReferences>
    <externalReference r:id="rId2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3" i="25" l="1"/>
  <c r="R22"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M12" i="21"/>
  <c r="H12" i="21"/>
  <c r="V11" i="21"/>
  <c r="U11" i="21"/>
  <c r="T11" i="21"/>
  <c r="S11" i="21"/>
  <c r="R11" i="21"/>
  <c r="G81" i="21" s="1"/>
  <c r="Q11" i="21"/>
  <c r="P11" i="21"/>
  <c r="O11" i="21"/>
  <c r="N11" i="21"/>
  <c r="F81" i="21" s="1"/>
  <c r="M11" i="21"/>
  <c r="L11" i="21"/>
  <c r="K11" i="21"/>
  <c r="J11" i="21"/>
  <c r="E81" i="21" s="1"/>
  <c r="I11" i="21"/>
  <c r="H11" i="21"/>
  <c r="G11" i="21"/>
  <c r="F11" i="21"/>
  <c r="D81" i="21" s="1"/>
  <c r="T10" i="21"/>
  <c r="L10" i="21"/>
  <c r="J10" i="21"/>
  <c r="C8" i="21"/>
  <c r="R7" i="21"/>
  <c r="J7" i="21"/>
  <c r="H7" i="21"/>
  <c r="O6" i="21"/>
  <c r="M6" i="21"/>
  <c r="G6" i="21"/>
  <c r="T5" i="21"/>
  <c r="D5" i="21"/>
  <c r="N17" i="59" s="1"/>
  <c r="D4" i="21"/>
  <c r="S3" i="21"/>
  <c r="Q3" i="21"/>
  <c r="M3" i="21"/>
  <c r="H3" i="21"/>
  <c r="D1" i="21"/>
  <c r="C19" i="6"/>
  <c r="B19" i="6"/>
  <c r="R17" i="6"/>
  <c r="Q17" i="6"/>
  <c r="U16" i="6"/>
  <c r="T16" i="6"/>
  <c r="T17" i="6" s="1"/>
  <c r="S16" i="6"/>
  <c r="V49" i="21" s="1"/>
  <c r="R16" i="6"/>
  <c r="U49" i="21" s="1"/>
  <c r="Q16" i="6"/>
  <c r="T49" i="21" s="1"/>
  <c r="P16" i="6"/>
  <c r="S49" i="21" s="1"/>
  <c r="O16" i="6"/>
  <c r="R49" i="21" s="1"/>
  <c r="N16" i="6"/>
  <c r="Q49" i="21" s="1"/>
  <c r="C9" i="6"/>
  <c r="U6" i="6"/>
  <c r="V3" i="21" s="1"/>
  <c r="T6" i="6"/>
  <c r="S6" i="6"/>
  <c r="R6" i="6"/>
  <c r="Q6" i="6"/>
  <c r="P6" i="6"/>
  <c r="O6" i="6"/>
  <c r="P3" i="21" s="1"/>
  <c r="N6" i="6"/>
  <c r="O3" i="21" s="1"/>
  <c r="M6" i="6"/>
  <c r="N3" i="21" s="1"/>
  <c r="L6" i="6"/>
  <c r="K6" i="6"/>
  <c r="J6" i="6"/>
  <c r="K3" i="21" s="1"/>
  <c r="I6" i="6"/>
  <c r="H6" i="6"/>
  <c r="G6" i="6"/>
  <c r="F6" i="6"/>
  <c r="G3" i="21" s="1"/>
  <c r="E6" i="6"/>
  <c r="F3" i="21" s="1"/>
  <c r="D6" i="6"/>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D15" i="5"/>
  <c r="C15" i="5"/>
  <c r="B15" i="5"/>
  <c r="E15" i="5" s="1"/>
  <c r="N14" i="5"/>
  <c r="M14" i="5"/>
  <c r="K14" i="5"/>
  <c r="J14" i="5"/>
  <c r="I14" i="5"/>
  <c r="H14" i="5"/>
  <c r="G14" i="5"/>
  <c r="F14" i="5"/>
  <c r="D14" i="5"/>
  <c r="C14" i="5"/>
  <c r="B14" i="5"/>
  <c r="E14" i="5" s="1"/>
  <c r="N13" i="5"/>
  <c r="M13" i="5"/>
  <c r="K13" i="5"/>
  <c r="J13" i="5"/>
  <c r="I13" i="5"/>
  <c r="H13" i="5"/>
  <c r="G13" i="5"/>
  <c r="F13" i="5"/>
  <c r="D13" i="5"/>
  <c r="C13" i="5"/>
  <c r="B13" i="5"/>
  <c r="E13" i="5" s="1"/>
  <c r="N12" i="5"/>
  <c r="M12" i="5"/>
  <c r="K12" i="5"/>
  <c r="J12" i="5"/>
  <c r="I12" i="5"/>
  <c r="H12" i="5"/>
  <c r="G12" i="5"/>
  <c r="F12" i="5"/>
  <c r="D12" i="5"/>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F10" i="5"/>
  <c r="V5" i="21" s="1"/>
  <c r="D10" i="5"/>
  <c r="C10" i="5"/>
  <c r="B10" i="5"/>
  <c r="E10" i="5" s="1"/>
  <c r="V4" i="21" s="1"/>
  <c r="N9" i="5"/>
  <c r="M9" i="5"/>
  <c r="K9" i="5"/>
  <c r="R10" i="21" s="1"/>
  <c r="J9" i="5"/>
  <c r="T9" i="21" s="1"/>
  <c r="I9" i="5"/>
  <c r="H9" i="5"/>
  <c r="S7" i="21" s="1"/>
  <c r="G9" i="5"/>
  <c r="F9" i="5"/>
  <c r="D9" i="5"/>
  <c r="C9" i="5"/>
  <c r="T3" i="21" s="1"/>
  <c r="B9" i="5"/>
  <c r="E9" i="5" s="1"/>
  <c r="N8" i="5"/>
  <c r="M8" i="5"/>
  <c r="K8" i="5"/>
  <c r="J8" i="5"/>
  <c r="Q9" i="21" s="1"/>
  <c r="I8" i="5"/>
  <c r="H8" i="5"/>
  <c r="P7" i="21" s="1"/>
  <c r="G8" i="5"/>
  <c r="Q6" i="21" s="1"/>
  <c r="F8" i="5"/>
  <c r="D8" i="5"/>
  <c r="C8" i="5"/>
  <c r="B8" i="5"/>
  <c r="N7" i="5"/>
  <c r="M7" i="5"/>
  <c r="K12" i="21" s="1"/>
  <c r="K7" i="5"/>
  <c r="J7" i="5"/>
  <c r="I7" i="5"/>
  <c r="H7" i="5"/>
  <c r="K7" i="21" s="1"/>
  <c r="G7" i="5"/>
  <c r="F7" i="5"/>
  <c r="D7" i="5"/>
  <c r="C7" i="5"/>
  <c r="L3" i="21" s="1"/>
  <c r="B7" i="5"/>
  <c r="N6" i="5"/>
  <c r="M6" i="5"/>
  <c r="K6" i="5"/>
  <c r="J6" i="5"/>
  <c r="I6" i="5"/>
  <c r="I16" i="5" s="1"/>
  <c r="H6" i="5"/>
  <c r="G6" i="5"/>
  <c r="F6" i="5"/>
  <c r="G5" i="21" s="1"/>
  <c r="D6" i="5"/>
  <c r="C6" i="5"/>
  <c r="I3" i="21" s="1"/>
  <c r="B6" i="5"/>
  <c r="E6" i="5" s="1"/>
  <c r="N5" i="5"/>
  <c r="M5" i="5"/>
  <c r="C12" i="21" s="1"/>
  <c r="L5" i="5"/>
  <c r="C11" i="21" s="1"/>
  <c r="K5" i="5"/>
  <c r="C10" i="21" s="1"/>
  <c r="J5" i="5"/>
  <c r="C9" i="21" s="1"/>
  <c r="I5" i="5"/>
  <c r="H5" i="5"/>
  <c r="C7" i="21" s="1"/>
  <c r="G5" i="5"/>
  <c r="E5" i="5"/>
  <c r="C4" i="21" s="1"/>
  <c r="D5" i="5"/>
  <c r="D16" i="5" s="1"/>
  <c r="C5" i="5"/>
  <c r="F5" i="5" s="1"/>
  <c r="B5" i="5"/>
  <c r="F17" i="27"/>
  <c r="F16" i="27"/>
  <c r="F15" i="27"/>
  <c r="F14" i="27"/>
  <c r="F13" i="27"/>
  <c r="F12" i="27"/>
  <c r="F11" i="27"/>
  <c r="F9" i="27"/>
  <c r="F8" i="27"/>
  <c r="F7" i="27"/>
  <c r="F6" i="27"/>
  <c r="F5" i="27"/>
  <c r="B3" i="27"/>
  <c r="X112" i="48"/>
  <c r="U112" i="48"/>
  <c r="V112" i="48" s="1"/>
  <c r="W112" i="48" s="1"/>
  <c r="W21" i="48" s="1"/>
  <c r="S112" i="48"/>
  <c r="S21" i="48" s="1"/>
  <c r="M112" i="48"/>
  <c r="Q107" i="48"/>
  <c r="P107" i="48"/>
  <c r="O107" i="48"/>
  <c r="N107" i="48"/>
  <c r="M107" i="48"/>
  <c r="L107" i="48"/>
  <c r="K107" i="48"/>
  <c r="J107" i="48"/>
  <c r="I107" i="48"/>
  <c r="H107" i="48"/>
  <c r="G107" i="48"/>
  <c r="F107" i="48"/>
  <c r="Q106" i="48"/>
  <c r="P106" i="48"/>
  <c r="O106" i="48"/>
  <c r="N106" i="48"/>
  <c r="M106" i="48"/>
  <c r="M111" i="48" s="1"/>
  <c r="L106" i="48"/>
  <c r="K106" i="48"/>
  <c r="J106" i="48"/>
  <c r="I106" i="48"/>
  <c r="H106" i="48"/>
  <c r="G106" i="48"/>
  <c r="F106" i="48"/>
  <c r="Q104" i="48"/>
  <c r="P104" i="48"/>
  <c r="O104" i="48"/>
  <c r="N104" i="48"/>
  <c r="M104" i="48"/>
  <c r="L104" i="48"/>
  <c r="K104" i="48"/>
  <c r="J104" i="48"/>
  <c r="I104" i="48"/>
  <c r="H104" i="48"/>
  <c r="G104" i="48"/>
  <c r="F104" i="48"/>
  <c r="Q103" i="48"/>
  <c r="P103" i="48"/>
  <c r="O103" i="48"/>
  <c r="N103" i="48"/>
  <c r="M103" i="48"/>
  <c r="L103" i="48"/>
  <c r="K103" i="48"/>
  <c r="J103" i="48"/>
  <c r="I103" i="48"/>
  <c r="H103" i="48"/>
  <c r="G103" i="48"/>
  <c r="F103" i="48"/>
  <c r="Q102" i="48"/>
  <c r="P102" i="48"/>
  <c r="O102" i="48"/>
  <c r="N102" i="48"/>
  <c r="M102" i="48"/>
  <c r="L102" i="48"/>
  <c r="K102" i="48"/>
  <c r="J102" i="48"/>
  <c r="I102" i="48"/>
  <c r="H102" i="48"/>
  <c r="G102" i="48"/>
  <c r="F102" i="48"/>
  <c r="F100" i="48" s="1"/>
  <c r="Q101" i="48"/>
  <c r="Q105" i="48" s="1"/>
  <c r="P101" i="48"/>
  <c r="P105" i="48" s="1"/>
  <c r="O101" i="48"/>
  <c r="O105" i="48" s="1"/>
  <c r="N101" i="48"/>
  <c r="N105" i="48" s="1"/>
  <c r="N96" i="48" s="1"/>
  <c r="H78" i="48" s="1"/>
  <c r="I78" i="48" s="1"/>
  <c r="J78" i="48" s="1"/>
  <c r="K78" i="48" s="1"/>
  <c r="L78" i="48" s="1"/>
  <c r="M101" i="48"/>
  <c r="M105" i="48" s="1"/>
  <c r="L101" i="48"/>
  <c r="L105" i="48" s="1"/>
  <c r="K101" i="48"/>
  <c r="K105" i="48" s="1"/>
  <c r="J101" i="48"/>
  <c r="I101" i="48"/>
  <c r="I105" i="48" s="1"/>
  <c r="H101" i="48"/>
  <c r="H105" i="48" s="1"/>
  <c r="G101" i="48"/>
  <c r="G105" i="48" s="1"/>
  <c r="F101" i="48"/>
  <c r="F105" i="48" s="1"/>
  <c r="P100" i="48"/>
  <c r="O100" i="48"/>
  <c r="M100" i="48"/>
  <c r="M109" i="48" s="1"/>
  <c r="L100" i="48"/>
  <c r="K100" i="48"/>
  <c r="H100" i="48"/>
  <c r="G100" i="48"/>
  <c r="J98" i="48"/>
  <c r="P97" i="48"/>
  <c r="L97" i="48"/>
  <c r="K97" i="48"/>
  <c r="H97" i="48"/>
  <c r="L95" i="48"/>
  <c r="AC85" i="48"/>
  <c r="AB85" i="48"/>
  <c r="AA85" i="48"/>
  <c r="Z85" i="48"/>
  <c r="Y85" i="48"/>
  <c r="X85" i="48"/>
  <c r="W85" i="48"/>
  <c r="V85" i="48"/>
  <c r="U85" i="48"/>
  <c r="T85" i="48"/>
  <c r="S85" i="48"/>
  <c r="R85" i="48"/>
  <c r="Q85" i="48"/>
  <c r="P85" i="48"/>
  <c r="O85" i="48"/>
  <c r="N85" i="48"/>
  <c r="M85" i="48"/>
  <c r="L85" i="48"/>
  <c r="K85" i="48"/>
  <c r="J85" i="48"/>
  <c r="I85" i="48"/>
  <c r="H85" i="48"/>
  <c r="G85" i="48"/>
  <c r="F85" i="48"/>
  <c r="E80" i="48"/>
  <c r="L72" i="48"/>
  <c r="K72" i="48"/>
  <c r="J72" i="48"/>
  <c r="I72" i="48"/>
  <c r="H72" i="48"/>
  <c r="G72" i="48"/>
  <c r="F72" i="48"/>
  <c r="F80" i="48" s="1"/>
  <c r="E72" i="48"/>
  <c r="L71" i="48"/>
  <c r="L70" i="48"/>
  <c r="K70" i="48"/>
  <c r="J70" i="48"/>
  <c r="I70" i="48"/>
  <c r="H70" i="48"/>
  <c r="G70" i="48"/>
  <c r="F70" i="48"/>
  <c r="F78" i="48" s="1"/>
  <c r="E70" i="48"/>
  <c r="E78" i="48" s="1"/>
  <c r="L69" i="48"/>
  <c r="K69" i="48"/>
  <c r="J69" i="48"/>
  <c r="I69" i="48"/>
  <c r="H69" i="48"/>
  <c r="G69" i="48"/>
  <c r="F69" i="48"/>
  <c r="F77" i="48" s="1"/>
  <c r="E69" i="48"/>
  <c r="E77" i="48" s="1"/>
  <c r="F57" i="48"/>
  <c r="E57" i="48"/>
  <c r="I55" i="48"/>
  <c r="F55" i="48"/>
  <c r="E55" i="48"/>
  <c r="I54" i="48"/>
  <c r="H54" i="48"/>
  <c r="F54" i="48"/>
  <c r="E54" i="48"/>
  <c r="H50" i="48"/>
  <c r="H57" i="48" s="1"/>
  <c r="H49" i="48"/>
  <c r="H56" i="48" s="1"/>
  <c r="I48" i="48"/>
  <c r="H48" i="48"/>
  <c r="H55" i="48" s="1"/>
  <c r="J47" i="48"/>
  <c r="J54" i="48" s="1"/>
  <c r="H47" i="48"/>
  <c r="L41" i="48"/>
  <c r="K41" i="48"/>
  <c r="K71" i="48" s="1"/>
  <c r="J41" i="48"/>
  <c r="J71" i="48" s="1"/>
  <c r="I41" i="48"/>
  <c r="I28" i="48" s="1"/>
  <c r="H41" i="48"/>
  <c r="H71" i="48" s="1"/>
  <c r="G41" i="48"/>
  <c r="G71" i="48" s="1"/>
  <c r="F41" i="48"/>
  <c r="F56" i="48" s="1"/>
  <c r="E41" i="48"/>
  <c r="I33" i="48"/>
  <c r="R13" i="48" s="1"/>
  <c r="S13" i="48" s="1"/>
  <c r="J31" i="48"/>
  <c r="I29" i="48"/>
  <c r="K27" i="48"/>
  <c r="J27" i="48"/>
  <c r="J48" i="48" s="1"/>
  <c r="J55" i="48" s="1"/>
  <c r="I27" i="48"/>
  <c r="I31" i="48" s="1"/>
  <c r="K26" i="48"/>
  <c r="J26" i="48"/>
  <c r="J30" i="48" s="1"/>
  <c r="I26" i="48"/>
  <c r="I47" i="48" s="1"/>
  <c r="V21" i="48"/>
  <c r="U21" i="48"/>
  <c r="T21" i="48"/>
  <c r="R21" i="48"/>
  <c r="Q21" i="48"/>
  <c r="Q112" i="48" s="1"/>
  <c r="P21" i="48"/>
  <c r="P112" i="48" s="1"/>
  <c r="O21" i="48"/>
  <c r="O112" i="48" s="1"/>
  <c r="N21" i="48"/>
  <c r="N112" i="48" s="1"/>
  <c r="M21" i="48"/>
  <c r="L21" i="48"/>
  <c r="L112" i="48" s="1"/>
  <c r="K21" i="48"/>
  <c r="K112" i="48" s="1"/>
  <c r="J21" i="48"/>
  <c r="J112" i="48" s="1"/>
  <c r="I21" i="48"/>
  <c r="I112" i="48" s="1"/>
  <c r="H21" i="48"/>
  <c r="H112" i="48" s="1"/>
  <c r="G21" i="48"/>
  <c r="G112" i="48" s="1"/>
  <c r="F21" i="48"/>
  <c r="F112" i="48" s="1"/>
  <c r="R20" i="48"/>
  <c r="Q20" i="48"/>
  <c r="Q111" i="48" s="1"/>
  <c r="R111" i="48" s="1"/>
  <c r="S111" i="48" s="1"/>
  <c r="P20" i="48"/>
  <c r="P111" i="48" s="1"/>
  <c r="O20" i="48"/>
  <c r="O111" i="48" s="1"/>
  <c r="N20" i="48"/>
  <c r="N111" i="48" s="1"/>
  <c r="M20" i="48"/>
  <c r="L20" i="48"/>
  <c r="L111" i="48" s="1"/>
  <c r="K20" i="48"/>
  <c r="K111" i="48" s="1"/>
  <c r="J20" i="48"/>
  <c r="J111" i="48" s="1"/>
  <c r="I20" i="48"/>
  <c r="I111" i="48" s="1"/>
  <c r="H20" i="48"/>
  <c r="H111" i="48" s="1"/>
  <c r="G20" i="48"/>
  <c r="G111" i="48" s="1"/>
  <c r="F20" i="48"/>
  <c r="F111" i="48" s="1"/>
  <c r="Q19" i="48"/>
  <c r="P19" i="48"/>
  <c r="P110" i="48" s="1"/>
  <c r="O19" i="48"/>
  <c r="O110" i="48" s="1"/>
  <c r="N19" i="48"/>
  <c r="M19" i="48"/>
  <c r="L19" i="48"/>
  <c r="L110" i="48" s="1"/>
  <c r="K19" i="48"/>
  <c r="K110" i="48" s="1"/>
  <c r="J19" i="48"/>
  <c r="I19" i="48"/>
  <c r="H19" i="48"/>
  <c r="H110" i="48" s="1"/>
  <c r="G19" i="48"/>
  <c r="G110" i="48" s="1"/>
  <c r="F19" i="48"/>
  <c r="Q18" i="48"/>
  <c r="P18" i="48"/>
  <c r="P109" i="48" s="1"/>
  <c r="O18" i="48"/>
  <c r="O109" i="48" s="1"/>
  <c r="N18" i="48"/>
  <c r="M18" i="48"/>
  <c r="L18" i="48"/>
  <c r="L109" i="48" s="1"/>
  <c r="K18" i="48"/>
  <c r="K109" i="48" s="1"/>
  <c r="J18" i="48"/>
  <c r="I18" i="48"/>
  <c r="H18" i="48"/>
  <c r="H109" i="48" s="1"/>
  <c r="G18" i="48"/>
  <c r="G109" i="48" s="1"/>
  <c r="F18" i="48"/>
  <c r="Q16" i="48"/>
  <c r="P16" i="48"/>
  <c r="O16" i="48"/>
  <c r="M16" i="48"/>
  <c r="L16" i="48"/>
  <c r="K16" i="48"/>
  <c r="I16" i="48"/>
  <c r="H16" i="48"/>
  <c r="G16" i="48"/>
  <c r="Q13" i="48"/>
  <c r="Q98" i="48" s="1"/>
  <c r="P13" i="48"/>
  <c r="P98" i="48" s="1"/>
  <c r="O13" i="48"/>
  <c r="O98" i="48" s="1"/>
  <c r="N13" i="48"/>
  <c r="N98" i="48" s="1"/>
  <c r="I80" i="48" s="1"/>
  <c r="J80" i="48" s="1"/>
  <c r="K80" i="48" s="1"/>
  <c r="L80" i="48" s="1"/>
  <c r="M13" i="48"/>
  <c r="M98" i="48" s="1"/>
  <c r="H80" i="48" s="1"/>
  <c r="L13" i="48"/>
  <c r="L98" i="48" s="1"/>
  <c r="K13" i="48"/>
  <c r="K98" i="48" s="1"/>
  <c r="J13" i="48"/>
  <c r="I13" i="48"/>
  <c r="I98" i="48" s="1"/>
  <c r="H13" i="48"/>
  <c r="H98" i="48" s="1"/>
  <c r="G13" i="48"/>
  <c r="F13" i="48"/>
  <c r="Q12" i="48"/>
  <c r="Q97" i="48" s="1"/>
  <c r="P12" i="48"/>
  <c r="O12" i="48"/>
  <c r="O97" i="48" s="1"/>
  <c r="N12" i="48"/>
  <c r="N97" i="48" s="1"/>
  <c r="H79" i="48" s="1"/>
  <c r="M12" i="48"/>
  <c r="M97" i="48" s="1"/>
  <c r="L12" i="48"/>
  <c r="K12" i="48"/>
  <c r="J12" i="48"/>
  <c r="J97" i="48" s="1"/>
  <c r="I12" i="48"/>
  <c r="I97" i="48" s="1"/>
  <c r="H12" i="48"/>
  <c r="G12" i="48"/>
  <c r="F12" i="48"/>
  <c r="R11" i="48"/>
  <c r="S11" i="48" s="1"/>
  <c r="Q11" i="48"/>
  <c r="P11" i="48"/>
  <c r="P96" i="48" s="1"/>
  <c r="O11" i="48"/>
  <c r="O96" i="48" s="1"/>
  <c r="N11" i="48"/>
  <c r="M11" i="48"/>
  <c r="L11" i="48"/>
  <c r="L96" i="48" s="1"/>
  <c r="K11" i="48"/>
  <c r="K96" i="48" s="1"/>
  <c r="J11" i="48"/>
  <c r="J9" i="48" s="1"/>
  <c r="I11" i="48"/>
  <c r="H11" i="48"/>
  <c r="G11" i="48"/>
  <c r="F11" i="48"/>
  <c r="Q10" i="48"/>
  <c r="P10" i="48"/>
  <c r="O10" i="48"/>
  <c r="O95" i="48" s="1"/>
  <c r="N10" i="48"/>
  <c r="M10" i="48"/>
  <c r="M95" i="48" s="1"/>
  <c r="L10" i="48"/>
  <c r="K10" i="48"/>
  <c r="K95" i="48" s="1"/>
  <c r="J10" i="48"/>
  <c r="I10" i="48"/>
  <c r="H10" i="48"/>
  <c r="G10" i="48"/>
  <c r="F10" i="48"/>
  <c r="Q9" i="48"/>
  <c r="O9" i="48"/>
  <c r="N9" i="48"/>
  <c r="M9" i="48"/>
  <c r="L9" i="48"/>
  <c r="K9" i="48"/>
  <c r="I9" i="48"/>
  <c r="G9" i="48"/>
  <c r="F9" i="48"/>
  <c r="D59" i="59"/>
  <c r="T51" i="59"/>
  <c r="U51" i="59" s="1"/>
  <c r="V51" i="59" s="1"/>
  <c r="W51" i="59" s="1"/>
  <c r="X51" i="59" s="1"/>
  <c r="Y51" i="59" s="1"/>
  <c r="Z51" i="59" s="1"/>
  <c r="AA51" i="59" s="1"/>
  <c r="AB51" i="59" s="1"/>
  <c r="AC51" i="59" s="1"/>
  <c r="Q51" i="59"/>
  <c r="R51" i="59" s="1"/>
  <c r="S51" i="59" s="1"/>
  <c r="P51" i="59"/>
  <c r="O51" i="59"/>
  <c r="N51" i="59"/>
  <c r="M51" i="59"/>
  <c r="L51" i="59"/>
  <c r="K51" i="59"/>
  <c r="J51" i="59"/>
  <c r="I51" i="59"/>
  <c r="H51" i="59"/>
  <c r="G51" i="59"/>
  <c r="F51" i="59"/>
  <c r="E51" i="59"/>
  <c r="D51" i="59"/>
  <c r="Q47" i="59"/>
  <c r="P47" i="59"/>
  <c r="O47" i="59"/>
  <c r="N47" i="59"/>
  <c r="M47" i="59"/>
  <c r="L47" i="59"/>
  <c r="K47" i="59"/>
  <c r="J47" i="59"/>
  <c r="I47" i="59"/>
  <c r="H47" i="59"/>
  <c r="G47" i="59"/>
  <c r="F47" i="59"/>
  <c r="E47" i="59"/>
  <c r="D47" i="59"/>
  <c r="O41" i="59"/>
  <c r="N41" i="59"/>
  <c r="Q40" i="59"/>
  <c r="Q39" i="59" s="1"/>
  <c r="Q20" i="59" s="1"/>
  <c r="P40" i="59"/>
  <c r="P41" i="59" s="1"/>
  <c r="O40" i="59"/>
  <c r="N40" i="59"/>
  <c r="M40" i="59"/>
  <c r="M41" i="59" s="1"/>
  <c r="L40" i="59"/>
  <c r="L41" i="59" s="1"/>
  <c r="K40" i="59"/>
  <c r="K41" i="59" s="1"/>
  <c r="J40" i="59"/>
  <c r="J39" i="59" s="1"/>
  <c r="J20" i="59" s="1"/>
  <c r="I40" i="59"/>
  <c r="I39" i="59" s="1"/>
  <c r="I20" i="59" s="1"/>
  <c r="H40" i="59"/>
  <c r="G40" i="59"/>
  <c r="F40" i="59"/>
  <c r="E40" i="59"/>
  <c r="D40" i="59"/>
  <c r="P39" i="59"/>
  <c r="M39" i="59"/>
  <c r="M20" i="59" s="1"/>
  <c r="L39" i="59"/>
  <c r="L20" i="59" s="1"/>
  <c r="H30" i="59"/>
  <c r="Q29" i="59"/>
  <c r="P29" i="59"/>
  <c r="O29" i="59"/>
  <c r="N29" i="59"/>
  <c r="M29" i="59"/>
  <c r="L29" i="59"/>
  <c r="K29" i="59"/>
  <c r="J29" i="59"/>
  <c r="I29" i="59"/>
  <c r="H29" i="59"/>
  <c r="G29" i="59"/>
  <c r="F29" i="59"/>
  <c r="E29" i="59"/>
  <c r="D29" i="59"/>
  <c r="H24" i="59"/>
  <c r="E24" i="59"/>
  <c r="D24" i="59"/>
  <c r="AC23" i="59"/>
  <c r="AB23" i="59"/>
  <c r="AA23" i="59"/>
  <c r="Z23" i="59"/>
  <c r="Y23" i="59"/>
  <c r="X23" i="59"/>
  <c r="W23" i="59"/>
  <c r="V23" i="59"/>
  <c r="U23" i="59"/>
  <c r="T23" i="59"/>
  <c r="S23" i="59"/>
  <c r="R23" i="59"/>
  <c r="AC22" i="59"/>
  <c r="AB22" i="59"/>
  <c r="AA22" i="59"/>
  <c r="Z22" i="59"/>
  <c r="Y22" i="59"/>
  <c r="X22" i="59"/>
  <c r="W22" i="59"/>
  <c r="V22" i="59"/>
  <c r="U22" i="59"/>
  <c r="T22" i="59"/>
  <c r="S22" i="59"/>
  <c r="R22" i="59"/>
  <c r="Q22" i="59"/>
  <c r="S21" i="59"/>
  <c r="T21" i="59" s="1"/>
  <c r="R21" i="59"/>
  <c r="Q21" i="59"/>
  <c r="P21" i="59"/>
  <c r="O21" i="59"/>
  <c r="N21" i="59"/>
  <c r="M21" i="59"/>
  <c r="AC20" i="59"/>
  <c r="AB20" i="59"/>
  <c r="AA20" i="59"/>
  <c r="Z20" i="59"/>
  <c r="Y20" i="59"/>
  <c r="X20" i="59"/>
  <c r="W20" i="59"/>
  <c r="V20" i="59"/>
  <c r="U20" i="59"/>
  <c r="T20" i="59"/>
  <c r="S20" i="59"/>
  <c r="R20" i="59"/>
  <c r="P20" i="59"/>
  <c r="H20" i="59"/>
  <c r="G20" i="59"/>
  <c r="F20" i="59"/>
  <c r="E20" i="59"/>
  <c r="D20" i="59"/>
  <c r="AC19" i="59"/>
  <c r="AB19" i="59"/>
  <c r="AA19" i="59"/>
  <c r="Z19" i="59"/>
  <c r="Y19" i="59"/>
  <c r="X19" i="59"/>
  <c r="W19" i="59"/>
  <c r="V19" i="59"/>
  <c r="U19" i="59"/>
  <c r="T19" i="59"/>
  <c r="I19" i="59"/>
  <c r="I24" i="59" s="1"/>
  <c r="H19" i="59"/>
  <c r="G19" i="59"/>
  <c r="G24" i="59" s="1"/>
  <c r="F19" i="59"/>
  <c r="F24" i="59" s="1"/>
  <c r="E19" i="59"/>
  <c r="D19" i="59"/>
  <c r="N18" i="59"/>
  <c r="M18" i="59"/>
  <c r="Q17" i="59"/>
  <c r="AC16" i="59"/>
  <c r="AB16" i="59"/>
  <c r="AA16" i="59"/>
  <c r="Z16" i="59"/>
  <c r="Y16" i="59"/>
  <c r="X16" i="59"/>
  <c r="W16" i="59"/>
  <c r="V16" i="59"/>
  <c r="U16" i="59"/>
  <c r="T16" i="59"/>
  <c r="S16" i="59"/>
  <c r="R16" i="59"/>
  <c r="I16" i="59"/>
  <c r="H16" i="59"/>
  <c r="P15" i="59"/>
  <c r="L15" i="59"/>
  <c r="H15" i="59"/>
  <c r="D15" i="59"/>
  <c r="Q12" i="59"/>
  <c r="P12" i="59"/>
  <c r="O12" i="59"/>
  <c r="N12" i="59"/>
  <c r="M12" i="59"/>
  <c r="L12" i="59"/>
  <c r="D58" i="59" s="1"/>
  <c r="D62" i="59" s="1"/>
  <c r="K12" i="59"/>
  <c r="J12" i="59"/>
  <c r="I12" i="59"/>
  <c r="H12" i="59"/>
  <c r="G12" i="59"/>
  <c r="F12" i="59"/>
  <c r="E12" i="59"/>
  <c r="D12" i="59"/>
  <c r="M11" i="29"/>
  <c r="J11" i="29"/>
  <c r="J16" i="59" s="1"/>
  <c r="Q10" i="29"/>
  <c r="Q16" i="59" s="1"/>
  <c r="O10" i="29"/>
  <c r="O16" i="59" s="1"/>
  <c r="N10" i="29"/>
  <c r="N16" i="59" s="1"/>
  <c r="M10" i="29"/>
  <c r="M16" i="59" s="1"/>
  <c r="Q9" i="29"/>
  <c r="P9" i="29"/>
  <c r="P10" i="29" s="1"/>
  <c r="P16" i="59" s="1"/>
  <c r="O9" i="29"/>
  <c r="N9" i="29"/>
  <c r="M9" i="29"/>
  <c r="L9" i="29"/>
  <c r="L11" i="29" s="1"/>
  <c r="L16" i="59" s="1"/>
  <c r="K9" i="29"/>
  <c r="K11" i="29" s="1"/>
  <c r="K16" i="59" s="1"/>
  <c r="J9" i="29"/>
  <c r="J28" i="33"/>
  <c r="G28" i="33"/>
  <c r="D27" i="33"/>
  <c r="I26" i="33"/>
  <c r="I28" i="33" s="1"/>
  <c r="H26" i="33"/>
  <c r="G26" i="33"/>
  <c r="F26" i="33"/>
  <c r="F28" i="33" s="1"/>
  <c r="E26" i="33"/>
  <c r="J25" i="33"/>
  <c r="AC12" i="33"/>
  <c r="AB12" i="33"/>
  <c r="AA12" i="33"/>
  <c r="Z12" i="33"/>
  <c r="Y12" i="33"/>
  <c r="X12" i="33"/>
  <c r="U12" i="33"/>
  <c r="R12" i="33"/>
  <c r="Q12" i="33"/>
  <c r="O12" i="33"/>
  <c r="N12" i="33"/>
  <c r="Q11" i="33"/>
  <c r="P11" i="33"/>
  <c r="O11" i="33"/>
  <c r="N11" i="33"/>
  <c r="M11" i="33"/>
  <c r="L11" i="33"/>
  <c r="K11" i="33"/>
  <c r="J11" i="33"/>
  <c r="Q10" i="33"/>
  <c r="P10" i="33"/>
  <c r="O10" i="33"/>
  <c r="O15" i="59" s="1"/>
  <c r="N10" i="33"/>
  <c r="N15" i="59" s="1"/>
  <c r="M10" i="33"/>
  <c r="M15" i="59" s="1"/>
  <c r="L10" i="33"/>
  <c r="E24" i="33" s="1"/>
  <c r="K10" i="33"/>
  <c r="K15" i="59" s="1"/>
  <c r="J10" i="33"/>
  <c r="J15" i="59" s="1"/>
  <c r="I10" i="33"/>
  <c r="I15" i="59" s="1"/>
  <c r="H10" i="33"/>
  <c r="G10" i="33"/>
  <c r="G15" i="59" s="1"/>
  <c r="F10" i="33"/>
  <c r="F15" i="59" s="1"/>
  <c r="E10" i="33"/>
  <c r="E15" i="59" s="1"/>
  <c r="D10" i="33"/>
  <c r="L45" i="49"/>
  <c r="K45" i="49"/>
  <c r="J45" i="49"/>
  <c r="P44" i="49"/>
  <c r="O44" i="49"/>
  <c r="N44" i="49"/>
  <c r="M44" i="49"/>
  <c r="L44" i="49"/>
  <c r="K44" i="49"/>
  <c r="J44" i="49"/>
  <c r="I44" i="49"/>
  <c r="H44" i="49"/>
  <c r="G44" i="49"/>
  <c r="F44" i="49"/>
  <c r="P43" i="49"/>
  <c r="O43" i="49"/>
  <c r="N43" i="49"/>
  <c r="M43" i="49"/>
  <c r="L43" i="49"/>
  <c r="K43" i="49"/>
  <c r="J43" i="49"/>
  <c r="I43" i="49"/>
  <c r="H43" i="49"/>
  <c r="G43" i="49"/>
  <c r="F43" i="49"/>
  <c r="P26" i="49"/>
  <c r="P30" i="59" s="1"/>
  <c r="L26" i="49"/>
  <c r="D26" i="49"/>
  <c r="N11" i="49"/>
  <c r="M11" i="49"/>
  <c r="F11" i="49"/>
  <c r="E11" i="49"/>
  <c r="Q10" i="49"/>
  <c r="P10" i="49"/>
  <c r="P11" i="49" s="1"/>
  <c r="O10" i="49"/>
  <c r="O11" i="49" s="1"/>
  <c r="N10" i="49"/>
  <c r="M10" i="49"/>
  <c r="L10" i="49"/>
  <c r="L11" i="49" s="1"/>
  <c r="K10" i="49"/>
  <c r="K11" i="49" s="1"/>
  <c r="J10" i="49"/>
  <c r="I10" i="49"/>
  <c r="H10" i="49"/>
  <c r="H11" i="49" s="1"/>
  <c r="G10" i="49"/>
  <c r="G11" i="49" s="1"/>
  <c r="G27" i="49" s="1"/>
  <c r="F10" i="49"/>
  <c r="E10" i="49"/>
  <c r="D10" i="49"/>
  <c r="D11" i="49" s="1"/>
  <c r="Q9" i="49"/>
  <c r="P9" i="49"/>
  <c r="O9" i="49"/>
  <c r="O26" i="49" s="1"/>
  <c r="N9" i="49"/>
  <c r="N26" i="49" s="1"/>
  <c r="M9" i="49"/>
  <c r="L9" i="49"/>
  <c r="K9" i="49"/>
  <c r="J9" i="49"/>
  <c r="I9" i="49"/>
  <c r="H9" i="49"/>
  <c r="H26" i="49" s="1"/>
  <c r="G9" i="49"/>
  <c r="G26" i="49" s="1"/>
  <c r="F9" i="49"/>
  <c r="F26" i="49" s="1"/>
  <c r="E9" i="49"/>
  <c r="D9" i="49"/>
  <c r="L44" i="30"/>
  <c r="K44" i="30"/>
  <c r="G44" i="30"/>
  <c r="F44" i="30"/>
  <c r="AA43" i="30"/>
  <c r="Y43" i="30"/>
  <c r="W43" i="30"/>
  <c r="Q43" i="30"/>
  <c r="AC41" i="30"/>
  <c r="AB41" i="30"/>
  <c r="AC39" i="30"/>
  <c r="AB39" i="30"/>
  <c r="AC38" i="30"/>
  <c r="AB38" i="30"/>
  <c r="AA38" i="30"/>
  <c r="Z38" i="30"/>
  <c r="Y38" i="30"/>
  <c r="X38" i="30"/>
  <c r="M38" i="30"/>
  <c r="AC37" i="30"/>
  <c r="AB37" i="30"/>
  <c r="AA37" i="30"/>
  <c r="Z37" i="30"/>
  <c r="Y37" i="30"/>
  <c r="X37" i="30"/>
  <c r="AC36" i="30"/>
  <c r="AB36" i="30"/>
  <c r="AA36" i="30"/>
  <c r="Z36" i="30"/>
  <c r="Y36" i="30"/>
  <c r="X36" i="30"/>
  <c r="AC35" i="30"/>
  <c r="AC20" i="30" s="1"/>
  <c r="AB35" i="30"/>
  <c r="AB20" i="30" s="1"/>
  <c r="AA35" i="30"/>
  <c r="Z35" i="30"/>
  <c r="Y35" i="30"/>
  <c r="AC34" i="30"/>
  <c r="AB34" i="30"/>
  <c r="AA34" i="30"/>
  <c r="Z34" i="30"/>
  <c r="Y34" i="30"/>
  <c r="X34" i="30"/>
  <c r="O32" i="30"/>
  <c r="N32" i="30"/>
  <c r="O31" i="30"/>
  <c r="AC25" i="30"/>
  <c r="AB25" i="30"/>
  <c r="AA25" i="30"/>
  <c r="Z25" i="30"/>
  <c r="Y25" i="30"/>
  <c r="X25" i="30"/>
  <c r="W25" i="30"/>
  <c r="V25" i="30"/>
  <c r="U25" i="30"/>
  <c r="T25" i="30"/>
  <c r="O25" i="30"/>
  <c r="AC24" i="30"/>
  <c r="AB24" i="30"/>
  <c r="W23" i="30"/>
  <c r="X23" i="30" s="1"/>
  <c r="Y23" i="30" s="1"/>
  <c r="Z23" i="30" s="1"/>
  <c r="AA23" i="30" s="1"/>
  <c r="AB23" i="30" s="1"/>
  <c r="AC23" i="30" s="1"/>
  <c r="Q23" i="30"/>
  <c r="R23" i="30" s="1"/>
  <c r="S23" i="30" s="1"/>
  <c r="T23" i="30" s="1"/>
  <c r="U23" i="30" s="1"/>
  <c r="V23" i="30" s="1"/>
  <c r="P23" i="30"/>
  <c r="O23" i="30"/>
  <c r="N23" i="30"/>
  <c r="Q22" i="30"/>
  <c r="P22" i="30"/>
  <c r="O22" i="30"/>
  <c r="N22" i="30"/>
  <c r="S21" i="30"/>
  <c r="T21" i="30" s="1"/>
  <c r="U21" i="30" s="1"/>
  <c r="V21" i="30" s="1"/>
  <c r="W21" i="30" s="1"/>
  <c r="X21" i="30" s="1"/>
  <c r="Y21" i="30" s="1"/>
  <c r="Z21" i="30" s="1"/>
  <c r="AA21" i="30" s="1"/>
  <c r="AB21" i="30" s="1"/>
  <c r="AC21" i="30" s="1"/>
  <c r="Q21" i="30"/>
  <c r="R21" i="30" s="1"/>
  <c r="P21" i="30"/>
  <c r="O21" i="30"/>
  <c r="N21" i="30"/>
  <c r="M21" i="30"/>
  <c r="L21" i="30"/>
  <c r="K21" i="30"/>
  <c r="J21" i="30"/>
  <c r="I21" i="30"/>
  <c r="H21" i="30"/>
  <c r="AA20" i="30"/>
  <c r="Z20" i="30"/>
  <c r="Y20" i="30"/>
  <c r="Q20" i="30"/>
  <c r="P20" i="30"/>
  <c r="O20" i="30"/>
  <c r="N20" i="30"/>
  <c r="M20" i="30"/>
  <c r="L20" i="30"/>
  <c r="K20" i="30"/>
  <c r="J20" i="30"/>
  <c r="I20" i="30"/>
  <c r="H20" i="30"/>
  <c r="T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S17" i="30"/>
  <c r="T17" i="30" s="1"/>
  <c r="R17" i="30"/>
  <c r="Q17" i="30"/>
  <c r="P17" i="30"/>
  <c r="O17" i="30"/>
  <c r="N17" i="30"/>
  <c r="M17" i="30"/>
  <c r="L17" i="30"/>
  <c r="K17" i="30"/>
  <c r="K15" i="30" s="1"/>
  <c r="J17" i="30"/>
  <c r="J15" i="30" s="1"/>
  <c r="I17" i="30"/>
  <c r="H17" i="30"/>
  <c r="Q16" i="30"/>
  <c r="P16" i="30"/>
  <c r="O16" i="30"/>
  <c r="N16" i="30"/>
  <c r="M16" i="30"/>
  <c r="M15" i="30" s="1"/>
  <c r="L16" i="30"/>
  <c r="L15" i="30" s="1"/>
  <c r="K16" i="30"/>
  <c r="J16" i="30"/>
  <c r="I16" i="30"/>
  <c r="H16" i="30"/>
  <c r="H15" i="30"/>
  <c r="Q14" i="30"/>
  <c r="P14" i="30"/>
  <c r="O14" i="30"/>
  <c r="N14" i="30"/>
  <c r="M14" i="30"/>
  <c r="L14" i="30"/>
  <c r="K14" i="30"/>
  <c r="J14" i="30"/>
  <c r="I14" i="30"/>
  <c r="H14" i="30"/>
  <c r="J13" i="30"/>
  <c r="H13" i="30"/>
  <c r="Y12" i="30"/>
  <c r="G12" i="30"/>
  <c r="F12" i="30"/>
  <c r="Q11" i="30"/>
  <c r="Q44" i="30" s="1"/>
  <c r="P11" i="30"/>
  <c r="O11" i="30"/>
  <c r="N11" i="30"/>
  <c r="M11" i="30"/>
  <c r="L11" i="30"/>
  <c r="K11" i="30"/>
  <c r="J11" i="30"/>
  <c r="J44" i="30" s="1"/>
  <c r="I11" i="30"/>
  <c r="I44" i="30" s="1"/>
  <c r="H11" i="30"/>
  <c r="H12" i="30" s="1"/>
  <c r="BB54" i="20"/>
  <c r="BA54" i="20"/>
  <c r="AZ54" i="20"/>
  <c r="AY54" i="20"/>
  <c r="AW54" i="20"/>
  <c r="AV54" i="20"/>
  <c r="AU54" i="20"/>
  <c r="AT54" i="20"/>
  <c r="AS54" i="20"/>
  <c r="AR54" i="20"/>
  <c r="AQ54" i="20"/>
  <c r="AP54" i="20"/>
  <c r="AO54" i="20"/>
  <c r="K46" i="20"/>
  <c r="I46" i="20"/>
  <c r="Q34" i="20"/>
  <c r="P34" i="20"/>
  <c r="O34" i="20"/>
  <c r="N34" i="20"/>
  <c r="M34" i="20"/>
  <c r="L34" i="20"/>
  <c r="K34" i="20"/>
  <c r="J34" i="20"/>
  <c r="I34" i="20"/>
  <c r="H34" i="20"/>
  <c r="G34" i="20"/>
  <c r="F34" i="20"/>
  <c r="E34" i="20"/>
  <c r="D34" i="20"/>
  <c r="R33" i="20"/>
  <c r="Q33" i="20"/>
  <c r="P33" i="20"/>
  <c r="O33" i="20"/>
  <c r="N33" i="20"/>
  <c r="M33" i="20"/>
  <c r="L33" i="20"/>
  <c r="K33" i="20"/>
  <c r="J33" i="20"/>
  <c r="I33" i="20"/>
  <c r="H33" i="20"/>
  <c r="G33" i="20"/>
  <c r="F33" i="20"/>
  <c r="E33" i="20"/>
  <c r="D33" i="20"/>
  <c r="R32" i="20"/>
  <c r="Q32" i="20"/>
  <c r="P32" i="20"/>
  <c r="O32" i="20"/>
  <c r="N32" i="20"/>
  <c r="M32" i="20"/>
  <c r="L32" i="20"/>
  <c r="K32" i="20"/>
  <c r="J32" i="20"/>
  <c r="I32" i="20"/>
  <c r="H32" i="20"/>
  <c r="G32" i="20"/>
  <c r="F32" i="20"/>
  <c r="E32" i="20"/>
  <c r="D32" i="20"/>
  <c r="AA25" i="20"/>
  <c r="W25" i="20"/>
  <c r="Q25" i="20"/>
  <c r="Y25" i="20" s="1"/>
  <c r="P25" i="20"/>
  <c r="O25" i="20"/>
  <c r="K25" i="20"/>
  <c r="I25" i="20"/>
  <c r="H25" i="20"/>
  <c r="Q24" i="20"/>
  <c r="AX54" i="20" s="1"/>
  <c r="Q22" i="20"/>
  <c r="P22" i="20"/>
  <c r="O22" i="20"/>
  <c r="N22" i="20"/>
  <c r="M22" i="20"/>
  <c r="M25" i="20" s="1"/>
  <c r="L22" i="20"/>
  <c r="K22" i="20"/>
  <c r="J22" i="20"/>
  <c r="I22" i="20"/>
  <c r="H22" i="20"/>
  <c r="AC11" i="20"/>
  <c r="AB11" i="20"/>
  <c r="AA11" i="20"/>
  <c r="Z11" i="20"/>
  <c r="Y11" i="20"/>
  <c r="X11" i="20"/>
  <c r="W11" i="20"/>
  <c r="V11" i="20"/>
  <c r="U11" i="20"/>
  <c r="T11" i="20"/>
  <c r="S11" i="20"/>
  <c r="R11" i="20"/>
  <c r="Q11" i="20"/>
  <c r="P11" i="20"/>
  <c r="O11" i="20"/>
  <c r="N11" i="20"/>
  <c r="M11" i="20"/>
  <c r="L11" i="20"/>
  <c r="K11" i="20"/>
  <c r="J11" i="20"/>
  <c r="I11" i="20"/>
  <c r="H11" i="20"/>
  <c r="AB95" i="26"/>
  <c r="AB46" i="20" s="1"/>
  <c r="Q95" i="26"/>
  <c r="Q46" i="20" s="1"/>
  <c r="P95" i="26"/>
  <c r="P46" i="20" s="1"/>
  <c r="O95" i="26"/>
  <c r="O46" i="20" s="1"/>
  <c r="N95" i="26"/>
  <c r="N46" i="20" s="1"/>
  <c r="M95" i="26"/>
  <c r="M46" i="20" s="1"/>
  <c r="L95" i="26"/>
  <c r="L46" i="20" s="1"/>
  <c r="K95" i="26"/>
  <c r="J95" i="26"/>
  <c r="J46" i="20" s="1"/>
  <c r="I95" i="26"/>
  <c r="H95" i="26"/>
  <c r="AD83" i="26"/>
  <c r="O82" i="26"/>
  <c r="M82" i="26"/>
  <c r="K82" i="26"/>
  <c r="I80" i="26"/>
  <c r="I75" i="26" s="1"/>
  <c r="I47" i="20" s="1"/>
  <c r="AC79" i="26"/>
  <c r="Y79" i="26"/>
  <c r="W79" i="26"/>
  <c r="U79" i="26"/>
  <c r="O79" i="26"/>
  <c r="AC78" i="26"/>
  <c r="AB78" i="26"/>
  <c r="AA78" i="26"/>
  <c r="Z78" i="26"/>
  <c r="Y78" i="26"/>
  <c r="AA77" i="26"/>
  <c r="Y77" i="26"/>
  <c r="W77" i="26"/>
  <c r="Q77" i="26"/>
  <c r="O77" i="26"/>
  <c r="K77" i="26"/>
  <c r="C69" i="26"/>
  <c r="C68" i="26"/>
  <c r="C51" i="26" s="1"/>
  <c r="C67" i="26"/>
  <c r="C66" i="26"/>
  <c r="C65" i="26"/>
  <c r="C63" i="26"/>
  <c r="C62" i="26"/>
  <c r="C61" i="26"/>
  <c r="R32" i="26" s="1"/>
  <c r="C60" i="26"/>
  <c r="C59" i="26"/>
  <c r="C54" i="26"/>
  <c r="C50" i="26"/>
  <c r="E50" i="26" s="1"/>
  <c r="C47" i="26"/>
  <c r="C46" i="26"/>
  <c r="AB39" i="26"/>
  <c r="AB17" i="26" s="1"/>
  <c r="V39" i="26"/>
  <c r="V17" i="26" s="1"/>
  <c r="T39" i="26"/>
  <c r="AA37" i="26"/>
  <c r="Q36" i="26"/>
  <c r="X34" i="26"/>
  <c r="X16" i="26" s="1"/>
  <c r="X79" i="26" s="1"/>
  <c r="W34" i="26"/>
  <c r="V34" i="26"/>
  <c r="U34" i="26"/>
  <c r="T34" i="26"/>
  <c r="S34" i="26"/>
  <c r="R34" i="26"/>
  <c r="Q34" i="26"/>
  <c r="P34" i="26"/>
  <c r="P16" i="26" s="1"/>
  <c r="P79" i="26" s="1"/>
  <c r="O34" i="26"/>
  <c r="N34" i="26"/>
  <c r="M34" i="26"/>
  <c r="AD34" i="26" s="1"/>
  <c r="X33" i="26"/>
  <c r="W33" i="26"/>
  <c r="V33" i="26"/>
  <c r="U33" i="26"/>
  <c r="U16" i="26" s="1"/>
  <c r="T33" i="26"/>
  <c r="S33" i="26"/>
  <c r="S16" i="26" s="1"/>
  <c r="S79" i="26" s="1"/>
  <c r="R33" i="26"/>
  <c r="Q33" i="26"/>
  <c r="Q16" i="26" s="1"/>
  <c r="Q79" i="26" s="1"/>
  <c r="P33" i="26"/>
  <c r="O33" i="26"/>
  <c r="N33" i="26"/>
  <c r="M33" i="26"/>
  <c r="M16" i="26" s="1"/>
  <c r="M79" i="26" s="1"/>
  <c r="X32" i="26"/>
  <c r="N31" i="26"/>
  <c r="M31" i="26"/>
  <c r="AD31" i="26" s="1"/>
  <c r="AC29" i="26"/>
  <c r="AB29" i="26"/>
  <c r="AA29" i="26"/>
  <c r="Z29" i="26"/>
  <c r="Y29" i="26"/>
  <c r="AD28" i="26"/>
  <c r="AD27" i="26"/>
  <c r="P25" i="26"/>
  <c r="O25" i="26"/>
  <c r="N25" i="26"/>
  <c r="M25" i="26"/>
  <c r="L25" i="26"/>
  <c r="K25" i="26"/>
  <c r="AC19" i="26"/>
  <c r="AB19" i="26"/>
  <c r="AA19" i="26"/>
  <c r="Z19" i="26"/>
  <c r="Y19" i="26"/>
  <c r="X19" i="26"/>
  <c r="W19" i="26"/>
  <c r="V19" i="26"/>
  <c r="U19" i="26"/>
  <c r="T19" i="26"/>
  <c r="S19" i="26"/>
  <c r="Q19" i="26"/>
  <c r="P19" i="26"/>
  <c r="O19" i="26"/>
  <c r="N19" i="26"/>
  <c r="M19" i="26"/>
  <c r="L19" i="26"/>
  <c r="K19" i="26"/>
  <c r="S18" i="26"/>
  <c r="Q18" i="26"/>
  <c r="P18" i="26"/>
  <c r="T17" i="26"/>
  <c r="AC16" i="26"/>
  <c r="AB16" i="26"/>
  <c r="AB79" i="26" s="1"/>
  <c r="AA16" i="26"/>
  <c r="AA79" i="26" s="1"/>
  <c r="Z16" i="26"/>
  <c r="Z79" i="26" s="1"/>
  <c r="Y16" i="26"/>
  <c r="W16" i="26"/>
  <c r="V16" i="26"/>
  <c r="V79" i="26" s="1"/>
  <c r="T16" i="26"/>
  <c r="T79" i="26" s="1"/>
  <c r="R16" i="26"/>
  <c r="R79" i="26" s="1"/>
  <c r="O16" i="26"/>
  <c r="N16" i="26"/>
  <c r="N79" i="26" s="1"/>
  <c r="AC15" i="26"/>
  <c r="AB15" i="26"/>
  <c r="AA15" i="26"/>
  <c r="Z15" i="26"/>
  <c r="Y15" i="26"/>
  <c r="AC14" i="26"/>
  <c r="AC77" i="26" s="1"/>
  <c r="AB14" i="26"/>
  <c r="AB77" i="26" s="1"/>
  <c r="AA14" i="26"/>
  <c r="Z14" i="26"/>
  <c r="Z77" i="26" s="1"/>
  <c r="Y14" i="26"/>
  <c r="X14" i="26"/>
  <c r="X77" i="26" s="1"/>
  <c r="W14" i="26"/>
  <c r="V14" i="26"/>
  <c r="V77" i="26" s="1"/>
  <c r="U14" i="26"/>
  <c r="U77" i="26" s="1"/>
  <c r="T14" i="26"/>
  <c r="T77" i="26" s="1"/>
  <c r="Q14" i="26"/>
  <c r="P14" i="26"/>
  <c r="P77" i="26" s="1"/>
  <c r="O14" i="26"/>
  <c r="N14" i="26"/>
  <c r="N77" i="26" s="1"/>
  <c r="M14" i="26"/>
  <c r="M77" i="26" s="1"/>
  <c r="L14" i="26"/>
  <c r="L77" i="26" s="1"/>
  <c r="K14" i="26"/>
  <c r="J14" i="26"/>
  <c r="AA13" i="26"/>
  <c r="Q13" i="26"/>
  <c r="Q82" i="26" s="1"/>
  <c r="P13" i="26"/>
  <c r="P82" i="26" s="1"/>
  <c r="O13" i="26"/>
  <c r="N13" i="26"/>
  <c r="N82" i="26" s="1"/>
  <c r="M13" i="26"/>
  <c r="L13" i="26"/>
  <c r="L82" i="26" s="1"/>
  <c r="K13" i="26"/>
  <c r="J13" i="26"/>
  <c r="J82" i="26" s="1"/>
  <c r="AD12" i="26"/>
  <c r="J12" i="26"/>
  <c r="D46" i="26" s="1"/>
  <c r="O11" i="26"/>
  <c r="N11" i="26"/>
  <c r="L11" i="26"/>
  <c r="L20" i="26" s="1"/>
  <c r="L80" i="26" s="1"/>
  <c r="G11" i="26"/>
  <c r="G20" i="26" s="1"/>
  <c r="F11" i="26"/>
  <c r="F20" i="26" s="1"/>
  <c r="D11" i="26"/>
  <c r="D20" i="26" s="1"/>
  <c r="Q10" i="26"/>
  <c r="Q11" i="26" s="1"/>
  <c r="P10" i="26"/>
  <c r="O10" i="26"/>
  <c r="N10" i="26"/>
  <c r="M10" i="26"/>
  <c r="L10" i="26"/>
  <c r="K10" i="26"/>
  <c r="J10" i="26"/>
  <c r="I10" i="26"/>
  <c r="I11" i="26" s="1"/>
  <c r="I20" i="26" s="1"/>
  <c r="H10" i="26"/>
  <c r="G10" i="26"/>
  <c r="F10" i="26"/>
  <c r="E10" i="26"/>
  <c r="D10" i="26"/>
  <c r="Q9" i="26"/>
  <c r="P9" i="26"/>
  <c r="P11" i="26" s="1"/>
  <c r="O9" i="26"/>
  <c r="N9" i="26"/>
  <c r="M9" i="26"/>
  <c r="M11" i="26" s="1"/>
  <c r="L9" i="26"/>
  <c r="K9" i="26"/>
  <c r="K11" i="26" s="1"/>
  <c r="J9" i="26"/>
  <c r="J11" i="26" s="1"/>
  <c r="J20" i="26" s="1"/>
  <c r="J80" i="26" s="1"/>
  <c r="I9" i="26"/>
  <c r="H9" i="26"/>
  <c r="H11" i="26" s="1"/>
  <c r="H20" i="26" s="1"/>
  <c r="H80" i="26" s="1"/>
  <c r="H75" i="26" s="1"/>
  <c r="H47" i="20" s="1"/>
  <c r="G9" i="26"/>
  <c r="F9" i="26"/>
  <c r="E9" i="26"/>
  <c r="E11" i="26" s="1"/>
  <c r="E20" i="26" s="1"/>
  <c r="D9" i="26"/>
  <c r="P17" i="40"/>
  <c r="K16" i="40"/>
  <c r="P14" i="40"/>
  <c r="N14" i="40"/>
  <c r="Q13" i="40"/>
  <c r="P13" i="40"/>
  <c r="O13" i="40"/>
  <c r="N13" i="40"/>
  <c r="N17" i="40" s="1"/>
  <c r="M13" i="40"/>
  <c r="M14" i="40" s="1"/>
  <c r="M16" i="40" s="1"/>
  <c r="L13" i="40"/>
  <c r="K13" i="40"/>
  <c r="K14" i="40" s="1"/>
  <c r="K15" i="40" s="1"/>
  <c r="J13" i="40"/>
  <c r="Q12" i="40"/>
  <c r="P12" i="40"/>
  <c r="P16" i="40" s="1"/>
  <c r="O12" i="40"/>
  <c r="N12" i="40"/>
  <c r="M12" i="40"/>
  <c r="L12" i="40"/>
  <c r="K12" i="40"/>
  <c r="J12" i="40"/>
  <c r="Q11" i="40"/>
  <c r="Q19" i="59" s="1"/>
  <c r="P11" i="40"/>
  <c r="P19" i="59" s="1"/>
  <c r="O11" i="40"/>
  <c r="O19" i="59" s="1"/>
  <c r="N11" i="40"/>
  <c r="M11" i="40"/>
  <c r="M19" i="59" s="1"/>
  <c r="M24" i="59" s="1"/>
  <c r="L11" i="40"/>
  <c r="K11" i="40"/>
  <c r="K19" i="59" s="1"/>
  <c r="K24" i="59" s="1"/>
  <c r="J11" i="40"/>
  <c r="J19" i="59" s="1"/>
  <c r="J24" i="59" s="1"/>
  <c r="L69" i="38"/>
  <c r="L66" i="38"/>
  <c r="L71" i="38" s="1"/>
  <c r="L65" i="38"/>
  <c r="L70" i="38" s="1"/>
  <c r="I65" i="38"/>
  <c r="L64" i="38"/>
  <c r="L67" i="38" s="1"/>
  <c r="O56" i="38"/>
  <c r="P55" i="38"/>
  <c r="P54" i="38"/>
  <c r="O54" i="38"/>
  <c r="O55" i="38" s="1"/>
  <c r="K67" i="38" s="1"/>
  <c r="N54" i="38"/>
  <c r="M54" i="38"/>
  <c r="M55" i="38" s="1"/>
  <c r="L54" i="38"/>
  <c r="K54" i="38"/>
  <c r="K55" i="38" s="1"/>
  <c r="K56" i="38" s="1"/>
  <c r="J54" i="38"/>
  <c r="J55" i="38" s="1"/>
  <c r="P53" i="38"/>
  <c r="P22" i="59" s="1"/>
  <c r="O53" i="38"/>
  <c r="O22" i="59" s="1"/>
  <c r="N53" i="38"/>
  <c r="M53" i="38"/>
  <c r="M22" i="59" s="1"/>
  <c r="L53" i="38"/>
  <c r="K53" i="38"/>
  <c r="K22" i="59" s="1"/>
  <c r="J53" i="38"/>
  <c r="J22" i="59" s="1"/>
  <c r="Q45" i="38"/>
  <c r="J45" i="38"/>
  <c r="Q44" i="38"/>
  <c r="J44" i="38"/>
  <c r="J43" i="38"/>
  <c r="Q42" i="38"/>
  <c r="J42" i="38"/>
  <c r="S41" i="38"/>
  <c r="S42" i="38" s="1"/>
  <c r="S43" i="38" s="1"/>
  <c r="S44" i="38" s="1"/>
  <c r="S45" i="38" s="1"/>
  <c r="Q41" i="38"/>
  <c r="J41" i="38"/>
  <c r="Q40" i="38"/>
  <c r="J40" i="38"/>
  <c r="J39" i="38"/>
  <c r="T38" i="38"/>
  <c r="T39" i="38" s="1"/>
  <c r="S38" i="38"/>
  <c r="S39" i="38" s="1"/>
  <c r="S40" i="38" s="1"/>
  <c r="Q38" i="38"/>
  <c r="J38" i="38"/>
  <c r="Q37" i="38"/>
  <c r="J37" i="38"/>
  <c r="J36" i="38"/>
  <c r="P35" i="38"/>
  <c r="J35" i="38"/>
  <c r="P34" i="38"/>
  <c r="J34" i="38"/>
  <c r="P33" i="38"/>
  <c r="J33" i="38"/>
  <c r="J32" i="38"/>
  <c r="P31" i="38"/>
  <c r="J31" i="38"/>
  <c r="P30" i="38"/>
  <c r="J30" i="38"/>
  <c r="T29" i="38"/>
  <c r="T30" i="38" s="1"/>
  <c r="T31" i="38" s="1"/>
  <c r="T32" i="38" s="1"/>
  <c r="T33" i="38" s="1"/>
  <c r="T34" i="38" s="1"/>
  <c r="T35" i="38" s="1"/>
  <c r="T36" i="38" s="1"/>
  <c r="J29" i="38"/>
  <c r="T28" i="38"/>
  <c r="S28" i="38"/>
  <c r="S29" i="38" s="1"/>
  <c r="J28" i="38"/>
  <c r="P27" i="38"/>
  <c r="J27" i="38"/>
  <c r="O27" i="38" s="1"/>
  <c r="N26" i="38"/>
  <c r="J26" i="38"/>
  <c r="S25" i="38"/>
  <c r="N25" i="38"/>
  <c r="J25" i="38"/>
  <c r="N24" i="38"/>
  <c r="J24" i="38"/>
  <c r="S23" i="38"/>
  <c r="S24" i="38" s="1"/>
  <c r="M24" i="38" s="1"/>
  <c r="O24" i="38" s="1"/>
  <c r="J23" i="38"/>
  <c r="M22" i="38"/>
  <c r="J22" i="38"/>
  <c r="J21" i="38"/>
  <c r="M21" i="38" s="1"/>
  <c r="N21" i="38" s="1"/>
  <c r="J20" i="38"/>
  <c r="M20" i="38" s="1"/>
  <c r="J19" i="38"/>
  <c r="J18" i="38"/>
  <c r="M18" i="38" s="1"/>
  <c r="J17" i="38"/>
  <c r="M16" i="38"/>
  <c r="J16" i="38"/>
  <c r="S15" i="38"/>
  <c r="M15" i="38"/>
  <c r="J15" i="38"/>
  <c r="S14" i="38"/>
  <c r="M14" i="38"/>
  <c r="L14" i="38"/>
  <c r="N14" i="38" s="1"/>
  <c r="J14" i="38"/>
  <c r="L13" i="38"/>
  <c r="J13" i="38"/>
  <c r="M13" i="38" s="1"/>
  <c r="N13" i="38" s="1"/>
  <c r="M12" i="38"/>
  <c r="L12" i="38"/>
  <c r="N12" i="38" s="1"/>
  <c r="J12" i="38"/>
  <c r="N11" i="38"/>
  <c r="L11" i="38"/>
  <c r="J11" i="38"/>
  <c r="M11" i="38" s="1"/>
  <c r="D40" i="25"/>
  <c r="D37" i="25"/>
  <c r="D34" i="25"/>
  <c r="O22" i="25" s="1"/>
  <c r="D31" i="25"/>
  <c r="D28" i="25"/>
  <c r="Q22" i="25"/>
  <c r="P22" i="25"/>
  <c r="N22" i="25"/>
  <c r="M22" i="25"/>
  <c r="G20" i="25"/>
  <c r="Q18" i="25"/>
  <c r="P18" i="25"/>
  <c r="O18" i="25"/>
  <c r="N18" i="25"/>
  <c r="M18" i="25"/>
  <c r="L18" i="25"/>
  <c r="K18" i="25"/>
  <c r="J18" i="25"/>
  <c r="I18" i="25"/>
  <c r="H18" i="25"/>
  <c r="G18" i="25"/>
  <c r="F18" i="25"/>
  <c r="E18" i="25"/>
  <c r="D18" i="25"/>
  <c r="Q17" i="25"/>
  <c r="P17" i="25"/>
  <c r="O17" i="25"/>
  <c r="N17" i="25"/>
  <c r="M17" i="25"/>
  <c r="L17" i="25"/>
  <c r="K17" i="25"/>
  <c r="J17" i="25"/>
  <c r="J13" i="25" s="1"/>
  <c r="I17" i="25"/>
  <c r="H17" i="25"/>
  <c r="G17" i="25"/>
  <c r="F17" i="25"/>
  <c r="E17" i="25"/>
  <c r="D17" i="25"/>
  <c r="Q16" i="25"/>
  <c r="P16" i="25"/>
  <c r="O16" i="25"/>
  <c r="N16" i="25"/>
  <c r="M16" i="25"/>
  <c r="M13" i="25" s="1"/>
  <c r="L16" i="25"/>
  <c r="K16" i="25"/>
  <c r="K13" i="25" s="1"/>
  <c r="J16" i="25"/>
  <c r="I16" i="25"/>
  <c r="H16" i="25"/>
  <c r="G16" i="25"/>
  <c r="F16" i="25"/>
  <c r="E16" i="25"/>
  <c r="D16" i="25"/>
  <c r="Q15" i="25"/>
  <c r="P15" i="25"/>
  <c r="O15" i="25"/>
  <c r="O13" i="25" s="1"/>
  <c r="N15" i="25"/>
  <c r="M15" i="25"/>
  <c r="L15" i="25"/>
  <c r="L13" i="25" s="1"/>
  <c r="K15" i="25"/>
  <c r="J15" i="25"/>
  <c r="I15" i="25"/>
  <c r="H15" i="25"/>
  <c r="G15" i="25"/>
  <c r="F15" i="25"/>
  <c r="E15" i="25"/>
  <c r="D15" i="25"/>
  <c r="R14" i="25"/>
  <c r="Q14" i="25"/>
  <c r="P14" i="25"/>
  <c r="P13" i="25" s="1"/>
  <c r="O14" i="25"/>
  <c r="N14" i="25"/>
  <c r="N13" i="25" s="1"/>
  <c r="M14" i="25"/>
  <c r="L14" i="25"/>
  <c r="K14" i="25"/>
  <c r="J14" i="25"/>
  <c r="I14" i="25"/>
  <c r="I13" i="25" s="1"/>
  <c r="H14" i="25"/>
  <c r="H13" i="25" s="1"/>
  <c r="G14" i="25"/>
  <c r="F14" i="25"/>
  <c r="E14" i="25"/>
  <c r="D14" i="25"/>
  <c r="Q12" i="25"/>
  <c r="P12" i="25"/>
  <c r="O12" i="25"/>
  <c r="N12" i="25"/>
  <c r="M12" i="25"/>
  <c r="L12" i="25"/>
  <c r="K12" i="25"/>
  <c r="J12" i="25"/>
  <c r="I12" i="25"/>
  <c r="H12" i="25"/>
  <c r="G12" i="25"/>
  <c r="F12" i="25"/>
  <c r="E12" i="25"/>
  <c r="D12" i="25"/>
  <c r="Q11" i="25"/>
  <c r="P11" i="25"/>
  <c r="O11" i="25"/>
  <c r="N11" i="25"/>
  <c r="N20" i="25" s="1"/>
  <c r="M11" i="25"/>
  <c r="L11" i="25"/>
  <c r="L20" i="25" s="1"/>
  <c r="K11" i="25"/>
  <c r="K20" i="25" s="1"/>
  <c r="J11" i="25"/>
  <c r="I11" i="25"/>
  <c r="H11" i="25"/>
  <c r="G11" i="25"/>
  <c r="G19" i="25" s="1"/>
  <c r="F11" i="25"/>
  <c r="F20" i="25" s="1"/>
  <c r="E11" i="25"/>
  <c r="E20" i="25" s="1"/>
  <c r="D11" i="25"/>
  <c r="O14" i="56"/>
  <c r="O13" i="56"/>
  <c r="O12" i="56"/>
  <c r="O11" i="56"/>
  <c r="O10" i="56"/>
  <c r="O9" i="56"/>
  <c r="O8" i="56"/>
  <c r="O7" i="56"/>
  <c r="O6" i="56"/>
  <c r="O5" i="56"/>
  <c r="O4" i="56"/>
  <c r="L2" i="56"/>
  <c r="M2" i="56" s="1"/>
  <c r="N2" i="56" s="1"/>
  <c r="G2" i="56"/>
  <c r="H2" i="56" s="1"/>
  <c r="I2" i="56" s="1"/>
  <c r="J2" i="56" s="1"/>
  <c r="K2" i="56" s="1"/>
  <c r="F2" i="56"/>
  <c r="D2" i="56"/>
  <c r="E2" i="56" s="1"/>
  <c r="J6" i="50"/>
  <c r="E6" i="50"/>
  <c r="D6" i="50"/>
  <c r="C6" i="50"/>
  <c r="F5" i="50"/>
  <c r="D5" i="50"/>
  <c r="C5" i="50"/>
  <c r="J4" i="50"/>
  <c r="G4" i="50"/>
  <c r="E4" i="50"/>
  <c r="D4" i="50"/>
  <c r="C4" i="50"/>
  <c r="J42" i="62"/>
  <c r="I22" i="35"/>
  <c r="H22" i="35"/>
  <c r="G22" i="35"/>
  <c r="F22" i="35"/>
  <c r="E22" i="35"/>
  <c r="D22" i="35"/>
  <c r="C22" i="35"/>
  <c r="J8" i="50" s="1"/>
  <c r="E21" i="35"/>
  <c r="D21" i="35"/>
  <c r="C21" i="35"/>
  <c r="J7" i="50" s="1"/>
  <c r="C20" i="35"/>
  <c r="C19" i="35"/>
  <c r="C15" i="35"/>
  <c r="O14" i="35"/>
  <c r="N14" i="35"/>
  <c r="M14" i="35"/>
  <c r="L14" i="35"/>
  <c r="K14" i="35"/>
  <c r="J14" i="35"/>
  <c r="I14" i="35"/>
  <c r="H14" i="35"/>
  <c r="G14" i="35"/>
  <c r="F14" i="35"/>
  <c r="E14" i="35"/>
  <c r="D14" i="35"/>
  <c r="C14" i="35"/>
  <c r="O13" i="35"/>
  <c r="N13" i="35"/>
  <c r="M13" i="35"/>
  <c r="L13" i="35"/>
  <c r="K13" i="35"/>
  <c r="J13" i="35"/>
  <c r="I13" i="35"/>
  <c r="H13" i="35"/>
  <c r="G13" i="35"/>
  <c r="F13" i="35"/>
  <c r="E13" i="35"/>
  <c r="D13" i="35"/>
  <c r="C13" i="35"/>
  <c r="C12" i="35"/>
  <c r="O8" i="35"/>
  <c r="N8" i="35"/>
  <c r="M8" i="35"/>
  <c r="L8" i="35"/>
  <c r="K8" i="35"/>
  <c r="J8" i="35"/>
  <c r="I8" i="35"/>
  <c r="H8" i="35"/>
  <c r="G8" i="35"/>
  <c r="F8" i="35"/>
  <c r="E8" i="35"/>
  <c r="D8" i="35"/>
  <c r="M7" i="35"/>
  <c r="K7" i="35"/>
  <c r="I7" i="35"/>
  <c r="C7" i="35"/>
  <c r="C6" i="35"/>
  <c r="D8" i="55" s="1"/>
  <c r="M5" i="35"/>
  <c r="K5" i="35"/>
  <c r="I5" i="35"/>
  <c r="C5" i="35"/>
  <c r="O4" i="35"/>
  <c r="N4" i="35"/>
  <c r="M4" i="35"/>
  <c r="N6" i="55" s="1"/>
  <c r="L4" i="35"/>
  <c r="K4" i="35"/>
  <c r="J4" i="35"/>
  <c r="I4" i="35"/>
  <c r="H4" i="35"/>
  <c r="G4" i="35"/>
  <c r="F4" i="35"/>
  <c r="E4" i="35"/>
  <c r="F6" i="55" s="1"/>
  <c r="D4" i="35"/>
  <c r="C4" i="35"/>
  <c r="N3" i="35"/>
  <c r="C3" i="35"/>
  <c r="J90" i="55"/>
  <c r="H74" i="55"/>
  <c r="E73" i="55"/>
  <c r="P66" i="55"/>
  <c r="H66" i="55"/>
  <c r="M65" i="55"/>
  <c r="E65" i="55"/>
  <c r="N60" i="55"/>
  <c r="F60" i="55"/>
  <c r="J56" i="55"/>
  <c r="O55" i="55"/>
  <c r="J24" i="55"/>
  <c r="J99" i="55" s="1"/>
  <c r="I24" i="55"/>
  <c r="I99" i="55" s="1"/>
  <c r="H24" i="55"/>
  <c r="H99" i="55" s="1"/>
  <c r="G24" i="55"/>
  <c r="G99" i="55" s="1"/>
  <c r="F24" i="55"/>
  <c r="F74" i="55" s="1"/>
  <c r="E24" i="55"/>
  <c r="E74" i="55" s="1"/>
  <c r="D24" i="55"/>
  <c r="D99" i="55" s="1"/>
  <c r="C24" i="55"/>
  <c r="B24" i="55"/>
  <c r="F23" i="55"/>
  <c r="F98" i="55" s="1"/>
  <c r="E23" i="55"/>
  <c r="E98" i="55" s="1"/>
  <c r="D23" i="55"/>
  <c r="D98" i="55" s="1"/>
  <c r="C23" i="55"/>
  <c r="B23" i="55"/>
  <c r="D22" i="55"/>
  <c r="D97" i="55" s="1"/>
  <c r="C22" i="55"/>
  <c r="B22" i="55"/>
  <c r="D21" i="55"/>
  <c r="D71" i="55" s="1"/>
  <c r="C21" i="55"/>
  <c r="B21" i="55"/>
  <c r="C20" i="55"/>
  <c r="B20" i="55"/>
  <c r="C19" i="55"/>
  <c r="B19" i="55"/>
  <c r="C18" i="55"/>
  <c r="B18" i="55"/>
  <c r="D17" i="55"/>
  <c r="D92" i="55" s="1"/>
  <c r="C17" i="55"/>
  <c r="B17" i="55"/>
  <c r="P16" i="55"/>
  <c r="P91" i="55" s="1"/>
  <c r="O16" i="55"/>
  <c r="O91" i="55" s="1"/>
  <c r="N16" i="55"/>
  <c r="N91" i="55" s="1"/>
  <c r="M16" i="55"/>
  <c r="M91" i="55" s="1"/>
  <c r="L16" i="55"/>
  <c r="L91" i="55" s="1"/>
  <c r="K16" i="55"/>
  <c r="K91" i="55" s="1"/>
  <c r="J16" i="55"/>
  <c r="J91" i="55" s="1"/>
  <c r="I16" i="55"/>
  <c r="I91" i="55" s="1"/>
  <c r="H16" i="55"/>
  <c r="H91" i="55" s="1"/>
  <c r="G16" i="55"/>
  <c r="G91" i="55" s="1"/>
  <c r="F16" i="55"/>
  <c r="F66" i="55" s="1"/>
  <c r="E16" i="55"/>
  <c r="E66" i="55" s="1"/>
  <c r="D16" i="55"/>
  <c r="D91" i="55" s="1"/>
  <c r="C16" i="55"/>
  <c r="B16" i="55"/>
  <c r="P15" i="55"/>
  <c r="P65" i="55" s="1"/>
  <c r="O15" i="55"/>
  <c r="O90" i="55" s="1"/>
  <c r="N15" i="55"/>
  <c r="N90" i="55" s="1"/>
  <c r="M15" i="55"/>
  <c r="M90" i="55" s="1"/>
  <c r="L15" i="55"/>
  <c r="L90" i="55" s="1"/>
  <c r="K15" i="55"/>
  <c r="K65" i="55" s="1"/>
  <c r="J15" i="55"/>
  <c r="J65" i="55" s="1"/>
  <c r="I15" i="55"/>
  <c r="I90" i="55" s="1"/>
  <c r="H15" i="55"/>
  <c r="H90" i="55" s="1"/>
  <c r="G15" i="55"/>
  <c r="G90" i="55" s="1"/>
  <c r="F15" i="55"/>
  <c r="F90" i="55" s="1"/>
  <c r="E15" i="55"/>
  <c r="E90" i="55" s="1"/>
  <c r="D15" i="55"/>
  <c r="D90" i="55" s="1"/>
  <c r="C15" i="55"/>
  <c r="B15" i="55"/>
  <c r="D14" i="55"/>
  <c r="D89" i="55" s="1"/>
  <c r="C14" i="55"/>
  <c r="B14" i="55"/>
  <c r="C13" i="55"/>
  <c r="B13" i="55"/>
  <c r="C12" i="55"/>
  <c r="B12" i="55"/>
  <c r="C11" i="55"/>
  <c r="B11" i="55"/>
  <c r="P10" i="55"/>
  <c r="P85" i="55" s="1"/>
  <c r="O10" i="55"/>
  <c r="O85" i="55" s="1"/>
  <c r="N10" i="55"/>
  <c r="N85" i="55" s="1"/>
  <c r="M10" i="55"/>
  <c r="M85" i="55" s="1"/>
  <c r="L10" i="55"/>
  <c r="L60" i="55" s="1"/>
  <c r="K10" i="55"/>
  <c r="K85" i="55" s="1"/>
  <c r="J10" i="55"/>
  <c r="J85" i="55" s="1"/>
  <c r="I10" i="55"/>
  <c r="I85" i="55" s="1"/>
  <c r="H10" i="55"/>
  <c r="H85" i="55" s="1"/>
  <c r="G10" i="55"/>
  <c r="G85" i="55" s="1"/>
  <c r="F10" i="55"/>
  <c r="F85" i="55" s="1"/>
  <c r="E10" i="55"/>
  <c r="E85" i="55" s="1"/>
  <c r="C10" i="55"/>
  <c r="B10" i="55"/>
  <c r="N9" i="55"/>
  <c r="N84" i="55" s="1"/>
  <c r="L9" i="55"/>
  <c r="L84" i="55" s="1"/>
  <c r="J9" i="55"/>
  <c r="J84" i="55" s="1"/>
  <c r="D9" i="55"/>
  <c r="D84" i="55" s="1"/>
  <c r="C9" i="55"/>
  <c r="B9" i="55"/>
  <c r="C8" i="55"/>
  <c r="B8" i="55"/>
  <c r="N7" i="55"/>
  <c r="N82" i="55" s="1"/>
  <c r="L7" i="55"/>
  <c r="L82" i="55" s="1"/>
  <c r="J7" i="55"/>
  <c r="J57" i="55" s="1"/>
  <c r="D7" i="55"/>
  <c r="D82" i="55" s="1"/>
  <c r="C7" i="55"/>
  <c r="B7" i="55"/>
  <c r="P6" i="55"/>
  <c r="P81" i="55" s="1"/>
  <c r="O6" i="55"/>
  <c r="O81" i="55" s="1"/>
  <c r="M6" i="55"/>
  <c r="M81" i="55" s="1"/>
  <c r="L6" i="55"/>
  <c r="L81" i="55" s="1"/>
  <c r="K6" i="55"/>
  <c r="K81" i="55" s="1"/>
  <c r="J6" i="55"/>
  <c r="J81" i="55" s="1"/>
  <c r="I6" i="55"/>
  <c r="I81" i="55" s="1"/>
  <c r="H6" i="55"/>
  <c r="H56" i="55" s="1"/>
  <c r="G6" i="55"/>
  <c r="G56" i="55" s="1"/>
  <c r="E6" i="55"/>
  <c r="E56" i="55" s="1"/>
  <c r="D6" i="55"/>
  <c r="D56" i="55" s="1"/>
  <c r="C6" i="55"/>
  <c r="B6" i="55"/>
  <c r="O5" i="55"/>
  <c r="O80" i="55" s="1"/>
  <c r="D5" i="55"/>
  <c r="D55" i="55" s="1"/>
  <c r="C5" i="55"/>
  <c r="B5" i="55"/>
  <c r="C4" i="55"/>
  <c r="B4" i="55"/>
  <c r="M3" i="55"/>
  <c r="L3" i="55"/>
  <c r="K3" i="55"/>
  <c r="J3" i="55"/>
  <c r="I3" i="55"/>
  <c r="H3" i="55"/>
  <c r="G3" i="55"/>
  <c r="F3" i="55"/>
  <c r="E3" i="55"/>
  <c r="D3" i="55"/>
  <c r="C3" i="55"/>
  <c r="B3" i="55"/>
  <c r="E81" i="46"/>
  <c r="F81" i="46" s="1"/>
  <c r="G81" i="46" s="1"/>
  <c r="C81" i="46"/>
  <c r="G80" i="46"/>
  <c r="F80" i="46"/>
  <c r="E80" i="46"/>
  <c r="C80" i="46"/>
  <c r="E79" i="46"/>
  <c r="F79" i="46" s="1"/>
  <c r="G79" i="46" s="1"/>
  <c r="C79" i="46"/>
  <c r="G78" i="46"/>
  <c r="F78" i="46"/>
  <c r="E78" i="46"/>
  <c r="C78" i="46"/>
  <c r="E77" i="46"/>
  <c r="F77" i="46" s="1"/>
  <c r="G77" i="46" s="1"/>
  <c r="C77" i="46"/>
  <c r="G76" i="46"/>
  <c r="F76" i="46"/>
  <c r="E76" i="46"/>
  <c r="C76" i="46"/>
  <c r="E75" i="46"/>
  <c r="F75" i="46" s="1"/>
  <c r="G75" i="46" s="1"/>
  <c r="C75" i="46"/>
  <c r="G74" i="46"/>
  <c r="F74" i="46"/>
  <c r="E74" i="46"/>
  <c r="C74" i="46"/>
  <c r="E73" i="46"/>
  <c r="F73" i="46" s="1"/>
  <c r="G73" i="46" s="1"/>
  <c r="C73" i="46"/>
  <c r="G72" i="46"/>
  <c r="F72" i="46"/>
  <c r="E72" i="46"/>
  <c r="C72" i="46"/>
  <c r="E71" i="46"/>
  <c r="F71" i="46" s="1"/>
  <c r="G71" i="46" s="1"/>
  <c r="C71" i="46"/>
  <c r="G70" i="46"/>
  <c r="F70" i="46"/>
  <c r="E70" i="46"/>
  <c r="C70" i="46"/>
  <c r="E69" i="46"/>
  <c r="F69" i="46" s="1"/>
  <c r="G69" i="46" s="1"/>
  <c r="C69" i="46"/>
  <c r="G68" i="46"/>
  <c r="F68" i="46"/>
  <c r="E68" i="46"/>
  <c r="C68" i="46"/>
  <c r="E67" i="46"/>
  <c r="F67" i="46" s="1"/>
  <c r="G67" i="46" s="1"/>
  <c r="C67" i="46"/>
  <c r="G66" i="46"/>
  <c r="F66" i="46"/>
  <c r="E66" i="46"/>
  <c r="C66" i="46"/>
  <c r="E65" i="46"/>
  <c r="F65" i="46" s="1"/>
  <c r="G65" i="46" s="1"/>
  <c r="C65" i="46"/>
  <c r="G64" i="46"/>
  <c r="F64" i="46"/>
  <c r="E64" i="46"/>
  <c r="C64" i="46"/>
  <c r="E63" i="46"/>
  <c r="F63" i="46" s="1"/>
  <c r="G63" i="46" s="1"/>
  <c r="C63" i="46"/>
  <c r="G62" i="46"/>
  <c r="F62" i="46"/>
  <c r="E62" i="46"/>
  <c r="C62" i="46"/>
  <c r="E61" i="46"/>
  <c r="F61" i="46" s="1"/>
  <c r="G61" i="46" s="1"/>
  <c r="C61" i="46"/>
  <c r="G60" i="46"/>
  <c r="F60" i="46"/>
  <c r="E60" i="46"/>
  <c r="C60" i="46"/>
  <c r="E59" i="46"/>
  <c r="F59" i="46" s="1"/>
  <c r="G59" i="46" s="1"/>
  <c r="C59" i="46"/>
  <c r="G58" i="46"/>
  <c r="F58" i="46"/>
  <c r="E58" i="46"/>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G46" i="46"/>
  <c r="F46" i="46"/>
  <c r="E46" i="46"/>
  <c r="C46" i="46"/>
  <c r="F45" i="46"/>
  <c r="G45" i="46" s="1"/>
  <c r="E45" i="46"/>
  <c r="C45" i="46"/>
  <c r="G44" i="46"/>
  <c r="F44" i="46"/>
  <c r="E44" i="46"/>
  <c r="C44" i="46"/>
  <c r="F43" i="46"/>
  <c r="G43" i="46" s="1"/>
  <c r="E43" i="46"/>
  <c r="C43" i="46"/>
  <c r="G42" i="46"/>
  <c r="F42" i="46"/>
  <c r="E42" i="46"/>
  <c r="C42" i="46"/>
  <c r="F41" i="46"/>
  <c r="G41" i="46" s="1"/>
  <c r="E41" i="46"/>
  <c r="C41" i="46"/>
  <c r="G40" i="46"/>
  <c r="F40" i="46"/>
  <c r="E40" i="46"/>
  <c r="C40" i="46"/>
  <c r="F39" i="46"/>
  <c r="G39" i="46" s="1"/>
  <c r="E39" i="46"/>
  <c r="C39" i="46"/>
  <c r="G38" i="46"/>
  <c r="F38" i="46"/>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S12" i="25" l="1"/>
  <c r="T12" i="25" s="1"/>
  <c r="T14" i="25" s="1"/>
  <c r="R17" i="25"/>
  <c r="S17" i="25" s="1"/>
  <c r="T17" i="25" s="1"/>
  <c r="U17" i="25" s="1"/>
  <c r="V17" i="25" s="1"/>
  <c r="W17" i="25" s="1"/>
  <c r="X17" i="25" s="1"/>
  <c r="Y17" i="25" s="1"/>
  <c r="Z17" i="25" s="1"/>
  <c r="AA17" i="25" s="1"/>
  <c r="AB17" i="25" s="1"/>
  <c r="AC17" i="25" s="1"/>
  <c r="S16" i="25"/>
  <c r="T16" i="25" s="1"/>
  <c r="U16" i="25" s="1"/>
  <c r="V16" i="25" s="1"/>
  <c r="W16" i="25" s="1"/>
  <c r="X16" i="25" s="1"/>
  <c r="Y16" i="25" s="1"/>
  <c r="Z16" i="25" s="1"/>
  <c r="AA16" i="25" s="1"/>
  <c r="AB16" i="25" s="1"/>
  <c r="AC16" i="25" s="1"/>
  <c r="S15" i="25"/>
  <c r="T15" i="25" s="1"/>
  <c r="U15" i="25" s="1"/>
  <c r="V15" i="25" s="1"/>
  <c r="W15" i="25" s="1"/>
  <c r="X15" i="25" s="1"/>
  <c r="Y15" i="25" s="1"/>
  <c r="Z15" i="25" s="1"/>
  <c r="AA15" i="25" s="1"/>
  <c r="AB15" i="25" s="1"/>
  <c r="AC15" i="25" s="1"/>
  <c r="D83" i="55"/>
  <c r="D58" i="55"/>
  <c r="F81" i="55"/>
  <c r="F56" i="55"/>
  <c r="N81" i="55"/>
  <c r="N56" i="55"/>
  <c r="K56" i="55"/>
  <c r="N57" i="55"/>
  <c r="D59" i="55"/>
  <c r="L59" i="55"/>
  <c r="G60" i="55"/>
  <c r="O60" i="55"/>
  <c r="F65" i="55"/>
  <c r="N65" i="55"/>
  <c r="I66" i="55"/>
  <c r="D67" i="55"/>
  <c r="F73" i="55"/>
  <c r="I74" i="55"/>
  <c r="D81" i="55"/>
  <c r="J82" i="55"/>
  <c r="L85" i="55"/>
  <c r="K90" i="55"/>
  <c r="D96" i="55"/>
  <c r="I11" i="49"/>
  <c r="I27" i="49" s="1"/>
  <c r="I26" i="49"/>
  <c r="Q26" i="49"/>
  <c r="Q11" i="49"/>
  <c r="R11" i="49" s="1"/>
  <c r="S11" i="49" s="1"/>
  <c r="L56" i="55"/>
  <c r="H60" i="55"/>
  <c r="P60" i="55"/>
  <c r="D64" i="55"/>
  <c r="G65" i="55"/>
  <c r="O65" i="55"/>
  <c r="J66" i="55"/>
  <c r="D72" i="55"/>
  <c r="J74" i="55"/>
  <c r="E81" i="55"/>
  <c r="P90" i="55"/>
  <c r="M56" i="55"/>
  <c r="N59" i="55"/>
  <c r="I60" i="55"/>
  <c r="H65" i="55"/>
  <c r="K66" i="55"/>
  <c r="D80" i="55"/>
  <c r="G81" i="55"/>
  <c r="E91" i="55"/>
  <c r="E99" i="55"/>
  <c r="O19" i="25"/>
  <c r="J26" i="26"/>
  <c r="C45" i="26"/>
  <c r="E46" i="26"/>
  <c r="J60" i="55"/>
  <c r="I65" i="55"/>
  <c r="D66" i="55"/>
  <c r="L66" i="55"/>
  <c r="D74" i="55"/>
  <c r="H81" i="55"/>
  <c r="F91" i="55"/>
  <c r="F99" i="55"/>
  <c r="L25" i="20"/>
  <c r="L14" i="59"/>
  <c r="O56" i="55"/>
  <c r="K60" i="55"/>
  <c r="M66" i="55"/>
  <c r="L22" i="59"/>
  <c r="L55" i="38"/>
  <c r="N48" i="38" s="1"/>
  <c r="L56" i="38"/>
  <c r="M56" i="38"/>
  <c r="O48" i="38"/>
  <c r="I67" i="38"/>
  <c r="P56" i="55"/>
  <c r="N66" i="55"/>
  <c r="L19" i="25"/>
  <c r="D19" i="25"/>
  <c r="J16" i="40"/>
  <c r="I56" i="55"/>
  <c r="D57" i="55"/>
  <c r="L57" i="55"/>
  <c r="J59" i="55"/>
  <c r="E60" i="55"/>
  <c r="M60" i="55"/>
  <c r="D65" i="55"/>
  <c r="L65" i="55"/>
  <c r="G66" i="55"/>
  <c r="O66" i="55"/>
  <c r="D73" i="55"/>
  <c r="G74" i="55"/>
  <c r="O29" i="38"/>
  <c r="S30" i="38"/>
  <c r="H19" i="25"/>
  <c r="H20" i="25"/>
  <c r="P20" i="25"/>
  <c r="N23" i="38"/>
  <c r="O23" i="38" s="1"/>
  <c r="S26" i="38"/>
  <c r="M26" i="38" s="1"/>
  <c r="O26" i="38" s="1"/>
  <c r="M25" i="38"/>
  <c r="O25" i="38" s="1"/>
  <c r="J14" i="40"/>
  <c r="J17" i="40" s="1"/>
  <c r="E47" i="26"/>
  <c r="I20" i="25"/>
  <c r="Q19" i="25"/>
  <c r="C8" i="35" s="1"/>
  <c r="D10" i="55" s="1"/>
  <c r="Q20" i="25"/>
  <c r="D20" i="25"/>
  <c r="M19" i="38"/>
  <c r="Q29" i="38"/>
  <c r="T40" i="38"/>
  <c r="P39" i="38"/>
  <c r="N22" i="59"/>
  <c r="J65" i="38"/>
  <c r="K69" i="38"/>
  <c r="L19" i="59"/>
  <c r="L24" i="59" s="1"/>
  <c r="E5" i="50" s="1"/>
  <c r="L14" i="40"/>
  <c r="L16" i="40" s="1"/>
  <c r="J20" i="25"/>
  <c r="S16" i="38"/>
  <c r="L15" i="38"/>
  <c r="N15" i="38" s="1"/>
  <c r="P29" i="38"/>
  <c r="P32" i="38"/>
  <c r="Q39" i="38"/>
  <c r="R39" i="38" s="1"/>
  <c r="K20" i="26"/>
  <c r="K80" i="26" s="1"/>
  <c r="K75" i="26" s="1"/>
  <c r="G14" i="59"/>
  <c r="P36" i="38"/>
  <c r="Q43" i="38"/>
  <c r="N55" i="38"/>
  <c r="N19" i="59"/>
  <c r="N15" i="40"/>
  <c r="N16" i="40"/>
  <c r="M15" i="40"/>
  <c r="C58" i="26"/>
  <c r="C49" i="26"/>
  <c r="P37" i="38"/>
  <c r="R37" i="38" s="1"/>
  <c r="M48" i="38"/>
  <c r="I48" i="20"/>
  <c r="I12" i="20" s="1"/>
  <c r="M20" i="25"/>
  <c r="T13" i="25"/>
  <c r="R13" i="25"/>
  <c r="E19" i="25"/>
  <c r="E14" i="59" s="1"/>
  <c r="W32" i="26"/>
  <c r="O32" i="26"/>
  <c r="U32" i="26"/>
  <c r="M32" i="26"/>
  <c r="T32" i="26"/>
  <c r="S32" i="26"/>
  <c r="Q32" i="26"/>
  <c r="P32" i="26"/>
  <c r="N32" i="26"/>
  <c r="V32" i="26"/>
  <c r="J25" i="20"/>
  <c r="F19" i="25"/>
  <c r="F14" i="59" s="1"/>
  <c r="N19" i="25"/>
  <c r="N14" i="59" s="1"/>
  <c r="N48" i="59" s="1"/>
  <c r="N49" i="59" s="1"/>
  <c r="U12" i="25"/>
  <c r="M17" i="38"/>
  <c r="M46" i="38" s="1"/>
  <c r="M47" i="38" s="1"/>
  <c r="N22" i="38"/>
  <c r="P28" i="38"/>
  <c r="K19" i="25"/>
  <c r="K14" i="59" s="1"/>
  <c r="K48" i="59" s="1"/>
  <c r="K49" i="59" s="1"/>
  <c r="Q27" i="38"/>
  <c r="P56" i="38"/>
  <c r="O14" i="40"/>
  <c r="O15" i="40" s="1"/>
  <c r="H46" i="20"/>
  <c r="H48" i="20" s="1"/>
  <c r="AC95" i="26"/>
  <c r="U95" i="26"/>
  <c r="AA95" i="26"/>
  <c r="S95" i="26"/>
  <c r="Z95" i="26"/>
  <c r="R95" i="26"/>
  <c r="Y95" i="26"/>
  <c r="W95" i="26"/>
  <c r="O20" i="25"/>
  <c r="M23" i="38"/>
  <c r="O28" i="38"/>
  <c r="Q28" i="38" s="1"/>
  <c r="J56" i="38"/>
  <c r="Q14" i="40"/>
  <c r="Q16" i="40" s="1"/>
  <c r="R16" i="40" s="1"/>
  <c r="P15" i="40"/>
  <c r="K17" i="40"/>
  <c r="D47" i="26"/>
  <c r="T95" i="26"/>
  <c r="H95" i="48"/>
  <c r="G26" i="48"/>
  <c r="H9" i="48"/>
  <c r="P9" i="48"/>
  <c r="P95" i="48"/>
  <c r="Q15" i="40"/>
  <c r="R15" i="40" s="1"/>
  <c r="V95" i="26"/>
  <c r="N25" i="20"/>
  <c r="K12" i="30"/>
  <c r="S14" i="25"/>
  <c r="S13" i="25" s="1"/>
  <c r="P38" i="38"/>
  <c r="R38" i="38" s="1"/>
  <c r="K65" i="38"/>
  <c r="K70" i="38" s="1"/>
  <c r="J15" i="40"/>
  <c r="M17" i="40"/>
  <c r="D48" i="26"/>
  <c r="J77" i="26"/>
  <c r="J75" i="26" s="1"/>
  <c r="C64" i="26"/>
  <c r="N36" i="26"/>
  <c r="X95" i="26"/>
  <c r="AD16" i="26"/>
  <c r="X25" i="20"/>
  <c r="V25" i="20"/>
  <c r="AC25" i="20"/>
  <c r="U25" i="20"/>
  <c r="AB25" i="20"/>
  <c r="T25" i="20"/>
  <c r="Z25" i="20"/>
  <c r="R25" i="20"/>
  <c r="M12" i="30"/>
  <c r="L75" i="26"/>
  <c r="AD33" i="26"/>
  <c r="C53" i="26"/>
  <c r="C48" i="26"/>
  <c r="S25" i="20"/>
  <c r="J26" i="49"/>
  <c r="J11" i="49"/>
  <c r="J27" i="49" s="1"/>
  <c r="D18" i="49"/>
  <c r="D19" i="49" s="1"/>
  <c r="V42" i="21"/>
  <c r="T42" i="21"/>
  <c r="K13" i="30"/>
  <c r="I15" i="30"/>
  <c r="I13" i="30"/>
  <c r="Q15" i="30"/>
  <c r="J105" i="48"/>
  <c r="J100" i="48"/>
  <c r="I12" i="30"/>
  <c r="L13" i="30"/>
  <c r="L12" i="30" s="1"/>
  <c r="W12" i="30"/>
  <c r="V12" i="30"/>
  <c r="H44" i="30"/>
  <c r="AC12" i="30"/>
  <c r="U12" i="30"/>
  <c r="AB12" i="30"/>
  <c r="T12" i="30"/>
  <c r="AA12" i="30"/>
  <c r="S12" i="30"/>
  <c r="Z12" i="30"/>
  <c r="R12" i="30"/>
  <c r="M13" i="30"/>
  <c r="N15" i="30"/>
  <c r="N13" i="30"/>
  <c r="N12" i="30" s="1"/>
  <c r="C18" i="49"/>
  <c r="C19" i="49" s="1"/>
  <c r="E18" i="49"/>
  <c r="E19" i="49" s="1"/>
  <c r="E20" i="49" s="1"/>
  <c r="U17" i="30"/>
  <c r="O28" i="30"/>
  <c r="O27" i="30" s="1"/>
  <c r="N28" i="30"/>
  <c r="N27" i="30" s="1"/>
  <c r="D30" i="59"/>
  <c r="D28" i="49"/>
  <c r="X12" i="30"/>
  <c r="D31" i="59"/>
  <c r="J41" i="59"/>
  <c r="J109" i="48"/>
  <c r="J12" i="30"/>
  <c r="K27" i="49"/>
  <c r="K26" i="49"/>
  <c r="L30" i="59"/>
  <c r="L31" i="59" s="1"/>
  <c r="K30" i="48"/>
  <c r="L26" i="48"/>
  <c r="E56" i="48"/>
  <c r="E71" i="48"/>
  <c r="E79" i="48" s="1"/>
  <c r="D27" i="49"/>
  <c r="L27" i="49"/>
  <c r="L28" i="49" s="1"/>
  <c r="F27" i="49"/>
  <c r="R10" i="33"/>
  <c r="C27" i="33"/>
  <c r="J16" i="48"/>
  <c r="F110" i="48"/>
  <c r="N110" i="48"/>
  <c r="E27" i="49"/>
  <c r="E26" i="49"/>
  <c r="M27" i="49"/>
  <c r="M26" i="49"/>
  <c r="N24" i="59"/>
  <c r="G5" i="50" s="1"/>
  <c r="U4" i="21"/>
  <c r="R4" i="21"/>
  <c r="T4" i="21"/>
  <c r="S4" i="21"/>
  <c r="AC18" i="59" s="1"/>
  <c r="AC24" i="59" s="1"/>
  <c r="F30" i="59"/>
  <c r="F31" i="59" s="1"/>
  <c r="F28" i="49"/>
  <c r="N30" i="59"/>
  <c r="N31" i="59" s="1"/>
  <c r="N28" i="49"/>
  <c r="W12" i="33"/>
  <c r="V12" i="33"/>
  <c r="T12" i="33"/>
  <c r="H31" i="59"/>
  <c r="P31" i="59"/>
  <c r="K39" i="59"/>
  <c r="K20" i="59" s="1"/>
  <c r="N39" i="59"/>
  <c r="N20" i="59" s="1"/>
  <c r="F109" i="48"/>
  <c r="K47" i="48"/>
  <c r="K54" i="48" s="1"/>
  <c r="G30" i="59"/>
  <c r="G31" i="59" s="1"/>
  <c r="G32" i="59" s="1"/>
  <c r="G28" i="49"/>
  <c r="O30" i="59"/>
  <c r="O31" i="59" s="1"/>
  <c r="O32" i="59" s="1"/>
  <c r="N27" i="49"/>
  <c r="Q15" i="59"/>
  <c r="O39" i="59"/>
  <c r="O20" i="59" s="1"/>
  <c r="J29" i="48"/>
  <c r="I50" i="48"/>
  <c r="I57" i="48" s="1"/>
  <c r="I32" i="48"/>
  <c r="R12" i="48" s="1"/>
  <c r="S12" i="48" s="1"/>
  <c r="I49" i="48"/>
  <c r="I56" i="48" s="1"/>
  <c r="J28" i="48"/>
  <c r="H27" i="49"/>
  <c r="H28" i="49" s="1"/>
  <c r="P27" i="49"/>
  <c r="P28" i="49" s="1"/>
  <c r="O27" i="49"/>
  <c r="O28" i="49" s="1"/>
  <c r="P12" i="33"/>
  <c r="S12" i="33"/>
  <c r="F16" i="48"/>
  <c r="N16" i="48"/>
  <c r="J110" i="48"/>
  <c r="E27" i="33"/>
  <c r="N95" i="48"/>
  <c r="H77" i="48" s="1"/>
  <c r="I77" i="48" s="1"/>
  <c r="J77" i="48" s="1"/>
  <c r="K77" i="48" s="1"/>
  <c r="L77" i="48" s="1"/>
  <c r="N100" i="48"/>
  <c r="N109" i="48" s="1"/>
  <c r="E3" i="21"/>
  <c r="Q41" i="59"/>
  <c r="D56" i="59"/>
  <c r="D57" i="59" s="1"/>
  <c r="J96" i="48"/>
  <c r="K16" i="5"/>
  <c r="M16" i="5"/>
  <c r="M110" i="48"/>
  <c r="M96" i="48"/>
  <c r="U5" i="21"/>
  <c r="S5" i="21"/>
  <c r="AC17" i="59" s="1"/>
  <c r="O15" i="35" s="1"/>
  <c r="P17" i="55" s="1"/>
  <c r="R5" i="21"/>
  <c r="D6" i="21"/>
  <c r="D9" i="6"/>
  <c r="I95" i="48"/>
  <c r="H96" i="48"/>
  <c r="G27" i="48"/>
  <c r="K48" i="48"/>
  <c r="K55" i="48" s="1"/>
  <c r="L27" i="48"/>
  <c r="K31" i="48"/>
  <c r="I71" i="48"/>
  <c r="C5" i="21"/>
  <c r="F16" i="5"/>
  <c r="N9" i="21"/>
  <c r="P9" i="21"/>
  <c r="O9" i="21"/>
  <c r="J95" i="48"/>
  <c r="I96" i="48"/>
  <c r="Q96" i="48"/>
  <c r="G28" i="48"/>
  <c r="X21" i="48"/>
  <c r="J22" i="35" s="1"/>
  <c r="K24" i="55" s="1"/>
  <c r="Y112" i="48"/>
  <c r="M5" i="21"/>
  <c r="W17" i="59" s="1"/>
  <c r="I15" i="35" s="1"/>
  <c r="J17" i="55" s="1"/>
  <c r="K5" i="21"/>
  <c r="U17" i="59" s="1"/>
  <c r="G15" i="35" s="1"/>
  <c r="H17" i="55" s="1"/>
  <c r="L5" i="21"/>
  <c r="V17" i="59" s="1"/>
  <c r="H15" i="35" s="1"/>
  <c r="I17" i="55" s="1"/>
  <c r="J5" i="21"/>
  <c r="E8" i="5"/>
  <c r="B16" i="5"/>
  <c r="T11" i="48"/>
  <c r="U11" i="48" s="1"/>
  <c r="V11" i="48" s="1"/>
  <c r="W11" i="48" s="1"/>
  <c r="I110" i="48"/>
  <c r="Q110" i="48"/>
  <c r="R110" i="48" s="1"/>
  <c r="T111" i="48"/>
  <c r="S20" i="48"/>
  <c r="F9" i="21"/>
  <c r="H9" i="21"/>
  <c r="I9" i="21"/>
  <c r="G9" i="21"/>
  <c r="J16" i="5"/>
  <c r="D23" i="21"/>
  <c r="N39" i="30" s="1"/>
  <c r="C6" i="21"/>
  <c r="C20" i="21" s="1"/>
  <c r="M36" i="30" s="1"/>
  <c r="D18" i="21"/>
  <c r="H4" i="21"/>
  <c r="R18" i="59" s="1"/>
  <c r="I4" i="21"/>
  <c r="S18" i="59" s="1"/>
  <c r="G4" i="21"/>
  <c r="Q18" i="59" s="1"/>
  <c r="Q24" i="59" s="1"/>
  <c r="F4" i="21"/>
  <c r="G16" i="5"/>
  <c r="I30" i="48"/>
  <c r="R10" i="48" s="1"/>
  <c r="F71" i="48"/>
  <c r="F79" i="48" s="1"/>
  <c r="I10" i="21"/>
  <c r="S39" i="26" s="1"/>
  <c r="S17" i="26" s="1"/>
  <c r="H10" i="21"/>
  <c r="R39" i="26" s="1"/>
  <c r="R17" i="26" s="1"/>
  <c r="M24" i="21"/>
  <c r="L23" i="21"/>
  <c r="V39" i="30" s="1"/>
  <c r="V24" i="30" s="1"/>
  <c r="K18" i="21"/>
  <c r="L6" i="21"/>
  <c r="L24" i="21" s="1"/>
  <c r="K6" i="21"/>
  <c r="K23" i="21" s="1"/>
  <c r="U39" i="30" s="1"/>
  <c r="U24" i="30" s="1"/>
  <c r="J23" i="21"/>
  <c r="T39" i="30" s="1"/>
  <c r="T24" i="30" s="1"/>
  <c r="M18" i="21"/>
  <c r="M23" i="21"/>
  <c r="W39" i="30" s="1"/>
  <c r="W24" i="30" s="1"/>
  <c r="M20" i="21"/>
  <c r="W36" i="30" s="1"/>
  <c r="L18" i="21"/>
  <c r="Q10" i="21"/>
  <c r="AA39" i="26" s="1"/>
  <c r="AA17" i="26" s="1"/>
  <c r="P10" i="21"/>
  <c r="Z39" i="26" s="1"/>
  <c r="Z17" i="26" s="1"/>
  <c r="T6" i="21"/>
  <c r="S6" i="21"/>
  <c r="AC43" i="30" s="1"/>
  <c r="O7" i="35" s="1"/>
  <c r="P9" i="55" s="1"/>
  <c r="C16" i="5"/>
  <c r="F5" i="21"/>
  <c r="L7" i="21"/>
  <c r="E77" i="21" s="1"/>
  <c r="S9" i="21"/>
  <c r="N10" i="21"/>
  <c r="G12" i="21"/>
  <c r="F12" i="21"/>
  <c r="I12" i="21"/>
  <c r="O12" i="21"/>
  <c r="N12" i="21"/>
  <c r="Q12" i="21"/>
  <c r="P12" i="21"/>
  <c r="L16" i="5"/>
  <c r="V16" i="6"/>
  <c r="D11" i="21"/>
  <c r="E1" i="21"/>
  <c r="R6" i="21"/>
  <c r="M7" i="21"/>
  <c r="D9" i="21"/>
  <c r="O10" i="21"/>
  <c r="Y39" i="26" s="1"/>
  <c r="Y17" i="26" s="1"/>
  <c r="D12" i="21"/>
  <c r="G29" i="48"/>
  <c r="I100" i="48"/>
  <c r="I109" i="48" s="1"/>
  <c r="Q100" i="48"/>
  <c r="D8" i="21"/>
  <c r="I13" i="21"/>
  <c r="I14" i="21" s="1"/>
  <c r="H13" i="21"/>
  <c r="H14" i="21" s="1"/>
  <c r="G13" i="21"/>
  <c r="G14" i="21" s="1"/>
  <c r="F13" i="21"/>
  <c r="J3" i="21"/>
  <c r="R3" i="21"/>
  <c r="T51" i="21"/>
  <c r="T50" i="21"/>
  <c r="U6" i="21"/>
  <c r="I5" i="21"/>
  <c r="S17" i="59" s="1"/>
  <c r="E15" i="35" s="1"/>
  <c r="F17" i="55" s="1"/>
  <c r="H5" i="21"/>
  <c r="R17" i="59" s="1"/>
  <c r="D15" i="35" s="1"/>
  <c r="E17" i="55" s="1"/>
  <c r="M19" i="21"/>
  <c r="W35" i="30" s="1"/>
  <c r="W20" i="30" s="1"/>
  <c r="L19" i="21"/>
  <c r="V35" i="30" s="1"/>
  <c r="V20" i="30" s="1"/>
  <c r="J19" i="21"/>
  <c r="T35" i="30" s="1"/>
  <c r="T20" i="30" s="1"/>
  <c r="T15" i="30" s="1"/>
  <c r="M9" i="21"/>
  <c r="J9" i="21"/>
  <c r="Q5" i="21"/>
  <c r="AA17" i="59" s="1"/>
  <c r="M15" i="35" s="1"/>
  <c r="N17" i="55" s="1"/>
  <c r="P5" i="21"/>
  <c r="Z17" i="59" s="1"/>
  <c r="L15" i="35" s="1"/>
  <c r="M17" i="55" s="1"/>
  <c r="U9" i="21"/>
  <c r="R9" i="21"/>
  <c r="U51" i="21"/>
  <c r="U50" i="21"/>
  <c r="D3" i="21"/>
  <c r="W3" i="21" s="1"/>
  <c r="G21" i="21"/>
  <c r="D10" i="21"/>
  <c r="N39" i="26" s="1"/>
  <c r="H19" i="21"/>
  <c r="R35" i="30" s="1"/>
  <c r="R20" i="30" s="1"/>
  <c r="G19" i="21"/>
  <c r="Q35" i="30" s="1"/>
  <c r="H18" i="21"/>
  <c r="H23" i="21"/>
  <c r="R39" i="30" s="1"/>
  <c r="R24" i="30" s="1"/>
  <c r="H20" i="21"/>
  <c r="R36" i="30" s="1"/>
  <c r="G18" i="21"/>
  <c r="H6" i="21"/>
  <c r="H24" i="21" s="1"/>
  <c r="G23" i="21"/>
  <c r="Q39" i="30" s="1"/>
  <c r="Q24" i="30" s="1"/>
  <c r="Q13" i="30" s="1"/>
  <c r="Q12" i="30" s="1"/>
  <c r="G20" i="21"/>
  <c r="Q36" i="30" s="1"/>
  <c r="G24" i="21"/>
  <c r="F23" i="21"/>
  <c r="P39" i="30" s="1"/>
  <c r="P24" i="30" s="1"/>
  <c r="P15" i="30" s="1"/>
  <c r="F6" i="21"/>
  <c r="F24" i="21" s="1"/>
  <c r="M10" i="21"/>
  <c r="W39" i="26" s="1"/>
  <c r="W17" i="26" s="1"/>
  <c r="K10" i="21"/>
  <c r="U39" i="26" s="1"/>
  <c r="U17" i="26" s="1"/>
  <c r="Q23" i="21"/>
  <c r="Q24" i="21"/>
  <c r="P6" i="21"/>
  <c r="Z43" i="30" s="1"/>
  <c r="L7" i="35" s="1"/>
  <c r="M9" i="55" s="1"/>
  <c r="O23" i="21"/>
  <c r="O24" i="21"/>
  <c r="N6" i="21"/>
  <c r="N23" i="21" s="1"/>
  <c r="X39" i="30" s="1"/>
  <c r="X24" i="30" s="1"/>
  <c r="U10" i="21"/>
  <c r="S10" i="21"/>
  <c r="AC39" i="26" s="1"/>
  <c r="AC17" i="26" s="1"/>
  <c r="S17" i="6"/>
  <c r="N5" i="21"/>
  <c r="I6" i="21"/>
  <c r="I20" i="21" s="1"/>
  <c r="S36" i="30" s="1"/>
  <c r="D7" i="21"/>
  <c r="T7" i="21"/>
  <c r="G77" i="21" s="1"/>
  <c r="K9" i="21"/>
  <c r="F10" i="21"/>
  <c r="J12" i="21"/>
  <c r="G7" i="21"/>
  <c r="F7" i="21"/>
  <c r="D77" i="21" s="1"/>
  <c r="I7" i="21"/>
  <c r="O7" i="21"/>
  <c r="N7" i="21"/>
  <c r="F77" i="21" s="1"/>
  <c r="Q7" i="21"/>
  <c r="U12" i="21"/>
  <c r="T12" i="21"/>
  <c r="S12" i="21"/>
  <c r="R12" i="21"/>
  <c r="G82" i="21" s="1"/>
  <c r="H16" i="5"/>
  <c r="U3" i="21"/>
  <c r="O5" i="21"/>
  <c r="Y17" i="59" s="1"/>
  <c r="K15" i="35" s="1"/>
  <c r="L17" i="55" s="1"/>
  <c r="J6" i="21"/>
  <c r="J18" i="21" s="1"/>
  <c r="U7" i="21"/>
  <c r="L9" i="21"/>
  <c r="G10" i="21"/>
  <c r="Q39" i="26" s="1"/>
  <c r="Q17" i="26" s="1"/>
  <c r="L12" i="21"/>
  <c r="E13" i="21"/>
  <c r="E14" i="21" s="1"/>
  <c r="D13" i="21"/>
  <c r="D14" i="21" s="1"/>
  <c r="C13" i="21"/>
  <c r="E7" i="5"/>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V17" i="6"/>
  <c r="M21" i="21"/>
  <c r="C78" i="21"/>
  <c r="E80" i="21"/>
  <c r="E48" i="59" l="1"/>
  <c r="E49" i="59" s="1"/>
  <c r="E50" i="59"/>
  <c r="E25" i="59" s="1"/>
  <c r="K47" i="20"/>
  <c r="K48" i="20" s="1"/>
  <c r="D2" i="50"/>
  <c r="T34" i="30"/>
  <c r="F48" i="59"/>
  <c r="F49" i="59" s="1"/>
  <c r="F52" i="59" s="1"/>
  <c r="F23" i="59" s="1"/>
  <c r="F50" i="59"/>
  <c r="F25" i="59" s="1"/>
  <c r="S10" i="48"/>
  <c r="R9" i="48"/>
  <c r="D19" i="35" s="1"/>
  <c r="E21" i="55" s="1"/>
  <c r="C75" i="21"/>
  <c r="W5" i="21"/>
  <c r="M17" i="59"/>
  <c r="F4" i="50" s="1"/>
  <c r="H32" i="59"/>
  <c r="R15" i="59"/>
  <c r="S10" i="33"/>
  <c r="D12" i="35"/>
  <c r="V17" i="30"/>
  <c r="U15" i="30"/>
  <c r="H5" i="35"/>
  <c r="I7" i="55" s="1"/>
  <c r="J47" i="20"/>
  <c r="J48" i="20" s="1"/>
  <c r="C2" i="50"/>
  <c r="V46" i="20"/>
  <c r="H3" i="35"/>
  <c r="I5" i="55" s="1"/>
  <c r="AC46" i="20"/>
  <c r="O3" i="35"/>
  <c r="P5" i="55" s="1"/>
  <c r="S17" i="38"/>
  <c r="L16" i="38"/>
  <c r="I69" i="38"/>
  <c r="I66" i="38"/>
  <c r="E83" i="21"/>
  <c r="J14" i="21"/>
  <c r="F18" i="21"/>
  <c r="I24" i="21"/>
  <c r="C81" i="21"/>
  <c r="K19" i="21"/>
  <c r="U35" i="30" s="1"/>
  <c r="U20" i="30" s="1"/>
  <c r="U13" i="30" s="1"/>
  <c r="U11" i="30" s="1"/>
  <c r="U44" i="30" s="1"/>
  <c r="G6" i="35" s="1"/>
  <c r="H8" i="55" s="1"/>
  <c r="O48" i="21"/>
  <c r="G48" i="21"/>
  <c r="G47" i="21" s="1"/>
  <c r="V48" i="21"/>
  <c r="N48" i="21"/>
  <c r="F48" i="21"/>
  <c r="F47" i="21" s="1"/>
  <c r="P84" i="26" s="1"/>
  <c r="U48" i="21"/>
  <c r="M48" i="21"/>
  <c r="E48" i="21"/>
  <c r="E47" i="21" s="1"/>
  <c r="O84" i="26" s="1"/>
  <c r="T48" i="21"/>
  <c r="L48" i="21"/>
  <c r="D48" i="21"/>
  <c r="D47" i="21" s="1"/>
  <c r="N84" i="26" s="1"/>
  <c r="S48" i="21"/>
  <c r="K48" i="21"/>
  <c r="R48" i="21"/>
  <c r="J48" i="21"/>
  <c r="Q48" i="21"/>
  <c r="I48" i="21"/>
  <c r="P48" i="21"/>
  <c r="H48" i="21"/>
  <c r="H8" i="21"/>
  <c r="S29" i="21"/>
  <c r="K29" i="21"/>
  <c r="R29" i="21"/>
  <c r="J29" i="21"/>
  <c r="Q29" i="21"/>
  <c r="I29" i="21"/>
  <c r="P29" i="21"/>
  <c r="H29" i="21"/>
  <c r="O29" i="21"/>
  <c r="G29" i="21"/>
  <c r="V29" i="21"/>
  <c r="N29" i="21"/>
  <c r="F29" i="21"/>
  <c r="U29" i="21"/>
  <c r="M29" i="21"/>
  <c r="E29" i="21"/>
  <c r="T29" i="21"/>
  <c r="L29" i="21"/>
  <c r="D29" i="21"/>
  <c r="D28" i="21" s="1"/>
  <c r="N37" i="26"/>
  <c r="F80" i="21"/>
  <c r="X39" i="26"/>
  <c r="X17" i="26" s="1"/>
  <c r="K24" i="21"/>
  <c r="L20" i="21"/>
  <c r="V36" i="30" s="1"/>
  <c r="C24" i="21"/>
  <c r="M40" i="30" s="1"/>
  <c r="Z112" i="48"/>
  <c r="Y21" i="48"/>
  <c r="K22" i="35" s="1"/>
  <c r="L24" i="55" s="1"/>
  <c r="E6" i="21"/>
  <c r="J49" i="48"/>
  <c r="J56" i="48" s="1"/>
  <c r="K28" i="48"/>
  <c r="J32" i="48"/>
  <c r="G80" i="21"/>
  <c r="E30" i="59"/>
  <c r="E31" i="59" s="1"/>
  <c r="E32" i="59" s="1"/>
  <c r="E28" i="49"/>
  <c r="U42" i="21"/>
  <c r="E5" i="35"/>
  <c r="F7" i="55" s="1"/>
  <c r="J5" i="35"/>
  <c r="K7" i="55" s="1"/>
  <c r="H30" i="48"/>
  <c r="G47" i="48"/>
  <c r="G54" i="48" s="1"/>
  <c r="G77" i="48" s="1"/>
  <c r="S16" i="40"/>
  <c r="S12" i="40" s="1"/>
  <c r="S14" i="26" s="1"/>
  <c r="S77" i="26" s="1"/>
  <c r="R12" i="40"/>
  <c r="R14" i="26" s="1"/>
  <c r="W46" i="20"/>
  <c r="I3" i="35"/>
  <c r="J5" i="55" s="1"/>
  <c r="AO60" i="20"/>
  <c r="AO61" i="20"/>
  <c r="AO62" i="20"/>
  <c r="H26" i="20"/>
  <c r="H12" i="20"/>
  <c r="U14" i="25"/>
  <c r="U13" i="25" s="1"/>
  <c r="V12" i="25"/>
  <c r="L17" i="40"/>
  <c r="L15" i="40"/>
  <c r="T41" i="38"/>
  <c r="P40" i="38"/>
  <c r="R40" i="38" s="1"/>
  <c r="I19" i="25"/>
  <c r="I14" i="59" s="1"/>
  <c r="O30" i="38"/>
  <c r="Q30" i="38" s="1"/>
  <c r="S31" i="38"/>
  <c r="J25" i="26"/>
  <c r="AD25" i="26" s="1"/>
  <c r="AD26" i="26"/>
  <c r="AE12" i="26" s="1"/>
  <c r="O37" i="21"/>
  <c r="V37" i="21"/>
  <c r="N37" i="21"/>
  <c r="U37" i="21"/>
  <c r="M37" i="21"/>
  <c r="T37" i="21"/>
  <c r="L37" i="21"/>
  <c r="S37" i="21"/>
  <c r="R37" i="21"/>
  <c r="Q37" i="21"/>
  <c r="P37" i="21"/>
  <c r="V37" i="26"/>
  <c r="F82" i="21"/>
  <c r="V34" i="30"/>
  <c r="K99" i="55"/>
  <c r="K74" i="55"/>
  <c r="J19" i="25"/>
  <c r="J14" i="59" s="1"/>
  <c r="J48" i="59" s="1"/>
  <c r="J49" i="59" s="1"/>
  <c r="M4" i="21"/>
  <c r="W18" i="59" s="1"/>
  <c r="W24" i="59" s="1"/>
  <c r="J4" i="21"/>
  <c r="L4" i="21"/>
  <c r="V18" i="59" s="1"/>
  <c r="V24" i="59" s="1"/>
  <c r="K4" i="21"/>
  <c r="U18" i="59" s="1"/>
  <c r="U24" i="59" s="1"/>
  <c r="F75" i="21"/>
  <c r="X17" i="59"/>
  <c r="J15" i="35" s="1"/>
  <c r="K17" i="55" s="1"/>
  <c r="O25" i="21"/>
  <c r="Y41" i="30" s="1"/>
  <c r="Y39" i="30"/>
  <c r="Y24" i="30" s="1"/>
  <c r="I19" i="21"/>
  <c r="S35" i="30" s="1"/>
  <c r="S20" i="30" s="1"/>
  <c r="N17" i="26"/>
  <c r="G76" i="21"/>
  <c r="AB43" i="30"/>
  <c r="N7" i="35" s="1"/>
  <c r="O9" i="55" s="1"/>
  <c r="P32" i="21"/>
  <c r="H32" i="21"/>
  <c r="O32" i="21"/>
  <c r="G32" i="21"/>
  <c r="V32" i="21"/>
  <c r="N32" i="21"/>
  <c r="U32" i="21"/>
  <c r="M32" i="21"/>
  <c r="T32" i="21"/>
  <c r="L32" i="21"/>
  <c r="S32" i="21"/>
  <c r="K32" i="21"/>
  <c r="R32" i="21"/>
  <c r="J32" i="21"/>
  <c r="Q32" i="21"/>
  <c r="I32" i="21"/>
  <c r="Q37" i="26"/>
  <c r="Q35" i="26" s="1"/>
  <c r="S110" i="48"/>
  <c r="R19" i="48"/>
  <c r="P4" i="21"/>
  <c r="Z18" i="59" s="1"/>
  <c r="Z24" i="59" s="1"/>
  <c r="Q4" i="21"/>
  <c r="AA18" i="59" s="1"/>
  <c r="AA24" i="59" s="1"/>
  <c r="O4" i="21"/>
  <c r="Y18" i="59" s="1"/>
  <c r="Y24" i="59" s="1"/>
  <c r="N4" i="21"/>
  <c r="T40" i="21"/>
  <c r="S40" i="21"/>
  <c r="R40" i="21"/>
  <c r="Q40" i="21"/>
  <c r="P40" i="21"/>
  <c r="O40" i="21"/>
  <c r="V40" i="21"/>
  <c r="U40" i="21"/>
  <c r="Y37" i="26"/>
  <c r="L31" i="48"/>
  <c r="L48" i="48"/>
  <c r="G75" i="21"/>
  <c r="AB17" i="59"/>
  <c r="N15" i="35" s="1"/>
  <c r="O17" i="55" s="1"/>
  <c r="T12" i="48"/>
  <c r="U12" i="48" s="1"/>
  <c r="V12" i="48" s="1"/>
  <c r="W12" i="48" s="1"/>
  <c r="D20" i="49"/>
  <c r="L5" i="35"/>
  <c r="M7" i="55" s="1"/>
  <c r="X46" i="20"/>
  <c r="J3" i="35"/>
  <c r="K5" i="55" s="1"/>
  <c r="T46" i="20"/>
  <c r="F3" i="35"/>
  <c r="G5" i="55" s="1"/>
  <c r="R46" i="20"/>
  <c r="D3" i="35"/>
  <c r="E5" i="55" s="1"/>
  <c r="O17" i="40"/>
  <c r="M14" i="59"/>
  <c r="M48" i="59" s="1"/>
  <c r="M49" i="59" s="1"/>
  <c r="M19" i="25"/>
  <c r="K66" i="38"/>
  <c r="L48" i="59"/>
  <c r="L49" i="59" s="1"/>
  <c r="Q28" i="49"/>
  <c r="R26" i="49"/>
  <c r="Q30" i="59"/>
  <c r="Q31" i="59" s="1"/>
  <c r="C11" i="35"/>
  <c r="D13" i="55" s="1"/>
  <c r="L15" i="21"/>
  <c r="V38" i="26"/>
  <c r="F76" i="21"/>
  <c r="X43" i="30"/>
  <c r="J7" i="35" s="1"/>
  <c r="K9" i="55" s="1"/>
  <c r="M15" i="21"/>
  <c r="W38" i="26"/>
  <c r="I21" i="21"/>
  <c r="S43" i="30"/>
  <c r="E7" i="35" s="1"/>
  <c r="F9" i="55" s="1"/>
  <c r="V44" i="21"/>
  <c r="U44" i="21"/>
  <c r="T44" i="21"/>
  <c r="S44" i="21"/>
  <c r="AC37" i="26"/>
  <c r="C76" i="21"/>
  <c r="C21" i="21"/>
  <c r="M37" i="30" s="1"/>
  <c r="W6" i="21"/>
  <c r="M43" i="30"/>
  <c r="U111" i="48"/>
  <c r="T20" i="48"/>
  <c r="O16" i="35"/>
  <c r="P18" i="55" s="1"/>
  <c r="D5" i="35"/>
  <c r="E7" i="55" s="1"/>
  <c r="M22" i="21"/>
  <c r="W38" i="30" s="1"/>
  <c r="W37" i="30"/>
  <c r="F83" i="21"/>
  <c r="N14" i="21"/>
  <c r="C14" i="21"/>
  <c r="C83" i="21"/>
  <c r="W13" i="21"/>
  <c r="E76" i="21"/>
  <c r="J21" i="21"/>
  <c r="T43" i="30"/>
  <c r="F7" i="35" s="1"/>
  <c r="G9" i="55" s="1"/>
  <c r="V51" i="21"/>
  <c r="V50" i="21"/>
  <c r="P24" i="21"/>
  <c r="I23" i="21"/>
  <c r="S39" i="30" s="1"/>
  <c r="S24" i="30" s="1"/>
  <c r="M92" i="55"/>
  <c r="M67" i="55"/>
  <c r="E92" i="55"/>
  <c r="E67" i="55"/>
  <c r="E16" i="5"/>
  <c r="G50" i="48"/>
  <c r="G57" i="48" s="1"/>
  <c r="G80" i="48" s="1"/>
  <c r="H33" i="48"/>
  <c r="E9" i="21"/>
  <c r="C79" i="21" s="1"/>
  <c r="E4" i="21"/>
  <c r="E10" i="21"/>
  <c r="E5" i="21"/>
  <c r="O17" i="59" s="1"/>
  <c r="H4" i="50" s="1"/>
  <c r="E11" i="21"/>
  <c r="W11" i="21" s="1"/>
  <c r="E7" i="21"/>
  <c r="W7" i="21" s="1"/>
  <c r="E12" i="21"/>
  <c r="D75" i="21"/>
  <c r="P17" i="59"/>
  <c r="I4" i="50" s="1"/>
  <c r="K20" i="21"/>
  <c r="U36" i="30" s="1"/>
  <c r="C23" i="21"/>
  <c r="M39" i="30" s="1"/>
  <c r="S34" i="21"/>
  <c r="K34" i="21"/>
  <c r="R34" i="21"/>
  <c r="J34" i="21"/>
  <c r="Q34" i="21"/>
  <c r="I34" i="21"/>
  <c r="P34" i="21"/>
  <c r="O34" i="21"/>
  <c r="V34" i="21"/>
  <c r="N34" i="21"/>
  <c r="U34" i="21"/>
  <c r="M34" i="21"/>
  <c r="T34" i="21"/>
  <c r="L34" i="21"/>
  <c r="S37" i="26"/>
  <c r="N19" i="21"/>
  <c r="U41" i="21"/>
  <c r="T41" i="21"/>
  <c r="S41" i="21"/>
  <c r="R41" i="21"/>
  <c r="Q41" i="21"/>
  <c r="P41" i="21"/>
  <c r="V41" i="21"/>
  <c r="Z37" i="26"/>
  <c r="P67" i="55"/>
  <c r="P92" i="55"/>
  <c r="G74" i="21"/>
  <c r="AB18" i="59"/>
  <c r="AB24" i="59" s="1"/>
  <c r="E48" i="26"/>
  <c r="F5" i="35"/>
  <c r="G7" i="55" s="1"/>
  <c r="Z46" i="20"/>
  <c r="L3" i="35"/>
  <c r="M5" i="55" s="1"/>
  <c r="P48" i="38"/>
  <c r="J67" i="38"/>
  <c r="G48" i="59"/>
  <c r="G49" i="59" s="1"/>
  <c r="G50" i="59"/>
  <c r="G25" i="59" s="1"/>
  <c r="Q27" i="49"/>
  <c r="C10" i="35" s="1"/>
  <c r="D12" i="55" s="1"/>
  <c r="Q15" i="21"/>
  <c r="AA38" i="26"/>
  <c r="AA35" i="26" s="1"/>
  <c r="Q25" i="21"/>
  <c r="AA41" i="30" s="1"/>
  <c r="AA39" i="30"/>
  <c r="AA24" i="30" s="1"/>
  <c r="U34" i="30"/>
  <c r="R14" i="21"/>
  <c r="G83" i="21"/>
  <c r="R43" i="21"/>
  <c r="G79" i="21"/>
  <c r="V43" i="21"/>
  <c r="U43" i="21"/>
  <c r="T43" i="21"/>
  <c r="S43" i="21"/>
  <c r="AB37" i="26"/>
  <c r="T18" i="48"/>
  <c r="D21" i="21"/>
  <c r="N43" i="30"/>
  <c r="Y46" i="20"/>
  <c r="K3" i="35"/>
  <c r="L5" i="55" s="1"/>
  <c r="L92" i="55"/>
  <c r="L67" i="55"/>
  <c r="D82" i="21"/>
  <c r="M25" i="21"/>
  <c r="W34" i="30"/>
  <c r="D24" i="21"/>
  <c r="N40" i="30" s="1"/>
  <c r="Q33" i="21"/>
  <c r="I33" i="21"/>
  <c r="P33" i="21"/>
  <c r="H33" i="21"/>
  <c r="O33" i="21"/>
  <c r="V33" i="21"/>
  <c r="N33" i="21"/>
  <c r="U33" i="21"/>
  <c r="M33" i="21"/>
  <c r="T33" i="21"/>
  <c r="L33" i="21"/>
  <c r="S33" i="21"/>
  <c r="K33" i="21"/>
  <c r="R33" i="21"/>
  <c r="J33" i="21"/>
  <c r="R37" i="26"/>
  <c r="Q109" i="48"/>
  <c r="R109" i="48" s="1"/>
  <c r="S109" i="48" s="1"/>
  <c r="T109" i="48" s="1"/>
  <c r="U109" i="48" s="1"/>
  <c r="V109" i="48" s="1"/>
  <c r="W109" i="48" s="1"/>
  <c r="X109" i="48" s="1"/>
  <c r="Y109" i="48" s="1"/>
  <c r="Z109" i="48" s="1"/>
  <c r="AA109" i="48" s="1"/>
  <c r="AB109" i="48" s="1"/>
  <c r="AC109" i="48" s="1"/>
  <c r="AC18" i="48" s="1"/>
  <c r="E75" i="21"/>
  <c r="T17" i="59"/>
  <c r="F15" i="35" s="1"/>
  <c r="G17" i="55" s="1"/>
  <c r="T39" i="21"/>
  <c r="S39" i="21"/>
  <c r="R39" i="21"/>
  <c r="Q39" i="21"/>
  <c r="F79" i="21"/>
  <c r="P39" i="21"/>
  <c r="O39" i="21"/>
  <c r="V39" i="21"/>
  <c r="N39" i="21"/>
  <c r="U39" i="21"/>
  <c r="X37" i="26"/>
  <c r="H31" i="48"/>
  <c r="G48" i="48"/>
  <c r="G55" i="48" s="1"/>
  <c r="G78" i="48" s="1"/>
  <c r="K29" i="48"/>
  <c r="J50" i="48"/>
  <c r="J57" i="48" s="1"/>
  <c r="J33" i="48"/>
  <c r="T13" i="48" s="1"/>
  <c r="Q42" i="21"/>
  <c r="N5" i="35"/>
  <c r="O7" i="55" s="1"/>
  <c r="AD36" i="26"/>
  <c r="AE19" i="26" s="1"/>
  <c r="R19" i="26" s="1"/>
  <c r="AD19" i="26" s="1"/>
  <c r="S15" i="40"/>
  <c r="S11" i="40" s="1"/>
  <c r="S19" i="59" s="1"/>
  <c r="S24" i="59" s="1"/>
  <c r="R11" i="40"/>
  <c r="O14" i="59"/>
  <c r="S46" i="20"/>
  <c r="E3" i="35"/>
  <c r="F5" i="55" s="1"/>
  <c r="AP61" i="20"/>
  <c r="AP62" i="20"/>
  <c r="AP60" i="20"/>
  <c r="I26" i="20"/>
  <c r="O16" i="40"/>
  <c r="M30" i="26"/>
  <c r="J70" i="38"/>
  <c r="D14" i="59"/>
  <c r="V14" i="40"/>
  <c r="I28" i="49"/>
  <c r="I30" i="59"/>
  <c r="I31" i="59" s="1"/>
  <c r="I32" i="59" s="1"/>
  <c r="E82" i="21"/>
  <c r="M84" i="55"/>
  <c r="M59" i="55"/>
  <c r="F21" i="21"/>
  <c r="D76" i="21"/>
  <c r="P43" i="30"/>
  <c r="H21" i="21"/>
  <c r="R43" i="30"/>
  <c r="D7" i="35" s="1"/>
  <c r="E9" i="55" s="1"/>
  <c r="I18" i="21"/>
  <c r="G22" i="21"/>
  <c r="Q38" i="30" s="1"/>
  <c r="Q37" i="30"/>
  <c r="N92" i="55"/>
  <c r="N67" i="55"/>
  <c r="F67" i="55"/>
  <c r="F92" i="55"/>
  <c r="D83" i="21"/>
  <c r="F14" i="21"/>
  <c r="K15" i="21"/>
  <c r="U38" i="26"/>
  <c r="O15" i="21"/>
  <c r="Y38" i="26"/>
  <c r="E15" i="21"/>
  <c r="O38" i="26"/>
  <c r="D80" i="21"/>
  <c r="P39" i="26"/>
  <c r="P17" i="26" s="1"/>
  <c r="P23" i="21"/>
  <c r="F20" i="21"/>
  <c r="P36" i="30" s="1"/>
  <c r="Q34" i="30"/>
  <c r="F19" i="21"/>
  <c r="P35" i="30" s="1"/>
  <c r="V35" i="21"/>
  <c r="N35" i="21"/>
  <c r="U35" i="21"/>
  <c r="M35" i="21"/>
  <c r="T35" i="21"/>
  <c r="L35" i="21"/>
  <c r="S35" i="21"/>
  <c r="K35" i="21"/>
  <c r="R35" i="21"/>
  <c r="J35" i="21"/>
  <c r="E79" i="21"/>
  <c r="Q35" i="21"/>
  <c r="P35" i="21"/>
  <c r="O35" i="21"/>
  <c r="T37" i="26"/>
  <c r="C80" i="21"/>
  <c r="G15" i="21"/>
  <c r="Q38" i="26"/>
  <c r="P84" i="55"/>
  <c r="P59" i="55"/>
  <c r="J24" i="21"/>
  <c r="D74" i="21"/>
  <c r="P18" i="59"/>
  <c r="P24" i="59" s="1"/>
  <c r="I5" i="50" s="1"/>
  <c r="C19" i="21"/>
  <c r="M35" i="30" s="1"/>
  <c r="C18" i="21"/>
  <c r="P31" i="21"/>
  <c r="H31" i="21"/>
  <c r="O31" i="21"/>
  <c r="G31" i="21"/>
  <c r="V31" i="21"/>
  <c r="N31" i="21"/>
  <c r="F31" i="21"/>
  <c r="U31" i="21"/>
  <c r="M31" i="21"/>
  <c r="T31" i="21"/>
  <c r="L31" i="21"/>
  <c r="S31" i="21"/>
  <c r="K31" i="21"/>
  <c r="D79" i="21"/>
  <c r="R31" i="21"/>
  <c r="J31" i="21"/>
  <c r="Q31" i="21"/>
  <c r="I31" i="21"/>
  <c r="P37" i="26"/>
  <c r="I67" i="55"/>
  <c r="I92" i="55"/>
  <c r="H32" i="48"/>
  <c r="G49" i="48"/>
  <c r="G56" i="48" s="1"/>
  <c r="E56" i="59"/>
  <c r="E57" i="59" s="1"/>
  <c r="N32" i="59"/>
  <c r="F24" i="33"/>
  <c r="T13" i="30"/>
  <c r="T11" i="30" s="1"/>
  <c r="T44" i="30" s="1"/>
  <c r="F6" i="35" s="1"/>
  <c r="G8" i="55" s="1"/>
  <c r="P13" i="30"/>
  <c r="P12" i="30" s="1"/>
  <c r="R42" i="21"/>
  <c r="J28" i="49"/>
  <c r="J30" i="59"/>
  <c r="J31" i="59" s="1"/>
  <c r="J32" i="59" s="1"/>
  <c r="G5" i="35"/>
  <c r="H7" i="55" s="1"/>
  <c r="AA46" i="20"/>
  <c r="M3" i="35"/>
  <c r="N5" i="55" s="1"/>
  <c r="AD32" i="26"/>
  <c r="N56" i="38"/>
  <c r="Q14" i="59"/>
  <c r="Q48" i="59" s="1"/>
  <c r="Q49" i="59" s="1"/>
  <c r="R20" i="25"/>
  <c r="C9" i="35"/>
  <c r="D11" i="55" s="1"/>
  <c r="P19" i="25"/>
  <c r="P14" i="59" s="1"/>
  <c r="P48" i="59" s="1"/>
  <c r="P49" i="59" s="1"/>
  <c r="I70" i="38"/>
  <c r="I15" i="21"/>
  <c r="S38" i="26"/>
  <c r="J92" i="55"/>
  <c r="J67" i="55"/>
  <c r="R34" i="30"/>
  <c r="K21" i="21"/>
  <c r="U43" i="30"/>
  <c r="G7" i="35" s="1"/>
  <c r="H9" i="55" s="1"/>
  <c r="N34" i="30"/>
  <c r="D15" i="21"/>
  <c r="N38" i="26"/>
  <c r="S15" i="21"/>
  <c r="AC38" i="26"/>
  <c r="P15" i="21"/>
  <c r="Z38" i="26"/>
  <c r="R36" i="21"/>
  <c r="Q36" i="21"/>
  <c r="P36" i="21"/>
  <c r="O36" i="21"/>
  <c r="V36" i="21"/>
  <c r="N36" i="21"/>
  <c r="U36" i="21"/>
  <c r="M36" i="21"/>
  <c r="T36" i="21"/>
  <c r="L36" i="21"/>
  <c r="S36" i="21"/>
  <c r="K36" i="21"/>
  <c r="U37" i="26"/>
  <c r="N24" i="21"/>
  <c r="U38" i="21"/>
  <c r="M38" i="21"/>
  <c r="T38" i="21"/>
  <c r="S38" i="21"/>
  <c r="R38" i="21"/>
  <c r="Q38" i="21"/>
  <c r="P38" i="21"/>
  <c r="O38" i="21"/>
  <c r="V38" i="21"/>
  <c r="N38" i="21"/>
  <c r="W37" i="26"/>
  <c r="H15" i="21"/>
  <c r="R38" i="26"/>
  <c r="J20" i="21"/>
  <c r="T36" i="30" s="1"/>
  <c r="L21" i="21"/>
  <c r="V43" i="30"/>
  <c r="H7" i="35" s="1"/>
  <c r="I9" i="55" s="1"/>
  <c r="J5" i="50"/>
  <c r="C16" i="35"/>
  <c r="D18" i="55" s="1"/>
  <c r="D19" i="21"/>
  <c r="N35" i="30" s="1"/>
  <c r="D20" i="21"/>
  <c r="N36" i="30" s="1"/>
  <c r="X11" i="48"/>
  <c r="Y11" i="48" s="1"/>
  <c r="Z11" i="48" s="1"/>
  <c r="AA11" i="48" s="1"/>
  <c r="AB11" i="48" s="1"/>
  <c r="AC11" i="48" s="1"/>
  <c r="H67" i="55"/>
  <c r="H92" i="55"/>
  <c r="Q95" i="48"/>
  <c r="P32" i="59"/>
  <c r="M30" i="59"/>
  <c r="M31" i="59" s="1"/>
  <c r="M32" i="59" s="1"/>
  <c r="F45" i="49"/>
  <c r="G45" i="49" s="1"/>
  <c r="H45" i="49" s="1"/>
  <c r="I45" i="49" s="1"/>
  <c r="M28" i="49"/>
  <c r="L47" i="48"/>
  <c r="L30" i="48"/>
  <c r="K28" i="49"/>
  <c r="K30" i="59"/>
  <c r="K31" i="59" s="1"/>
  <c r="L32" i="59" s="1"/>
  <c r="S42" i="21"/>
  <c r="L47" i="20"/>
  <c r="L48" i="20" s="1"/>
  <c r="E2" i="50"/>
  <c r="O5" i="35"/>
  <c r="P7" i="55" s="1"/>
  <c r="U46" i="20"/>
  <c r="G3" i="35"/>
  <c r="H5" i="55" s="1"/>
  <c r="D85" i="55"/>
  <c r="D60" i="55"/>
  <c r="H14" i="59"/>
  <c r="Q17" i="40"/>
  <c r="R17" i="40" s="1"/>
  <c r="G83" i="55" l="1"/>
  <c r="G58" i="55"/>
  <c r="E16" i="35"/>
  <c r="F18" i="55" s="1"/>
  <c r="I48" i="59"/>
  <c r="I49" i="59" s="1"/>
  <c r="I52" i="59" s="1"/>
  <c r="I23" i="59" s="1"/>
  <c r="I50" i="59"/>
  <c r="H83" i="55"/>
  <c r="H58" i="55"/>
  <c r="L22" i="21"/>
  <c r="V38" i="30" s="1"/>
  <c r="V37" i="30"/>
  <c r="U13" i="26"/>
  <c r="U35" i="26"/>
  <c r="S17" i="40"/>
  <c r="S13" i="40" s="1"/>
  <c r="S19" i="30" s="1"/>
  <c r="R13" i="40"/>
  <c r="R19" i="30" s="1"/>
  <c r="D22" i="21"/>
  <c r="N38" i="30" s="1"/>
  <c r="N37" i="30"/>
  <c r="J69" i="38"/>
  <c r="J66" i="38"/>
  <c r="I22" i="21"/>
  <c r="S38" i="30" s="1"/>
  <c r="S37" i="30"/>
  <c r="Q32" i="59"/>
  <c r="R31" i="59"/>
  <c r="C18" i="35"/>
  <c r="D20" i="55" s="1"/>
  <c r="K92" i="55"/>
  <c r="K67" i="55"/>
  <c r="P41" i="38"/>
  <c r="R41" i="38" s="1"/>
  <c r="T42" i="38"/>
  <c r="L99" i="55"/>
  <c r="L74" i="55"/>
  <c r="F28" i="21"/>
  <c r="J29" i="62"/>
  <c r="E14" i="55"/>
  <c r="J25" i="21"/>
  <c r="H48" i="59"/>
  <c r="H49" i="59" s="1"/>
  <c r="H52" i="59" s="1"/>
  <c r="H23" i="59" s="1"/>
  <c r="H50" i="59"/>
  <c r="H25" i="59" s="1"/>
  <c r="AS62" i="20"/>
  <c r="AS60" i="20"/>
  <c r="AS61" i="20"/>
  <c r="L12" i="20"/>
  <c r="L26" i="20"/>
  <c r="R14" i="59"/>
  <c r="S20" i="25"/>
  <c r="D9" i="35"/>
  <c r="C25" i="21"/>
  <c r="M41" i="30" s="1"/>
  <c r="M34" i="30"/>
  <c r="E84" i="55"/>
  <c r="E59" i="55"/>
  <c r="F80" i="55"/>
  <c r="F55" i="55"/>
  <c r="X13" i="26"/>
  <c r="W41" i="30"/>
  <c r="M26" i="21"/>
  <c r="AB18" i="48"/>
  <c r="N16" i="35"/>
  <c r="O18" i="55" s="1"/>
  <c r="C82" i="21"/>
  <c r="W12" i="21"/>
  <c r="C15" i="21"/>
  <c r="C84" i="21"/>
  <c r="W14" i="21"/>
  <c r="P93" i="55"/>
  <c r="P68" i="55"/>
  <c r="AC13" i="26"/>
  <c r="AC35" i="26"/>
  <c r="R28" i="49"/>
  <c r="S26" i="49"/>
  <c r="R30" i="59"/>
  <c r="R27" i="49"/>
  <c r="D11" i="35"/>
  <c r="Y35" i="26"/>
  <c r="Y13" i="26"/>
  <c r="O84" i="55"/>
  <c r="O59" i="55"/>
  <c r="AA112" i="48"/>
  <c r="Z21" i="48"/>
  <c r="L22" i="35" s="1"/>
  <c r="M24" i="55" s="1"/>
  <c r="N28" i="21"/>
  <c r="X82" i="26" s="1"/>
  <c r="AQ61" i="20"/>
  <c r="AQ62" i="20"/>
  <c r="AQ60" i="20"/>
  <c r="J12" i="20"/>
  <c r="J26" i="20"/>
  <c r="S15" i="59"/>
  <c r="T10" i="33"/>
  <c r="E12" i="35"/>
  <c r="F14" i="55" s="1"/>
  <c r="E59" i="59"/>
  <c r="D61" i="55"/>
  <c r="D86" i="55"/>
  <c r="I25" i="21"/>
  <c r="S34" i="30"/>
  <c r="O82" i="55"/>
  <c r="O57" i="55"/>
  <c r="H22" i="21"/>
  <c r="R38" i="30" s="1"/>
  <c r="R37" i="30"/>
  <c r="M78" i="26"/>
  <c r="M29" i="26"/>
  <c r="N30" i="26"/>
  <c r="M15" i="26"/>
  <c r="U18" i="48"/>
  <c r="G80" i="55"/>
  <c r="G55" i="55"/>
  <c r="G16" i="35"/>
  <c r="H18" i="55" s="1"/>
  <c r="K57" i="55"/>
  <c r="K82" i="55"/>
  <c r="R28" i="21"/>
  <c r="AB82" i="26" s="1"/>
  <c r="N16" i="38"/>
  <c r="I82" i="55"/>
  <c r="I57" i="55"/>
  <c r="D68" i="55"/>
  <c r="D93" i="55"/>
  <c r="W13" i="26"/>
  <c r="W35" i="26"/>
  <c r="V18" i="48"/>
  <c r="G84" i="55"/>
  <c r="G59" i="55"/>
  <c r="F87" i="21"/>
  <c r="K84" i="55"/>
  <c r="K59" i="55"/>
  <c r="K16" i="35"/>
  <c r="L18" i="55" s="1"/>
  <c r="H16" i="35"/>
  <c r="I18" i="55" s="1"/>
  <c r="L25" i="21"/>
  <c r="R11" i="25"/>
  <c r="U47" i="21"/>
  <c r="S18" i="38"/>
  <c r="L17" i="38"/>
  <c r="N17" i="38" s="1"/>
  <c r="F32" i="59"/>
  <c r="T10" i="48"/>
  <c r="S9" i="48"/>
  <c r="E19" i="35" s="1"/>
  <c r="F21" i="55" s="1"/>
  <c r="AR62" i="20"/>
  <c r="AR61" i="20"/>
  <c r="AR60" i="20"/>
  <c r="K26" i="20"/>
  <c r="K12" i="20"/>
  <c r="P82" i="55"/>
  <c r="P57" i="55"/>
  <c r="E55" i="55"/>
  <c r="E80" i="55"/>
  <c r="G79" i="48"/>
  <c r="J79" i="48"/>
  <c r="K79" i="48" s="1"/>
  <c r="L79" i="48" s="1"/>
  <c r="N15" i="21"/>
  <c r="F85" i="21" s="1"/>
  <c r="F84" i="21"/>
  <c r="X38" i="26"/>
  <c r="X35" i="26" s="1"/>
  <c r="T13" i="26"/>
  <c r="I6" i="50"/>
  <c r="P44" i="30"/>
  <c r="R19" i="59"/>
  <c r="R24" i="59" s="1"/>
  <c r="J46" i="62"/>
  <c r="U13" i="48"/>
  <c r="F21" i="35"/>
  <c r="G23" i="55" s="1"/>
  <c r="G92" i="55"/>
  <c r="G67" i="55"/>
  <c r="Y18" i="48"/>
  <c r="W18" i="48"/>
  <c r="G82" i="55"/>
  <c r="G57" i="55"/>
  <c r="J22" i="21"/>
  <c r="T38" i="30" s="1"/>
  <c r="T37" i="30"/>
  <c r="U20" i="48"/>
  <c r="V111" i="48"/>
  <c r="K73" i="38"/>
  <c r="K71" i="38"/>
  <c r="K80" i="55"/>
  <c r="K55" i="55"/>
  <c r="M16" i="35"/>
  <c r="N18" i="55" s="1"/>
  <c r="E74" i="21"/>
  <c r="T18" i="59"/>
  <c r="T24" i="59" s="1"/>
  <c r="S32" i="38"/>
  <c r="O31" i="38"/>
  <c r="V14" i="25"/>
  <c r="V13" i="25" s="1"/>
  <c r="W12" i="25"/>
  <c r="J80" i="55"/>
  <c r="J55" i="55"/>
  <c r="F82" i="55"/>
  <c r="F57" i="55"/>
  <c r="K32" i="48"/>
  <c r="X12" i="48" s="1"/>
  <c r="Y12" i="48" s="1"/>
  <c r="Z12" i="48" s="1"/>
  <c r="AA12" i="48" s="1"/>
  <c r="L28" i="48"/>
  <c r="K49" i="48"/>
  <c r="K56" i="48" s="1"/>
  <c r="T28" i="21"/>
  <c r="O28" i="21"/>
  <c r="Y82" i="26" s="1"/>
  <c r="P34" i="30"/>
  <c r="P80" i="55"/>
  <c r="P55" i="55"/>
  <c r="E27" i="59"/>
  <c r="H57" i="55"/>
  <c r="H82" i="55"/>
  <c r="F15" i="21"/>
  <c r="D85" i="21" s="1"/>
  <c r="D84" i="21"/>
  <c r="D87" i="21" s="1"/>
  <c r="P38" i="26"/>
  <c r="R18" i="48"/>
  <c r="R16" i="48" s="1"/>
  <c r="D20" i="35" s="1"/>
  <c r="E22" i="55" s="1"/>
  <c r="M55" i="55"/>
  <c r="M80" i="55"/>
  <c r="F74" i="21"/>
  <c r="X18" i="59"/>
  <c r="X24" i="59" s="1"/>
  <c r="E71" i="55"/>
  <c r="E96" i="55"/>
  <c r="H80" i="55"/>
  <c r="H55" i="55"/>
  <c r="K32" i="59"/>
  <c r="I59" i="55"/>
  <c r="I84" i="55"/>
  <c r="H59" i="55"/>
  <c r="H84" i="55"/>
  <c r="N80" i="55"/>
  <c r="N55" i="55"/>
  <c r="C77" i="21"/>
  <c r="G25" i="21"/>
  <c r="L80" i="55"/>
  <c r="L55" i="55"/>
  <c r="Z18" i="48"/>
  <c r="X18" i="48"/>
  <c r="D87" i="55"/>
  <c r="D62" i="55"/>
  <c r="Z35" i="26"/>
  <c r="Z13" i="26"/>
  <c r="N25" i="21"/>
  <c r="X41" i="30" s="1"/>
  <c r="X35" i="30"/>
  <c r="X20" i="30" s="1"/>
  <c r="O39" i="26"/>
  <c r="W10" i="21"/>
  <c r="F6" i="50"/>
  <c r="M44" i="30"/>
  <c r="O92" i="55"/>
  <c r="O67" i="55"/>
  <c r="L16" i="35"/>
  <c r="M18" i="55" s="1"/>
  <c r="I16" i="35"/>
  <c r="J18" i="55" s="1"/>
  <c r="V35" i="26"/>
  <c r="V13" i="26"/>
  <c r="U52" i="21"/>
  <c r="M52" i="21"/>
  <c r="M47" i="21" s="1"/>
  <c r="W84" i="26" s="1"/>
  <c r="T52" i="21"/>
  <c r="T47" i="21" s="1"/>
  <c r="L52" i="21"/>
  <c r="L47" i="21" s="1"/>
  <c r="V84" i="26" s="1"/>
  <c r="S52" i="21"/>
  <c r="S47" i="21" s="1"/>
  <c r="AC84" i="26" s="1"/>
  <c r="K52" i="21"/>
  <c r="K47" i="21" s="1"/>
  <c r="U84" i="26" s="1"/>
  <c r="D78" i="21"/>
  <c r="R52" i="21"/>
  <c r="R47" i="21" s="1"/>
  <c r="AB84" i="26" s="1"/>
  <c r="J52" i="21"/>
  <c r="J47" i="21" s="1"/>
  <c r="T84" i="26" s="1"/>
  <c r="Q52" i="21"/>
  <c r="Q47" i="21" s="1"/>
  <c r="AA84" i="26" s="1"/>
  <c r="I52" i="21"/>
  <c r="I47" i="21" s="1"/>
  <c r="P52" i="21"/>
  <c r="P47" i="21" s="1"/>
  <c r="Z84" i="26" s="1"/>
  <c r="H52" i="21"/>
  <c r="O52" i="21"/>
  <c r="O47" i="21" s="1"/>
  <c r="Y84" i="26" s="1"/>
  <c r="V52" i="21"/>
  <c r="N52" i="21"/>
  <c r="W8" i="21"/>
  <c r="N47" i="21"/>
  <c r="X84" i="26" s="1"/>
  <c r="E84" i="21"/>
  <c r="E87" i="21" s="1"/>
  <c r="J15" i="21"/>
  <c r="E85" i="21" s="1"/>
  <c r="T38" i="26"/>
  <c r="T35" i="26" s="1"/>
  <c r="E52" i="59"/>
  <c r="E23" i="59" s="1"/>
  <c r="K22" i="21"/>
  <c r="U38" i="30" s="1"/>
  <c r="U37" i="30"/>
  <c r="P35" i="26"/>
  <c r="F22" i="21"/>
  <c r="P38" i="30" s="1"/>
  <c r="P37" i="30"/>
  <c r="N35" i="26"/>
  <c r="K50" i="48"/>
  <c r="K57" i="48" s="1"/>
  <c r="K33" i="48"/>
  <c r="L29" i="48"/>
  <c r="S18" i="48"/>
  <c r="AB13" i="26"/>
  <c r="G84" i="21"/>
  <c r="G87" i="21" s="1"/>
  <c r="R15" i="21"/>
  <c r="G85" i="21" s="1"/>
  <c r="AB38" i="26"/>
  <c r="AB35" i="26" s="1"/>
  <c r="G27" i="59"/>
  <c r="S13" i="26"/>
  <c r="S35" i="26"/>
  <c r="O18" i="59"/>
  <c r="O24" i="59" s="1"/>
  <c r="H5" i="50" s="1"/>
  <c r="W4" i="21"/>
  <c r="C74" i="21"/>
  <c r="T11" i="49"/>
  <c r="F59" i="55"/>
  <c r="F84" i="55"/>
  <c r="M82" i="55"/>
  <c r="M57" i="55"/>
  <c r="R77" i="26"/>
  <c r="AD14" i="26"/>
  <c r="E21" i="21"/>
  <c r="O43" i="30"/>
  <c r="E18" i="21"/>
  <c r="E23" i="21"/>
  <c r="O39" i="30" s="1"/>
  <c r="O24" i="30" s="1"/>
  <c r="E20" i="21"/>
  <c r="O36" i="30" s="1"/>
  <c r="E24" i="21"/>
  <c r="O40" i="30" s="1"/>
  <c r="E19" i="21"/>
  <c r="O35" i="30" s="1"/>
  <c r="H47" i="21"/>
  <c r="R84" i="26" s="1"/>
  <c r="V47" i="21"/>
  <c r="I80" i="55"/>
  <c r="I55" i="55"/>
  <c r="F27" i="59"/>
  <c r="P25" i="21"/>
  <c r="Z41" i="30" s="1"/>
  <c r="Z39" i="30"/>
  <c r="Z24" i="30" s="1"/>
  <c r="D48" i="59"/>
  <c r="D49" i="59" s="1"/>
  <c r="D50" i="59"/>
  <c r="D25" i="59" s="1"/>
  <c r="R13" i="26"/>
  <c r="R35" i="26"/>
  <c r="G6" i="50"/>
  <c r="N44" i="30"/>
  <c r="AA18" i="48"/>
  <c r="G52" i="59"/>
  <c r="G23" i="59" s="1"/>
  <c r="Q30" i="21"/>
  <c r="Q28" i="21" s="1"/>
  <c r="AA82" i="26" s="1"/>
  <c r="I30" i="21"/>
  <c r="I28" i="21" s="1"/>
  <c r="S82" i="26" s="1"/>
  <c r="P30" i="21"/>
  <c r="P28" i="21" s="1"/>
  <c r="Z82" i="26" s="1"/>
  <c r="H30" i="21"/>
  <c r="H28" i="21" s="1"/>
  <c r="R82" i="26" s="1"/>
  <c r="O30" i="21"/>
  <c r="G30" i="21"/>
  <c r="G28" i="21" s="1"/>
  <c r="V30" i="21"/>
  <c r="V28" i="21" s="1"/>
  <c r="N30" i="21"/>
  <c r="F30" i="21"/>
  <c r="U30" i="21"/>
  <c r="U28" i="21" s="1"/>
  <c r="M30" i="21"/>
  <c r="M28" i="21" s="1"/>
  <c r="W82" i="26" s="1"/>
  <c r="E30" i="21"/>
  <c r="E28" i="21" s="1"/>
  <c r="T30" i="21"/>
  <c r="L30" i="21"/>
  <c r="L28" i="21" s="1"/>
  <c r="V82" i="26" s="1"/>
  <c r="S30" i="21"/>
  <c r="S28" i="21" s="1"/>
  <c r="AC82" i="26" s="1"/>
  <c r="K30" i="21"/>
  <c r="K28" i="21" s="1"/>
  <c r="U82" i="26" s="1"/>
  <c r="R30" i="21"/>
  <c r="J30" i="21"/>
  <c r="J28" i="21" s="1"/>
  <c r="T82" i="26" s="1"/>
  <c r="O37" i="26"/>
  <c r="O35" i="26" s="1"/>
  <c r="W9" i="21"/>
  <c r="E82" i="55"/>
  <c r="E57" i="55"/>
  <c r="D63" i="55"/>
  <c r="D88" i="55"/>
  <c r="T110" i="48"/>
  <c r="S19" i="48"/>
  <c r="I79" i="48"/>
  <c r="Q84" i="26"/>
  <c r="I71" i="38"/>
  <c r="I73" i="38"/>
  <c r="W17" i="30"/>
  <c r="V15" i="30"/>
  <c r="V13" i="30"/>
  <c r="V11" i="30" s="1"/>
  <c r="V44" i="30" s="1"/>
  <c r="H6" i="35" s="1"/>
  <c r="I8" i="55" s="1"/>
  <c r="S84" i="26" l="1"/>
  <c r="W47" i="21"/>
  <c r="O34" i="30"/>
  <c r="D49" i="26"/>
  <c r="M20" i="26"/>
  <c r="M80" i="26" s="1"/>
  <c r="S14" i="59"/>
  <c r="T20" i="25"/>
  <c r="E9" i="35"/>
  <c r="F11" i="55" s="1"/>
  <c r="S11" i="25"/>
  <c r="U110" i="48"/>
  <c r="T19" i="48"/>
  <c r="T16" i="48" s="1"/>
  <c r="F20" i="35" s="1"/>
  <c r="G22" i="55" s="1"/>
  <c r="G98" i="55"/>
  <c r="G73" i="55"/>
  <c r="O30" i="26"/>
  <c r="N15" i="26"/>
  <c r="N20" i="26" s="1"/>
  <c r="N80" i="26" s="1"/>
  <c r="N29" i="26"/>
  <c r="N78" i="26"/>
  <c r="R15" i="30"/>
  <c r="R13" i="30"/>
  <c r="R11" i="30" s="1"/>
  <c r="R44" i="30" s="1"/>
  <c r="D6" i="35" s="1"/>
  <c r="E8" i="55" s="1"/>
  <c r="J16" i="35"/>
  <c r="K18" i="55" s="1"/>
  <c r="AD38" i="26"/>
  <c r="AE14" i="26" s="1"/>
  <c r="F16" i="35"/>
  <c r="G18" i="55" s="1"/>
  <c r="O48" i="59"/>
  <c r="O49" i="59" s="1"/>
  <c r="S27" i="49"/>
  <c r="S30" i="59"/>
  <c r="T26" i="49"/>
  <c r="E11" i="35"/>
  <c r="F13" i="55" s="1"/>
  <c r="C85" i="21"/>
  <c r="C87" i="21" s="1"/>
  <c r="W15" i="21"/>
  <c r="H25" i="21"/>
  <c r="AD13" i="26"/>
  <c r="O13" i="30"/>
  <c r="O12" i="30" s="1"/>
  <c r="O15" i="30"/>
  <c r="S16" i="48"/>
  <c r="E20" i="35" s="1"/>
  <c r="F22" i="55" s="1"/>
  <c r="Q41" i="30"/>
  <c r="G26" i="21"/>
  <c r="W111" i="48"/>
  <c r="V20" i="48"/>
  <c r="V41" i="30"/>
  <c r="L26" i="21"/>
  <c r="F89" i="55"/>
  <c r="F64" i="55"/>
  <c r="J33" i="62"/>
  <c r="E11" i="55"/>
  <c r="H27" i="59"/>
  <c r="D95" i="55"/>
  <c r="D70" i="55"/>
  <c r="I25" i="59"/>
  <c r="I27" i="59" s="1"/>
  <c r="J50" i="59"/>
  <c r="D27" i="59"/>
  <c r="S19" i="38"/>
  <c r="L18" i="38"/>
  <c r="N18" i="38" s="1"/>
  <c r="D52" i="59"/>
  <c r="D23" i="59" s="1"/>
  <c r="L50" i="48"/>
  <c r="L33" i="48"/>
  <c r="J93" i="55"/>
  <c r="J68" i="55"/>
  <c r="N93" i="55"/>
  <c r="N68" i="55"/>
  <c r="O93" i="55"/>
  <c r="O68" i="55"/>
  <c r="F93" i="55"/>
  <c r="F68" i="55"/>
  <c r="I83" i="55"/>
  <c r="I58" i="55"/>
  <c r="E22" i="21"/>
  <c r="O38" i="30" s="1"/>
  <c r="O37" i="30"/>
  <c r="E97" i="55"/>
  <c r="E72" i="55"/>
  <c r="V13" i="48"/>
  <c r="G21" i="35"/>
  <c r="H23" i="55" s="1"/>
  <c r="D25" i="21"/>
  <c r="L68" i="55"/>
  <c r="L93" i="55"/>
  <c r="AD37" i="26"/>
  <c r="AE13" i="26" s="1"/>
  <c r="J32" i="62"/>
  <c r="E13" i="55"/>
  <c r="E64" i="55"/>
  <c r="E89" i="55"/>
  <c r="S15" i="30"/>
  <c r="S13" i="30"/>
  <c r="S11" i="30" s="1"/>
  <c r="S44" i="30" s="1"/>
  <c r="E6" i="35" s="1"/>
  <c r="F8" i="55" s="1"/>
  <c r="U11" i="49"/>
  <c r="V11" i="49" s="1"/>
  <c r="W11" i="49" s="1"/>
  <c r="X11" i="49" s="1"/>
  <c r="M93" i="55"/>
  <c r="M68" i="55"/>
  <c r="O17" i="26"/>
  <c r="AD17" i="26" s="1"/>
  <c r="AD39" i="26"/>
  <c r="AE16" i="26" s="1"/>
  <c r="L32" i="48"/>
  <c r="AB12" i="48" s="1"/>
  <c r="AC12" i="48" s="1"/>
  <c r="L49" i="48"/>
  <c r="H93" i="55"/>
  <c r="H68" i="55"/>
  <c r="S41" i="30"/>
  <c r="I26" i="21"/>
  <c r="M99" i="55"/>
  <c r="M74" i="55"/>
  <c r="R10" i="26"/>
  <c r="D10" i="35"/>
  <c r="E12" i="55" s="1"/>
  <c r="T43" i="38"/>
  <c r="P42" i="38"/>
  <c r="R42" i="38" s="1"/>
  <c r="K25" i="21"/>
  <c r="I93" i="55"/>
  <c r="I68" i="55"/>
  <c r="T15" i="59"/>
  <c r="U10" i="33"/>
  <c r="F12" i="35"/>
  <c r="G14" i="55" s="1"/>
  <c r="S31" i="59"/>
  <c r="D18" i="35"/>
  <c r="E20" i="55" s="1"/>
  <c r="Q31" i="38"/>
  <c r="D16" i="35"/>
  <c r="E18" i="55" s="1"/>
  <c r="F96" i="55"/>
  <c r="F71" i="55"/>
  <c r="M75" i="26"/>
  <c r="AB112" i="48"/>
  <c r="AA21" i="48"/>
  <c r="M22" i="35" s="1"/>
  <c r="N24" i="55" s="1"/>
  <c r="H6" i="50"/>
  <c r="O44" i="30"/>
  <c r="W14" i="25"/>
  <c r="W13" i="25" s="1"/>
  <c r="X12" i="25"/>
  <c r="T41" i="30"/>
  <c r="J26" i="21"/>
  <c r="X17" i="30"/>
  <c r="W15" i="30"/>
  <c r="W13" i="30"/>
  <c r="W11" i="30" s="1"/>
  <c r="W44" i="30" s="1"/>
  <c r="I6" i="35" s="1"/>
  <c r="J8" i="55" s="1"/>
  <c r="AD35" i="26"/>
  <c r="F25" i="21"/>
  <c r="S33" i="38"/>
  <c r="O32" i="38"/>
  <c r="Q32" i="38" s="1"/>
  <c r="U10" i="48"/>
  <c r="T9" i="48"/>
  <c r="F19" i="35" s="1"/>
  <c r="G21" i="55" s="1"/>
  <c r="J73" i="38"/>
  <c r="J71" i="38"/>
  <c r="Y11" i="49" l="1"/>
  <c r="Z11" i="49" s="1"/>
  <c r="AA11" i="49" s="1"/>
  <c r="AB11" i="49" s="1"/>
  <c r="AC11" i="49" s="1"/>
  <c r="T27" i="49"/>
  <c r="U26" i="49"/>
  <c r="T30" i="59"/>
  <c r="F11" i="35"/>
  <c r="G13" i="55" s="1"/>
  <c r="G93" i="55"/>
  <c r="G68" i="55"/>
  <c r="V110" i="48"/>
  <c r="U19" i="48"/>
  <c r="U16" i="48" s="1"/>
  <c r="G20" i="35" s="1"/>
  <c r="H22" i="55" s="1"/>
  <c r="T31" i="59"/>
  <c r="E18" i="35"/>
  <c r="F20" i="55" s="1"/>
  <c r="S20" i="38"/>
  <c r="L20" i="38" s="1"/>
  <c r="N20" i="38" s="1"/>
  <c r="L19" i="38"/>
  <c r="E86" i="55"/>
  <c r="E61" i="55"/>
  <c r="N75" i="26"/>
  <c r="E95" i="55"/>
  <c r="E70" i="55"/>
  <c r="G64" i="55"/>
  <c r="G89" i="55"/>
  <c r="E25" i="21"/>
  <c r="U15" i="59"/>
  <c r="V10" i="33"/>
  <c r="G12" i="35"/>
  <c r="H14" i="55" s="1"/>
  <c r="U41" i="30"/>
  <c r="K26" i="21"/>
  <c r="R41" i="30"/>
  <c r="H26" i="21"/>
  <c r="S10" i="26"/>
  <c r="E10" i="35"/>
  <c r="F12" i="55" s="1"/>
  <c r="K93" i="55"/>
  <c r="K68" i="55"/>
  <c r="T14" i="59"/>
  <c r="U20" i="25"/>
  <c r="F9" i="35"/>
  <c r="G11" i="55" s="1"/>
  <c r="T11" i="25"/>
  <c r="M47" i="20"/>
  <c r="M48" i="20" s="1"/>
  <c r="F2" i="50"/>
  <c r="F58" i="55"/>
  <c r="F83" i="55"/>
  <c r="U9" i="48"/>
  <c r="G19" i="35" s="1"/>
  <c r="H21" i="55" s="1"/>
  <c r="V10" i="48"/>
  <c r="E93" i="55"/>
  <c r="E68" i="55"/>
  <c r="Y17" i="30"/>
  <c r="X15" i="30"/>
  <c r="X13" i="30"/>
  <c r="X11" i="30" s="1"/>
  <c r="X44" i="30" s="1"/>
  <c r="J6" i="35" s="1"/>
  <c r="K8" i="55" s="1"/>
  <c r="N41" i="30"/>
  <c r="D26" i="21"/>
  <c r="K50" i="59"/>
  <c r="J25" i="59"/>
  <c r="J27" i="59" s="1"/>
  <c r="C3" i="50" s="1"/>
  <c r="J52" i="59"/>
  <c r="J23" i="59" s="1"/>
  <c r="S28" i="49"/>
  <c r="O78" i="26"/>
  <c r="O29" i="26"/>
  <c r="O15" i="26"/>
  <c r="O20" i="26" s="1"/>
  <c r="O80" i="26" s="1"/>
  <c r="P30" i="26"/>
  <c r="T44" i="38"/>
  <c r="P43" i="38"/>
  <c r="R43" i="38" s="1"/>
  <c r="H98" i="55"/>
  <c r="H73" i="55"/>
  <c r="J83" i="55"/>
  <c r="J58" i="55"/>
  <c r="O33" i="38"/>
  <c r="Q33" i="38" s="1"/>
  <c r="S34" i="38"/>
  <c r="N99" i="55"/>
  <c r="N74" i="55"/>
  <c r="E63" i="55"/>
  <c r="E88" i="55"/>
  <c r="W13" i="48"/>
  <c r="H21" i="35"/>
  <c r="I23" i="55" s="1"/>
  <c r="F97" i="55"/>
  <c r="F72" i="55"/>
  <c r="D45" i="26"/>
  <c r="E49" i="26"/>
  <c r="E45" i="26" s="1"/>
  <c r="Y12" i="25"/>
  <c r="X14" i="25"/>
  <c r="X13" i="25" s="1"/>
  <c r="G96" i="55"/>
  <c r="G71" i="55"/>
  <c r="W20" i="48"/>
  <c r="X111" i="48"/>
  <c r="F61" i="55"/>
  <c r="F86" i="55"/>
  <c r="P41" i="30"/>
  <c r="F26" i="21"/>
  <c r="AC112" i="48"/>
  <c r="AC21" i="48" s="1"/>
  <c r="O22" i="35" s="1"/>
  <c r="P24" i="55" s="1"/>
  <c r="AB21" i="48"/>
  <c r="N22" i="35" s="1"/>
  <c r="O24" i="55" s="1"/>
  <c r="E87" i="55"/>
  <c r="E62" i="55"/>
  <c r="F18" i="49"/>
  <c r="F19" i="49" s="1"/>
  <c r="F88" i="55"/>
  <c r="F63" i="55"/>
  <c r="E58" i="55"/>
  <c r="E83" i="55"/>
  <c r="G97" i="55"/>
  <c r="G72" i="55"/>
  <c r="W10" i="48" l="1"/>
  <c r="V9" i="48"/>
  <c r="H19" i="35" s="1"/>
  <c r="I21" i="55" s="1"/>
  <c r="H96" i="55"/>
  <c r="H71" i="55"/>
  <c r="H64" i="55"/>
  <c r="H89" i="55"/>
  <c r="N47" i="20"/>
  <c r="N48" i="20" s="1"/>
  <c r="G2" i="50"/>
  <c r="W110" i="48"/>
  <c r="V19" i="48"/>
  <c r="V16" i="48" s="1"/>
  <c r="H20" i="35" s="1"/>
  <c r="I22" i="55" s="1"/>
  <c r="T10" i="26"/>
  <c r="F10" i="35"/>
  <c r="G12" i="55" s="1"/>
  <c r="L50" i="59"/>
  <c r="K25" i="59"/>
  <c r="K27" i="59" s="1"/>
  <c r="D3" i="50" s="1"/>
  <c r="K52" i="59"/>
  <c r="K23" i="59" s="1"/>
  <c r="Q30" i="26"/>
  <c r="P15" i="26"/>
  <c r="P29" i="26"/>
  <c r="P78" i="26"/>
  <c r="O99" i="55"/>
  <c r="O74" i="55"/>
  <c r="K83" i="55"/>
  <c r="K58" i="55"/>
  <c r="V15" i="59"/>
  <c r="W10" i="33"/>
  <c r="H12" i="35"/>
  <c r="I14" i="55" s="1"/>
  <c r="X20" i="48"/>
  <c r="Y111" i="48"/>
  <c r="H97" i="55"/>
  <c r="H72" i="55"/>
  <c r="P99" i="55"/>
  <c r="P74" i="55"/>
  <c r="T45" i="38"/>
  <c r="P45" i="38" s="1"/>
  <c r="P44" i="38"/>
  <c r="R44" i="38" s="1"/>
  <c r="O75" i="26"/>
  <c r="F87" i="55"/>
  <c r="F62" i="55"/>
  <c r="G18" i="49"/>
  <c r="G19" i="49" s="1"/>
  <c r="G20" i="49" s="1"/>
  <c r="F95" i="55"/>
  <c r="F70" i="55"/>
  <c r="U14" i="59"/>
  <c r="G9" i="35"/>
  <c r="H11" i="55" s="1"/>
  <c r="V20" i="25"/>
  <c r="U11" i="25"/>
  <c r="U27" i="49"/>
  <c r="V26" i="49"/>
  <c r="U30" i="59"/>
  <c r="G11" i="35"/>
  <c r="H13" i="55" s="1"/>
  <c r="I98" i="55"/>
  <c r="I73" i="55"/>
  <c r="O34" i="38"/>
  <c r="Q34" i="38" s="1"/>
  <c r="S35" i="38"/>
  <c r="Y15" i="30"/>
  <c r="Y13" i="30"/>
  <c r="Y11" i="30" s="1"/>
  <c r="Y44" i="30" s="1"/>
  <c r="K6" i="35" s="1"/>
  <c r="L8" i="55" s="1"/>
  <c r="Z17" i="30"/>
  <c r="AT62" i="20"/>
  <c r="AT60" i="20"/>
  <c r="AT61" i="20"/>
  <c r="M26" i="20"/>
  <c r="M12" i="20"/>
  <c r="O41" i="30"/>
  <c r="E26" i="21"/>
  <c r="N19" i="38"/>
  <c r="L46" i="38"/>
  <c r="L47" i="38" s="1"/>
  <c r="G88" i="55"/>
  <c r="G63" i="55"/>
  <c r="Z12" i="25"/>
  <c r="Y14" i="25"/>
  <c r="Y13" i="25" s="1"/>
  <c r="G61" i="55"/>
  <c r="G86" i="55"/>
  <c r="U31" i="59"/>
  <c r="F18" i="35"/>
  <c r="G20" i="55" s="1"/>
  <c r="X13" i="48"/>
  <c r="I21" i="35"/>
  <c r="J23" i="55" s="1"/>
  <c r="N46" i="38"/>
  <c r="N47" i="38" s="1"/>
  <c r="T28" i="49"/>
  <c r="U10" i="26" l="1"/>
  <c r="G10" i="35"/>
  <c r="H12" i="55" s="1"/>
  <c r="G95" i="55"/>
  <c r="G70" i="55"/>
  <c r="Z111" i="48"/>
  <c r="Y20" i="48"/>
  <c r="M50" i="59"/>
  <c r="L25" i="59"/>
  <c r="L52" i="59"/>
  <c r="L23" i="59" s="1"/>
  <c r="V14" i="59"/>
  <c r="W20" i="25"/>
  <c r="H9" i="35"/>
  <c r="I11" i="55" s="1"/>
  <c r="V11" i="25"/>
  <c r="H88" i="55"/>
  <c r="H63" i="55"/>
  <c r="H86" i="55"/>
  <c r="H61" i="55"/>
  <c r="I89" i="55"/>
  <c r="I64" i="55"/>
  <c r="P75" i="26"/>
  <c r="U28" i="49"/>
  <c r="R45" i="38"/>
  <c r="R46" i="38" s="1"/>
  <c r="R47" i="38" s="1"/>
  <c r="P46" i="38"/>
  <c r="P47" i="38" s="1"/>
  <c r="W15" i="59"/>
  <c r="X10" i="33"/>
  <c r="I12" i="35"/>
  <c r="J14" i="55" s="1"/>
  <c r="F56" i="59"/>
  <c r="F57" i="59" s="1"/>
  <c r="F59" i="59"/>
  <c r="G24" i="33"/>
  <c r="I97" i="55"/>
  <c r="I72" i="55"/>
  <c r="I96" i="55"/>
  <c r="I71" i="55"/>
  <c r="V31" i="59"/>
  <c r="G18" i="35"/>
  <c r="H20" i="55" s="1"/>
  <c r="G62" i="55"/>
  <c r="G87" i="55"/>
  <c r="Z15" i="30"/>
  <c r="Z13" i="30"/>
  <c r="Z11" i="30" s="1"/>
  <c r="Z44" i="30" s="1"/>
  <c r="L6" i="35" s="1"/>
  <c r="M8" i="55" s="1"/>
  <c r="AA17" i="30"/>
  <c r="L83" i="55"/>
  <c r="L58" i="55"/>
  <c r="P20" i="26"/>
  <c r="P80" i="26" s="1"/>
  <c r="X110" i="48"/>
  <c r="W19" i="48"/>
  <c r="W16" i="48" s="1"/>
  <c r="I20" i="35" s="1"/>
  <c r="J22" i="55" s="1"/>
  <c r="W9" i="48"/>
  <c r="I19" i="35" s="1"/>
  <c r="J21" i="55" s="1"/>
  <c r="X10" i="48"/>
  <c r="O47" i="20"/>
  <c r="O48" i="20" s="1"/>
  <c r="H2" i="50"/>
  <c r="J73" i="55"/>
  <c r="J98" i="55"/>
  <c r="Q29" i="26"/>
  <c r="Q78" i="26"/>
  <c r="R30" i="26"/>
  <c r="Q15" i="26"/>
  <c r="Q20" i="26" s="1"/>
  <c r="Y13" i="48"/>
  <c r="J21" i="35"/>
  <c r="K23" i="55" s="1"/>
  <c r="AA12" i="25"/>
  <c r="Z14" i="25"/>
  <c r="Z13" i="25" s="1"/>
  <c r="S36" i="38"/>
  <c r="O36" i="38" s="1"/>
  <c r="O35" i="38"/>
  <c r="Q35" i="38" s="1"/>
  <c r="W26" i="49"/>
  <c r="V30" i="59"/>
  <c r="V27" i="49"/>
  <c r="V28" i="49" s="1"/>
  <c r="H11" i="35"/>
  <c r="I13" i="55" s="1"/>
  <c r="AU60" i="20"/>
  <c r="AU61" i="20"/>
  <c r="AU62" i="20"/>
  <c r="N12" i="20"/>
  <c r="N26" i="20"/>
  <c r="M25" i="59" l="1"/>
  <c r="N50" i="59"/>
  <c r="M52" i="59"/>
  <c r="M23" i="59" s="1"/>
  <c r="AB12" i="25"/>
  <c r="AA14" i="25"/>
  <c r="AA13" i="25" s="1"/>
  <c r="H95" i="55"/>
  <c r="H70" i="55"/>
  <c r="W31" i="59"/>
  <c r="H18" i="35"/>
  <c r="I20" i="55" s="1"/>
  <c r="P47" i="20"/>
  <c r="P48" i="20" s="1"/>
  <c r="I2" i="50"/>
  <c r="I86" i="55"/>
  <c r="I61" i="55"/>
  <c r="AA111" i="48"/>
  <c r="Z20" i="48"/>
  <c r="Z13" i="48"/>
  <c r="K21" i="35"/>
  <c r="L23" i="55" s="1"/>
  <c r="AV60" i="20"/>
  <c r="AV61" i="20"/>
  <c r="O12" i="20"/>
  <c r="AV62" i="20"/>
  <c r="O26" i="20"/>
  <c r="Y10" i="33"/>
  <c r="X15" i="59"/>
  <c r="J12" i="35"/>
  <c r="K14" i="55" s="1"/>
  <c r="W14" i="59"/>
  <c r="X20" i="25"/>
  <c r="I9" i="35"/>
  <c r="J11" i="55" s="1"/>
  <c r="W11" i="25"/>
  <c r="V10" i="26"/>
  <c r="H10" i="35"/>
  <c r="I12" i="55" s="1"/>
  <c r="J89" i="55"/>
  <c r="J64" i="55"/>
  <c r="W30" i="59"/>
  <c r="W28" i="49"/>
  <c r="W27" i="49"/>
  <c r="X26" i="49"/>
  <c r="I11" i="35"/>
  <c r="J13" i="55" s="1"/>
  <c r="R20" i="26"/>
  <c r="Q80" i="26"/>
  <c r="X9" i="48"/>
  <c r="J19" i="35" s="1"/>
  <c r="K21" i="55" s="1"/>
  <c r="Y10" i="48"/>
  <c r="AB17" i="30"/>
  <c r="AA13" i="30"/>
  <c r="AA11" i="30" s="1"/>
  <c r="AA44" i="30" s="1"/>
  <c r="M6" i="35" s="1"/>
  <c r="N8" i="55" s="1"/>
  <c r="AA15" i="30"/>
  <c r="J96" i="55"/>
  <c r="J71" i="55"/>
  <c r="H87" i="55"/>
  <c r="H62" i="55"/>
  <c r="K73" i="55"/>
  <c r="K98" i="55"/>
  <c r="S30" i="26"/>
  <c r="R15" i="26"/>
  <c r="R29" i="26"/>
  <c r="R78" i="26"/>
  <c r="J97" i="55"/>
  <c r="J72" i="55"/>
  <c r="M83" i="55"/>
  <c r="M58" i="55"/>
  <c r="Q36" i="38"/>
  <c r="Q46" i="38" s="1"/>
  <c r="Q47" i="38" s="1"/>
  <c r="O46" i="38"/>
  <c r="O47" i="38" s="1"/>
  <c r="Q75" i="26"/>
  <c r="I88" i="55"/>
  <c r="I63" i="55"/>
  <c r="Y110" i="48"/>
  <c r="X19" i="48"/>
  <c r="X16" i="48" s="1"/>
  <c r="J20" i="35" s="1"/>
  <c r="K22" i="55" s="1"/>
  <c r="L27" i="59"/>
  <c r="E3" i="50" s="1"/>
  <c r="AC17" i="30" l="1"/>
  <c r="AB15" i="30"/>
  <c r="AB13" i="30"/>
  <c r="AB11" i="30" s="1"/>
  <c r="AB44" i="30" s="1"/>
  <c r="N6" i="35" s="1"/>
  <c r="O8" i="55" s="1"/>
  <c r="J86" i="55"/>
  <c r="J61" i="55"/>
  <c r="K96" i="55"/>
  <c r="K71" i="55"/>
  <c r="K89" i="55"/>
  <c r="K64" i="55"/>
  <c r="AB111" i="48"/>
  <c r="AA20" i="48"/>
  <c r="S20" i="26"/>
  <c r="R80" i="26"/>
  <c r="R75" i="26" s="1"/>
  <c r="AB14" i="25"/>
  <c r="AB13" i="25" s="1"/>
  <c r="AC12" i="25"/>
  <c r="X14" i="59"/>
  <c r="Y20" i="25"/>
  <c r="J9" i="35"/>
  <c r="K11" i="55" s="1"/>
  <c r="X11" i="25"/>
  <c r="R11" i="26"/>
  <c r="R9" i="26" s="1"/>
  <c r="J88" i="55"/>
  <c r="J63" i="55"/>
  <c r="I62" i="55"/>
  <c r="I87" i="55"/>
  <c r="AW60" i="20"/>
  <c r="AW61" i="20"/>
  <c r="AW62" i="20"/>
  <c r="P26" i="20"/>
  <c r="P12" i="20"/>
  <c r="Q47" i="20"/>
  <c r="Q48" i="20" s="1"/>
  <c r="C2" i="35"/>
  <c r="D4" i="55" s="1"/>
  <c r="J2" i="50"/>
  <c r="K97" i="55"/>
  <c r="K72" i="55"/>
  <c r="T30" i="26"/>
  <c r="S15" i="26"/>
  <c r="S11" i="26" s="1"/>
  <c r="S9" i="26" s="1"/>
  <c r="S78" i="26"/>
  <c r="S29" i="26"/>
  <c r="X27" i="49"/>
  <c r="X30" i="59"/>
  <c r="X28" i="49"/>
  <c r="Y26" i="49"/>
  <c r="J11" i="35"/>
  <c r="K13" i="55" s="1"/>
  <c r="Z10" i="33"/>
  <c r="Y15" i="59"/>
  <c r="K12" i="35"/>
  <c r="L14" i="55" s="1"/>
  <c r="L98" i="55"/>
  <c r="L73" i="55"/>
  <c r="I95" i="55"/>
  <c r="I70" i="55"/>
  <c r="O50" i="59"/>
  <c r="N25" i="59"/>
  <c r="N52" i="59"/>
  <c r="N23" i="59" s="1"/>
  <c r="Z10" i="48"/>
  <c r="Y9" i="48"/>
  <c r="K19" i="35" s="1"/>
  <c r="L21" i="55" s="1"/>
  <c r="Z110" i="48"/>
  <c r="Y19" i="48"/>
  <c r="Y16" i="48" s="1"/>
  <c r="K20" i="35" s="1"/>
  <c r="L22" i="55" s="1"/>
  <c r="N58" i="55"/>
  <c r="N83" i="55"/>
  <c r="W10" i="26"/>
  <c r="I10" i="35"/>
  <c r="J12" i="55" s="1"/>
  <c r="AA13" i="48"/>
  <c r="L21" i="35"/>
  <c r="M23" i="55" s="1"/>
  <c r="X31" i="59"/>
  <c r="I18" i="35"/>
  <c r="J20" i="55" s="1"/>
  <c r="M27" i="59"/>
  <c r="F3" i="50" s="1"/>
  <c r="R47" i="20" l="1"/>
  <c r="R48" i="20" s="1"/>
  <c r="D2" i="35"/>
  <c r="E4" i="55" s="1"/>
  <c r="J70" i="55"/>
  <c r="J95" i="55"/>
  <c r="K88" i="55"/>
  <c r="K63" i="55"/>
  <c r="Y31" i="59"/>
  <c r="J18" i="35"/>
  <c r="K20" i="55" s="1"/>
  <c r="L97" i="55"/>
  <c r="L72" i="55"/>
  <c r="Y27" i="49"/>
  <c r="Y28" i="49" s="1"/>
  <c r="Z26" i="49"/>
  <c r="Y30" i="59"/>
  <c r="K11" i="35"/>
  <c r="L13" i="55" s="1"/>
  <c r="U30" i="26"/>
  <c r="T15" i="26"/>
  <c r="T78" i="26"/>
  <c r="T29" i="26"/>
  <c r="M98" i="55"/>
  <c r="M73" i="55"/>
  <c r="AA10" i="48"/>
  <c r="Z9" i="48"/>
  <c r="L19" i="35" s="1"/>
  <c r="M21" i="55" s="1"/>
  <c r="L89" i="55"/>
  <c r="L64" i="55"/>
  <c r="K86" i="55"/>
  <c r="K61" i="55"/>
  <c r="AB13" i="48"/>
  <c r="M21" i="35"/>
  <c r="N23" i="55" s="1"/>
  <c r="T20" i="26"/>
  <c r="S80" i="26"/>
  <c r="J62" i="55"/>
  <c r="J87" i="55"/>
  <c r="X10" i="26"/>
  <c r="J10" i="35"/>
  <c r="K12" i="55" s="1"/>
  <c r="D54" i="55"/>
  <c r="D79" i="55"/>
  <c r="Y14" i="59"/>
  <c r="Z20" i="25"/>
  <c r="K9" i="35"/>
  <c r="L11" i="55" s="1"/>
  <c r="Y11" i="25"/>
  <c r="AC111" i="48"/>
  <c r="AC20" i="48" s="1"/>
  <c r="AB20" i="48"/>
  <c r="O83" i="55"/>
  <c r="O58" i="55"/>
  <c r="AA110" i="48"/>
  <c r="Z19" i="48"/>
  <c r="Z16" i="48" s="1"/>
  <c r="L20" i="35" s="1"/>
  <c r="M22" i="55" s="1"/>
  <c r="N27" i="59"/>
  <c r="G3" i="50" s="1"/>
  <c r="AX61" i="20"/>
  <c r="AX62" i="20"/>
  <c r="AX60" i="20"/>
  <c r="Q26" i="20"/>
  <c r="Q12" i="20"/>
  <c r="L71" i="55"/>
  <c r="L96" i="55"/>
  <c r="Z15" i="59"/>
  <c r="AA10" i="33"/>
  <c r="H24" i="33" s="1"/>
  <c r="L12" i="35"/>
  <c r="M14" i="55" s="1"/>
  <c r="P50" i="59"/>
  <c r="O25" i="59"/>
  <c r="O52" i="59"/>
  <c r="O23" i="59" s="1"/>
  <c r="S75" i="26"/>
  <c r="AC14" i="25"/>
  <c r="AC13" i="25" s="1"/>
  <c r="AC15" i="30"/>
  <c r="AC13" i="30"/>
  <c r="AC11" i="30" s="1"/>
  <c r="AC44" i="30" s="1"/>
  <c r="O6" i="35" s="1"/>
  <c r="P8" i="55" s="1"/>
  <c r="Z31" i="59" l="1"/>
  <c r="K18" i="35"/>
  <c r="L20" i="55" s="1"/>
  <c r="AC13" i="48"/>
  <c r="O21" i="35" s="1"/>
  <c r="P23" i="55" s="1"/>
  <c r="N21" i="35"/>
  <c r="O23" i="55" s="1"/>
  <c r="S47" i="20"/>
  <c r="S48" i="20" s="1"/>
  <c r="E2" i="35"/>
  <c r="F4" i="55" s="1"/>
  <c r="O27" i="59"/>
  <c r="H3" i="50" s="1"/>
  <c r="D60" i="59"/>
  <c r="AA26" i="49"/>
  <c r="Z30" i="59"/>
  <c r="Z27" i="49"/>
  <c r="L11" i="35"/>
  <c r="M13" i="55" s="1"/>
  <c r="Y10" i="26"/>
  <c r="K10" i="35"/>
  <c r="L12" i="55" s="1"/>
  <c r="Q50" i="59"/>
  <c r="P25" i="59"/>
  <c r="P52" i="59"/>
  <c r="P23" i="59" s="1"/>
  <c r="L86" i="55"/>
  <c r="L61" i="55"/>
  <c r="T11" i="26"/>
  <c r="T9" i="26" s="1"/>
  <c r="N98" i="55"/>
  <c r="N73" i="55"/>
  <c r="M97" i="55"/>
  <c r="M72" i="55"/>
  <c r="Z14" i="59"/>
  <c r="AA20" i="25"/>
  <c r="L9" i="35"/>
  <c r="M11" i="55" s="1"/>
  <c r="Z11" i="25"/>
  <c r="M71" i="55"/>
  <c r="M96" i="55"/>
  <c r="U78" i="26"/>
  <c r="U29" i="26"/>
  <c r="U15" i="26"/>
  <c r="V30" i="26"/>
  <c r="E79" i="55"/>
  <c r="E54" i="55"/>
  <c r="M89" i="55"/>
  <c r="M64" i="55"/>
  <c r="AA15" i="59"/>
  <c r="AB10" i="33"/>
  <c r="M12" i="35"/>
  <c r="N14" i="55" s="1"/>
  <c r="G56" i="59"/>
  <c r="G57" i="59" s="1"/>
  <c r="K87" i="55"/>
  <c r="K62" i="55"/>
  <c r="P83" i="55"/>
  <c r="P58" i="55"/>
  <c r="G59" i="59"/>
  <c r="AB110" i="48"/>
  <c r="AA19" i="48"/>
  <c r="AA16" i="48" s="1"/>
  <c r="M20" i="35" s="1"/>
  <c r="N22" i="55" s="1"/>
  <c r="T80" i="26"/>
  <c r="T75" i="26" s="1"/>
  <c r="U20" i="26"/>
  <c r="AB10" i="48"/>
  <c r="AA9" i="48"/>
  <c r="M19" i="35" s="1"/>
  <c r="N21" i="55" s="1"/>
  <c r="L88" i="55"/>
  <c r="L63" i="55"/>
  <c r="K95" i="55"/>
  <c r="K70" i="55"/>
  <c r="AY61" i="20"/>
  <c r="AY62" i="20"/>
  <c r="AY60" i="20"/>
  <c r="R12" i="20"/>
  <c r="R26" i="20"/>
  <c r="T47" i="20" l="1"/>
  <c r="T48" i="20" s="1"/>
  <c r="F2" i="35"/>
  <c r="G4" i="55" s="1"/>
  <c r="M88" i="55"/>
  <c r="M63" i="55"/>
  <c r="M86" i="55"/>
  <c r="M61" i="55"/>
  <c r="Z10" i="26"/>
  <c r="L10" i="35"/>
  <c r="M12" i="55" s="1"/>
  <c r="N97" i="55"/>
  <c r="N72" i="55"/>
  <c r="N89" i="55"/>
  <c r="N64" i="55"/>
  <c r="U11" i="26"/>
  <c r="U9" i="26" s="1"/>
  <c r="AZ61" i="20"/>
  <c r="AZ62" i="20"/>
  <c r="AZ60" i="20"/>
  <c r="S12" i="20"/>
  <c r="S26" i="20"/>
  <c r="V20" i="26"/>
  <c r="U80" i="26"/>
  <c r="AC10" i="33"/>
  <c r="I24" i="33"/>
  <c r="AB15" i="59"/>
  <c r="N12" i="35"/>
  <c r="O14" i="55" s="1"/>
  <c r="P27" i="59"/>
  <c r="I3" i="50" s="1"/>
  <c r="AA27" i="49"/>
  <c r="AA30" i="59"/>
  <c r="AB26" i="49"/>
  <c r="M11" i="35"/>
  <c r="N13" i="55" s="1"/>
  <c r="O98" i="55"/>
  <c r="O73" i="55"/>
  <c r="AA14" i="59"/>
  <c r="AB20" i="25"/>
  <c r="M9" i="35"/>
  <c r="N11" i="55" s="1"/>
  <c r="AA11" i="25"/>
  <c r="U75" i="26"/>
  <c r="Q25" i="59"/>
  <c r="R50" i="59"/>
  <c r="Q52" i="59"/>
  <c r="Q23" i="59" s="1"/>
  <c r="Z28" i="49"/>
  <c r="P98" i="55"/>
  <c r="P73" i="55"/>
  <c r="W30" i="26"/>
  <c r="V15" i="26"/>
  <c r="V11" i="26" s="1"/>
  <c r="V9" i="26" s="1"/>
  <c r="V29" i="26"/>
  <c r="V78" i="26"/>
  <c r="F79" i="55"/>
  <c r="F54" i="55"/>
  <c r="N96" i="55"/>
  <c r="N71" i="55"/>
  <c r="L87" i="55"/>
  <c r="L62" i="55"/>
  <c r="L95" i="55"/>
  <c r="L70" i="55"/>
  <c r="AC110" i="48"/>
  <c r="AC19" i="48" s="1"/>
  <c r="AC16" i="48" s="1"/>
  <c r="O20" i="35" s="1"/>
  <c r="P22" i="55" s="1"/>
  <c r="AB19" i="48"/>
  <c r="AB16" i="48" s="1"/>
  <c r="N20" i="35" s="1"/>
  <c r="O22" i="55" s="1"/>
  <c r="AC10" i="48"/>
  <c r="AC9" i="48" s="1"/>
  <c r="O19" i="35" s="1"/>
  <c r="P21" i="55" s="1"/>
  <c r="AB9" i="48"/>
  <c r="N19" i="35" s="1"/>
  <c r="O21" i="55" s="1"/>
  <c r="AA31" i="59"/>
  <c r="L18" i="35"/>
  <c r="M20" i="55" s="1"/>
  <c r="W78" i="26" l="1"/>
  <c r="W29" i="26"/>
  <c r="W15" i="26"/>
  <c r="X30" i="26"/>
  <c r="U47" i="20"/>
  <c r="U48" i="20" s="1"/>
  <c r="G2" i="35"/>
  <c r="H4" i="55" s="1"/>
  <c r="N86" i="55"/>
  <c r="N61" i="55"/>
  <c r="AA10" i="26"/>
  <c r="M10" i="35"/>
  <c r="N12" i="55" s="1"/>
  <c r="O97" i="55"/>
  <c r="O72" i="55"/>
  <c r="P97" i="55"/>
  <c r="P72" i="55"/>
  <c r="AB27" i="49"/>
  <c r="AC26" i="49"/>
  <c r="AB30" i="59"/>
  <c r="N11" i="35"/>
  <c r="O13" i="55" s="1"/>
  <c r="P96" i="55"/>
  <c r="P71" i="55"/>
  <c r="G79" i="55"/>
  <c r="G54" i="55"/>
  <c r="AB31" i="59"/>
  <c r="M18" i="35"/>
  <c r="N20" i="55" s="1"/>
  <c r="M87" i="55"/>
  <c r="M62" i="55"/>
  <c r="O96" i="55"/>
  <c r="O71" i="55"/>
  <c r="AC15" i="59"/>
  <c r="O12" i="35"/>
  <c r="P14" i="55" s="1"/>
  <c r="AB14" i="59"/>
  <c r="AC20" i="25"/>
  <c r="N9" i="35"/>
  <c r="O11" i="55" s="1"/>
  <c r="AB11" i="25"/>
  <c r="AA28" i="49"/>
  <c r="V80" i="26"/>
  <c r="V75" i="26" s="1"/>
  <c r="W20" i="26"/>
  <c r="S50" i="59"/>
  <c r="R25" i="59"/>
  <c r="M95" i="55"/>
  <c r="M70" i="55"/>
  <c r="Q27" i="59"/>
  <c r="N88" i="55"/>
  <c r="N63" i="55"/>
  <c r="O89" i="55"/>
  <c r="O64" i="55"/>
  <c r="BA62" i="20"/>
  <c r="BA60" i="20"/>
  <c r="BA61" i="20"/>
  <c r="T12" i="20"/>
  <c r="T26" i="20"/>
  <c r="V47" i="20" l="1"/>
  <c r="V48" i="20" s="1"/>
  <c r="H2" i="35"/>
  <c r="I4" i="55" s="1"/>
  <c r="C17" i="35"/>
  <c r="D19" i="55" s="1"/>
  <c r="J3" i="50"/>
  <c r="H79" i="55"/>
  <c r="H54" i="55"/>
  <c r="O88" i="55"/>
  <c r="O63" i="55"/>
  <c r="R27" i="59"/>
  <c r="D17" i="35" s="1"/>
  <c r="E19" i="55" s="1"/>
  <c r="R12" i="59"/>
  <c r="O86" i="55"/>
  <c r="O61" i="55"/>
  <c r="X15" i="26"/>
  <c r="X78" i="26"/>
  <c r="X29" i="26"/>
  <c r="AD29" i="26" s="1"/>
  <c r="AD30" i="26"/>
  <c r="AE15" i="26" s="1"/>
  <c r="AB10" i="26"/>
  <c r="N10" i="35"/>
  <c r="O12" i="55" s="1"/>
  <c r="AC14" i="59"/>
  <c r="O9" i="35"/>
  <c r="P11" i="55" s="1"/>
  <c r="AC11" i="25"/>
  <c r="N95" i="55"/>
  <c r="N70" i="55"/>
  <c r="N87" i="55"/>
  <c r="N62" i="55"/>
  <c r="W11" i="26"/>
  <c r="W9" i="26" s="1"/>
  <c r="BB62" i="20"/>
  <c r="BB60" i="20"/>
  <c r="BB61" i="20"/>
  <c r="U12" i="20"/>
  <c r="U26" i="20"/>
  <c r="AC31" i="59"/>
  <c r="O18" i="35" s="1"/>
  <c r="P20" i="55" s="1"/>
  <c r="N18" i="35"/>
  <c r="O20" i="55" s="1"/>
  <c r="AB28" i="49"/>
  <c r="T50" i="59"/>
  <c r="S25" i="59"/>
  <c r="X20" i="26"/>
  <c r="W80" i="26"/>
  <c r="P89" i="55"/>
  <c r="P64" i="55"/>
  <c r="AC27" i="49"/>
  <c r="AC30" i="59"/>
  <c r="AC28" i="49"/>
  <c r="O11" i="35"/>
  <c r="P13" i="55" s="1"/>
  <c r="W75" i="26"/>
  <c r="S27" i="59" l="1"/>
  <c r="E17" i="35" s="1"/>
  <c r="F19" i="55" s="1"/>
  <c r="S12" i="59"/>
  <c r="P88" i="55"/>
  <c r="P63" i="55"/>
  <c r="P86" i="55"/>
  <c r="P61" i="55"/>
  <c r="X80" i="26"/>
  <c r="X75" i="26" s="1"/>
  <c r="Y20" i="26"/>
  <c r="X11" i="26"/>
  <c r="X9" i="26" s="1"/>
  <c r="AD15" i="26"/>
  <c r="AC10" i="26"/>
  <c r="O10" i="35"/>
  <c r="P12" i="55" s="1"/>
  <c r="O95" i="55"/>
  <c r="O70" i="55"/>
  <c r="O87" i="55"/>
  <c r="O62" i="55"/>
  <c r="E60" i="59"/>
  <c r="D69" i="55"/>
  <c r="D94" i="55"/>
  <c r="P95" i="55"/>
  <c r="P70" i="55"/>
  <c r="E58" i="59"/>
  <c r="E62" i="59" s="1"/>
  <c r="I79" i="55"/>
  <c r="I54" i="55"/>
  <c r="U50" i="59"/>
  <c r="T25" i="59"/>
  <c r="W47" i="20"/>
  <c r="W48" i="20" s="1"/>
  <c r="I2" i="35"/>
  <c r="J4" i="55" s="1"/>
  <c r="E94" i="55"/>
  <c r="E69" i="55"/>
  <c r="V12" i="20"/>
  <c r="V26" i="20"/>
  <c r="X47" i="20" l="1"/>
  <c r="X48" i="20" s="1"/>
  <c r="J2" i="35"/>
  <c r="K4" i="55" s="1"/>
  <c r="J79" i="55"/>
  <c r="J54" i="55"/>
  <c r="T27" i="59"/>
  <c r="F17" i="35" s="1"/>
  <c r="G19" i="55" s="1"/>
  <c r="T12" i="59"/>
  <c r="P87" i="55"/>
  <c r="P62" i="55"/>
  <c r="U25" i="59"/>
  <c r="V50" i="59"/>
  <c r="W12" i="20"/>
  <c r="W26" i="20"/>
  <c r="Z20" i="26"/>
  <c r="Y80" i="26"/>
  <c r="Y75" i="26" s="1"/>
  <c r="Y11" i="26"/>
  <c r="Y9" i="26" s="1"/>
  <c r="F69" i="55"/>
  <c r="F94" i="55"/>
  <c r="AA20" i="26" l="1"/>
  <c r="Z80" i="26"/>
  <c r="Z75" i="26" s="1"/>
  <c r="Z11" i="26"/>
  <c r="Z9" i="26" s="1"/>
  <c r="Y47" i="20"/>
  <c r="Y48" i="20" s="1"/>
  <c r="K2" i="35"/>
  <c r="L4" i="55" s="1"/>
  <c r="G69" i="55"/>
  <c r="G94" i="55"/>
  <c r="U27" i="59"/>
  <c r="G17" i="35" s="1"/>
  <c r="H19" i="55" s="1"/>
  <c r="U12" i="59"/>
  <c r="K79" i="55"/>
  <c r="K54" i="55"/>
  <c r="W50" i="59"/>
  <c r="V25" i="59"/>
  <c r="X12" i="20"/>
  <c r="X26" i="20"/>
  <c r="Y12" i="20" l="1"/>
  <c r="Y26" i="20"/>
  <c r="V27" i="59"/>
  <c r="H17" i="35" s="1"/>
  <c r="I19" i="55" s="1"/>
  <c r="V12" i="59"/>
  <c r="F60" i="59"/>
  <c r="Z47" i="20"/>
  <c r="Z48" i="20" s="1"/>
  <c r="L2" i="35"/>
  <c r="M4" i="55" s="1"/>
  <c r="W25" i="59"/>
  <c r="X50" i="59"/>
  <c r="AB20" i="26"/>
  <c r="AA80" i="26"/>
  <c r="AA75" i="26" s="1"/>
  <c r="AA11" i="26"/>
  <c r="AA9" i="26" s="1"/>
  <c r="L79" i="55"/>
  <c r="L54" i="55"/>
  <c r="H94" i="55"/>
  <c r="H69" i="55"/>
  <c r="Z12" i="20" l="1"/>
  <c r="Z26" i="20"/>
  <c r="I94" i="55"/>
  <c r="I69" i="55"/>
  <c r="AB80" i="26"/>
  <c r="AB75" i="26" s="1"/>
  <c r="AC20" i="26"/>
  <c r="AB11" i="26"/>
  <c r="AB9" i="26" s="1"/>
  <c r="M79" i="55"/>
  <c r="M54" i="55"/>
  <c r="AA47" i="20"/>
  <c r="AA48" i="20" s="1"/>
  <c r="M2" i="35"/>
  <c r="N4" i="55" s="1"/>
  <c r="X25" i="59"/>
  <c r="Y50" i="59"/>
  <c r="W27" i="59"/>
  <c r="I17" i="35" s="1"/>
  <c r="J19" i="55" s="1"/>
  <c r="W12" i="59"/>
  <c r="F58" i="59" s="1"/>
  <c r="F62" i="59" s="1"/>
  <c r="J94" i="55" l="1"/>
  <c r="J69" i="55"/>
  <c r="X27" i="59"/>
  <c r="J17" i="35" s="1"/>
  <c r="K19" i="55" s="1"/>
  <c r="X12" i="59"/>
  <c r="AB47" i="20"/>
  <c r="AB48" i="20" s="1"/>
  <c r="N2" i="35"/>
  <c r="O4" i="55" s="1"/>
  <c r="Y25" i="59"/>
  <c r="Z50" i="59"/>
  <c r="AC80" i="26"/>
  <c r="AC75" i="26" s="1"/>
  <c r="AC11" i="26"/>
  <c r="AC9" i="26" s="1"/>
  <c r="AA26" i="20"/>
  <c r="AA12" i="20"/>
  <c r="N54" i="55"/>
  <c r="N79" i="55"/>
  <c r="Y27" i="59" l="1"/>
  <c r="K17" i="35" s="1"/>
  <c r="L19" i="55" s="1"/>
  <c r="Y12" i="59"/>
  <c r="K94" i="55"/>
  <c r="K69" i="55"/>
  <c r="O54" i="55"/>
  <c r="O79" i="55"/>
  <c r="AB12" i="20"/>
  <c r="AB26" i="20"/>
  <c r="AC47" i="20"/>
  <c r="AC48" i="20" s="1"/>
  <c r="O2" i="35"/>
  <c r="P4" i="55" s="1"/>
  <c r="AA50" i="59"/>
  <c r="Z25" i="59"/>
  <c r="AB50" i="59" l="1"/>
  <c r="AA25" i="59"/>
  <c r="P79" i="55"/>
  <c r="P54" i="55"/>
  <c r="AC12" i="20"/>
  <c r="AC26" i="20"/>
  <c r="Z27" i="59"/>
  <c r="L17" i="35" s="1"/>
  <c r="M19" i="55" s="1"/>
  <c r="Z12" i="59"/>
  <c r="L94" i="55"/>
  <c r="L69" i="55"/>
  <c r="AA27" i="59" l="1"/>
  <c r="M17" i="35" s="1"/>
  <c r="N19" i="55" s="1"/>
  <c r="AA12" i="59"/>
  <c r="G58" i="59" s="1"/>
  <c r="G62" i="59" s="1"/>
  <c r="M94" i="55"/>
  <c r="M69" i="55"/>
  <c r="G60" i="59"/>
  <c r="AC50" i="59"/>
  <c r="AC25" i="59" s="1"/>
  <c r="AB25" i="59"/>
  <c r="AC27" i="59" l="1"/>
  <c r="O17" i="35" s="1"/>
  <c r="P19" i="55" s="1"/>
  <c r="AC12" i="59"/>
  <c r="AB27" i="59"/>
  <c r="N17" i="35" s="1"/>
  <c r="O19" i="55" s="1"/>
  <c r="AB12" i="59"/>
  <c r="N94" i="55"/>
  <c r="N69" i="55"/>
  <c r="O94" i="55" l="1"/>
  <c r="O69" i="55"/>
  <c r="P94" i="55"/>
  <c r="P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tc={5070108F-19A6-490F-8932-09E1A41A38EB}</author>
  </authors>
  <commentList>
    <comment ref="B22"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 ref="B23"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tc={52398C35-64A4-4FE7-9213-95FCA4E043C9}</author>
    <author>tc={BB2BD600-D27D-45BD-8287-F361E12EE9C4}</author>
    <author>tc={EC883E67-97AD-460D-B658-F12FDD429342}</author>
    <author>tc={57CD4897-BB4E-42F1-89BB-E63A5874F81B}</author>
  </authors>
  <commentList>
    <comment ref="R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Louise: we had this amount coming out in Q1 2022 but it hasn't yet. How should we spread this out?</t>
      </text>
    </comment>
    <comment ref="C5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tc={5B268A7E-4684-4417-99DA-FD209D4D638F}</author>
    <author>tc={EDDC02C6-9D5A-4D48-BD38-306F90DEE81E}</author>
    <author>tc={740ECA18-D6DC-4F42-982C-CBA3C5290FBF}</author>
    <author>tc={1C07D7AD-E31D-4773-BE5C-B49586DCA617}</author>
    <author>tc={ACC2DA47-74E7-4849-95C9-ED36B6AB864E}</author>
  </authors>
  <commentList>
    <comment ref="AM5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tc={B5E978D5-CE65-4AE2-8DD7-1EF95BA9E399}</author>
    <author>tc={DB908DB8-ED36-4713-AE3C-B9DFD0F93D1E}</author>
  </authors>
  <commentList>
    <comment ref="R2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7"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3"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0"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tc={92DCE874-AC14-4080-8F99-EF0B35B01255}</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89"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<sst xmlns="http://schemas.openxmlformats.org/spreadsheetml/2006/main" count="2528" uniqueCount="1327">
  <si>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</si>
  <si>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</si>
  <si>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</si>
  <si>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</si>
  <si>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</si>
  <si>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</si>
  <si>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</si>
  <si>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</si>
  <si>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</si>
  <si>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</si>
  <si>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</si>
  <si>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</si>
  <si>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</si>
  <si>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</si>
  <si>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</si>
  <si>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</si>
  <si>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</si>
  <si>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</si>
  <si>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</si>
  <si>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</si>
  <si>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</si>
  <si>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</si>
  <si>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</si>
  <si>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</si>
  <si>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</si>
  <si>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</si>
  <si>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</si>
  <si>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</si>
  <si>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</si>
  <si>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</si>
  <si>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</si>
  <si>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</si>
  <si>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</si>
  <si>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</si>
  <si>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</si>
  <si>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</si>
  <si>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</si>
  <si>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</si>
  <si>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</si>
  <si>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</si>
  <si>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</si>
  <si>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</si>
  <si>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</si>
  <si>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</si>
  <si>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</si>
  <si>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</si>
  <si>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</si>
  <si>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</si>
  <si>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</si>
  <si>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</si>
  <si>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</si>
  <si>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</si>
  <si>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</si>
  <si>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</si>
  <si>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</si>
  <si>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</si>
  <si>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</si>
  <si>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</si>
  <si>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</si>
  <si>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</si>
  <si>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</si>
  <si>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</si>
  <si>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</si>
  <si>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</si>
  <si>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</si>
  <si>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</si>
  <si>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</si>
  <si>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</si>
  <si>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</si>
  <si>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</si>
  <si>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</si>
  <si>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</si>
  <si>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</si>
  <si>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</si>
  <si>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</si>
  <si>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</si>
  <si>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</si>
  <si>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</si>
  <si>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</si>
  <si>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</si>
  <si>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</si>
  <si>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</si>
  <si>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</si>
  <si>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</si>
  <si>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</si>
  <si>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</si>
  <si>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</si>
  <si>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</si>
  <si>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</si>
  <si>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</si>
  <si>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</si>
  <si>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</si>
  <si>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</si>
  <si>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</si>
  <si>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</si>
  <si>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</si>
  <si>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</si>
  <si>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</si>
  <si>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</si>
  <si>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</si>
  <si>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</si>
  <si>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</si>
  <si>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</si>
  <si>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</si>
  <si>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</si>
  <si>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</si>
  <si>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</si>
  <si>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</si>
  <si>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</si>
  <si>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</si>
  <si>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</si>
  <si>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</si>
  <si>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</si>
  <si>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</si>
  <si>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</si>
  <si>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</si>
  <si>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</si>
  <si>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</si>
  <si>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</si>
  <si>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</si>
  <si>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</si>
  <si>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</si>
  <si>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</si>
  <si>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</si>
  <si>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</si>
  <si>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</si>
  <si>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</si>
  <si>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</si>
  <si>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</si>
  <si>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</si>
  <si>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</si>
  <si>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</si>
  <si>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</si>
  <si>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</si>
  <si>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</si>
  <si>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</si>
  <si>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</si>
  <si>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</si>
  <si>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</si>
  <si>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</si>
  <si>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</si>
  <si>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</si>
  <si>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</si>
  <si>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</si>
  <si>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</si>
  <si>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</si>
  <si>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</si>
  <si>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</si>
  <si>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</si>
  <si>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</si>
  <si>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</si>
  <si>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</si>
  <si>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</si>
  <si>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</si>
  <si>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</si>
  <si>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</si>
  <si>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</si>
  <si>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</si>
  <si>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</si>
  <si>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</si>
  <si>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</si>
  <si>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</si>
  <si>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</si>
  <si>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</si>
  <si>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</si>
  <si>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</si>
  <si>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</si>
  <si>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</si>
  <si>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</si>
  <si>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</si>
  <si>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</si>
  <si>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</si>
  <si>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</si>
  <si>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</si>
  <si>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</si>
  <si>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</si>
  <si>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</si>
  <si>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</si>
  <si>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</si>
  <si>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</si>
  <si>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</si>
  <si>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</si>
  <si>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</si>
  <si>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</si>
  <si>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</si>
  <si>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</si>
  <si>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</si>
  <si>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</si>
  <si>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</si>
  <si>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</si>
  <si>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</si>
  <si>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</si>
  <si>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</si>
  <si>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</si>
  <si>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</si>
  <si>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</si>
  <si>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</si>
  <si>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</si>
  <si>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</si>
  <si>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</si>
  <si>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</si>
  <si>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</si>
  <si>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</si>
  <si>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</si>
  <si>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</si>
  <si>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</si>
  <si>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</si>
  <si>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</si>
  <si>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</si>
  <si>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</si>
  <si>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</si>
  <si>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</si>
  <si>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</si>
  <si>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</si>
  <si>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</si>
  <si>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</si>
  <si>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</si>
  <si>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</si>
  <si>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</si>
  <si>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</si>
  <si>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</si>
  <si>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</si>
  <si>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</si>
  <si>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</si>
  <si>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</si>
  <si>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</si>
  <si>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</si>
  <si>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</si>
  <si>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</si>
  <si>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</si>
  <si>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</si>
  <si>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</si>
  <si>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</si>
  <si>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</si>
  <si>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</si>
  <si>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</si>
  <si>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</si>
  <si>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</si>
  <si>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</si>
  <si>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</si>
  <si>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</si>
  <si>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</si>
  <si>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</si>
  <si>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</si>
  <si>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</si>
  <si>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</si>
  <si>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</si>
  <si>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</si>
  <si>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</si>
  <si>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</si>
  <si>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</si>
  <si>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</si>
  <si>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</si>
  <si>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</si>
  <si>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</si>
  <si>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</si>
  <si>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</si>
  <si>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</si>
  <si>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</si>
  <si>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</si>
  <si>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</si>
  <si>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</si>
  <si>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</si>
  <si>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</si>
  <si>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</si>
  <si>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</si>
  <si>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</si>
  <si>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</si>
  <si>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</si>
  <si>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</si>
  <si>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</si>
  <si>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</si>
  <si>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</si>
  <si>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</si>
  <si>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</si>
  <si>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</si>
  <si>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</si>
  <si>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</si>
  <si>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</si>
  <si>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</si>
  <si>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</si>
  <si>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</si>
  <si>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</si>
  <si>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</si>
  <si>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</si>
  <si>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</si>
  <si>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</si>
  <si>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</si>
  <si>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</si>
  <si>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</si>
  <si>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</si>
  <si>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</si>
  <si>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</si>
  <si>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</si>
  <si>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</si>
  <si>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</si>
  <si>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</si>
  <si>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</si>
  <si>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</si>
  <si>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</si>
  <si>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</si>
  <si>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</si>
  <si>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</si>
  <si>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</si>
  <si>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</si>
  <si>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</si>
  <si>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</si>
  <si>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</si>
  <si>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</si>
  <si>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</si>
  <si>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</si>
  <si>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</si>
  <si>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</si>
  <si>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</si>
  <si>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</si>
  <si>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</si>
  <si>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</si>
  <si>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</si>
  <si>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</si>
  <si>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</si>
  <si>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</si>
  <si>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</si>
  <si>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</si>
  <si>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</si>
  <si>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</si>
  <si>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</si>
  <si>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</si>
  <si>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</si>
  <si>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</si>
  <si>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</si>
  <si>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</si>
  <si>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</si>
  <si>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</si>
  <si>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</si>
  <si>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</si>
  <si>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</si>
  <si>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</si>
  <si>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</si>
  <si>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</si>
  <si>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</si>
  <si>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</si>
  <si>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</si>
  <si>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</si>
  <si>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</si>
  <si>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</si>
  <si>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</si>
  <si>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</si>
  <si>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</si>
  <si>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</si>
  <si>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</si>
  <si>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</si>
  <si>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</si>
  <si>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</si>
  <si>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</si>
  <si>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</si>
  <si>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</si>
  <si>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</si>
  <si>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</si>
  <si>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</si>
  <si>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</si>
  <si>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</si>
  <si>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</si>
  <si>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</si>
  <si>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</si>
  <si>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</si>
  <si>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</si>
  <si>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</si>
  <si>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</si>
  <si>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</si>
  <si>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</si>
  <si>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</si>
  <si>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</si>
  <si>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</si>
  <si>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</si>
  <si>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</si>
  <si>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</si>
  <si>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</si>
  <si>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</si>
  <si>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</si>
  <si>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</si>
  <si>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</si>
  <si>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</si>
  <si>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</si>
  <si>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</si>
  <si>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</si>
  <si>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</si>
  <si>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</si>
  <si>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</si>
  <si>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</si>
  <si>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</si>
  <si>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</si>
  <si>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</si>
  <si>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</si>
  <si>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</si>
  <si>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</si>
  <si>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</si>
  <si>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</si>
  <si>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</si>
  <si>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</si>
  <si>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</si>
  <si>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</si>
  <si>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</si>
  <si>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</si>
  <si>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</si>
  <si>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</si>
  <si>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</si>
  <si>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</si>
  <si>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</si>
  <si>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</si>
  <si>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</si>
  <si>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</si>
  <si>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</si>
  <si>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</si>
  <si>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</si>
  <si>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</si>
  <si>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</si>
  <si>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</si>
  <si>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</si>
  <si>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</si>
  <si>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</si>
  <si>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</si>
  <si>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</si>
  <si>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</si>
  <si>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</si>
  <si>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</si>
  <si>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</si>
  <si>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</si>
  <si>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</si>
  <si>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</si>
  <si>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</si>
  <si>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</si>
  <si>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</si>
  <si>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</si>
  <si>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</si>
  <si>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</si>
  <si>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</si>
  <si>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</si>
  <si>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</si>
  <si>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</si>
  <si>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</si>
  <si>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</si>
  <si>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</si>
  <si>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</si>
  <si>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</si>
  <si>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</si>
  <si>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</si>
  <si>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</si>
  <si>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</si>
  <si>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</si>
  <si>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</si>
  <si>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</si>
  <si>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</si>
  <si>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</si>
  <si>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</si>
  <si>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</si>
  <si>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</si>
  <si>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</si>
  <si>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</si>
  <si>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</si>
  <si>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</si>
  <si>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</si>
  <si>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</si>
  <si>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</si>
  <si>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</si>
  <si>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</si>
  <si>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</si>
  <si>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</si>
  <si>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</si>
  <si>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</si>
  <si>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</si>
  <si>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</si>
  <si>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</si>
  <si>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</si>
  <si>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</si>
  <si>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</si>
  <si>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</si>
  <si>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</si>
  <si>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</si>
  <si>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</si>
  <si>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</si>
  <si>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</si>
  <si>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</si>
  <si>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</si>
  <si>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</si>
  <si>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</si>
  <si>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</si>
  <si>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</si>
  <si>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</si>
  <si>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</si>
  <si>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</si>
  <si>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</si>
  <si>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</si>
  <si>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</si>
  <si>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</si>
  <si>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</si>
  <si>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</si>
  <si>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</si>
  <si>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</si>
  <si>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</si>
  <si>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</si>
  <si>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</si>
  <si>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</si>
  <si>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</si>
  <si>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</si>
  <si>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</si>
  <si>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</si>
  <si>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</si>
  <si>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</si>
  <si>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</si>
  <si>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</si>
  <si>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</si>
  <si>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</si>
  <si>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</si>
  <si>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</si>
  <si>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</si>
  <si>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</si>
  <si>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</si>
  <si>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</si>
  <si>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</si>
  <si>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</si>
  <si>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</si>
  <si>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</si>
  <si>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</si>
  <si>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</si>
  <si>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</si>
  <si>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</si>
  <si>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</si>
  <si>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</si>
  <si>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</si>
  <si>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</si>
  <si>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</si>
  <si>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</si>
  <si>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</si>
  <si>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</si>
  <si>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</si>
  <si>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</si>
  <si>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</si>
  <si>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</si>
  <si>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</si>
  <si>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</si>
  <si>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</si>
  <si>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</si>
  <si>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</si>
  <si>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</si>
  <si>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</si>
  <si>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</si>
  <si>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</si>
  <si>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</si>
  <si>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</si>
  <si>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</si>
  <si>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</si>
  <si>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</si>
  <si>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</si>
  <si>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</si>
  <si>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</si>
  <si>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</si>
  <si>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</si>
  <si>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</si>
  <si>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</si>
  <si>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</si>
  <si>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</si>
  <si>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</si>
  <si>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</si>
  <si>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</si>
  <si>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</si>
  <si>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</si>
  <si>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</si>
  <si>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</si>
  <si>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</si>
  <si>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</si>
  <si>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</si>
  <si>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</si>
  <si>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</si>
  <si>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</si>
  <si>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</si>
  <si>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</si>
  <si>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</si>
  <si>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</si>
  <si>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</si>
  <si>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</si>
  <si>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</si>
  <si>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</si>
  <si>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</si>
  <si>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</si>
  <si>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</si>
  <si>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</si>
  <si>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</si>
  <si>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</si>
  <si>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</si>
  <si>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</si>
  <si>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</si>
  <si>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</si>
  <si>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</si>
  <si>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</si>
  <si>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</si>
  <si>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</si>
  <si>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</si>
  <si>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</si>
  <si>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</si>
  <si>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</si>
  <si>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</si>
  <si>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</si>
  <si>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</si>
  <si>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</si>
  <si>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</si>
  <si>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</si>
  <si>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</si>
  <si>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</si>
  <si>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</si>
  <si>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</si>
  <si>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</si>
  <si>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</si>
  <si>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</si>
  <si>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</si>
  <si>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</si>
  <si>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</si>
  <si>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</si>
  <si>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</si>
  <si>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</si>
  <si>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</si>
  <si>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</si>
  <si>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</si>
  <si>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</si>
  <si>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</si>
  <si>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</si>
  <si>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</si>
  <si>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</si>
  <si>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</si>
  <si>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</si>
  <si>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</si>
  <si>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</si>
  <si>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</si>
  <si>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</si>
  <si>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</si>
  <si>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</si>
  <si>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</si>
  <si>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</si>
  <si>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</si>
  <si>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</si>
  <si>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</si>
  <si>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</si>
  <si>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</si>
  <si>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</si>
  <si>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</si>
  <si>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</si>
  <si>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</si>
  <si>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</si>
  <si>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</si>
  <si>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</si>
  <si>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</si>
  <si>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</si>
  <si>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</si>
  <si>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</si>
  <si>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</si>
  <si>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</si>
  <si>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</si>
  <si>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</si>
  <si>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</si>
  <si>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</si>
  <si>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</si>
  <si>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</si>
  <si>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</si>
  <si>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</si>
  <si>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</si>
  <si>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</si>
  <si>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</si>
  <si>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</si>
  <si>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</si>
  <si>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</si>
  <si>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</si>
  <si>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</si>
  <si>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</si>
  <si>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</si>
  <si>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</si>
  <si>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</si>
  <si>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</si>
  <si>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</si>
  <si>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</si>
  <si>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</si>
  <si>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</si>
  <si>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</si>
  <si>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</si>
  <si>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</si>
  <si>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</si>
  <si>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</si>
  <si>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</si>
  <si>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</si>
  <si>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</si>
  <si>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</si>
  <si>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</si>
  <si>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</si>
  <si>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</si>
  <si>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</si>
  <si>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</si>
  <si>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</si>
  <si>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</si>
  <si>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</si>
  <si>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</si>
  <si>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</si>
  <si>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</si>
  <si>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</si>
  <si>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</si>
  <si>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</si>
  <si>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</si>
  <si>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</si>
  <si>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</si>
  <si>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</si>
  <si>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</si>
  <si>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</si>
  <si>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</si>
  <si>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</si>
  <si>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</si>
  <si>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</si>
  <si>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</si>
  <si>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</si>
  <si>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</si>
  <si>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</si>
  <si>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</si>
  <si>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</si>
  <si>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</si>
  <si>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</si>
  <si>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</si>
  <si>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</si>
  <si>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</si>
  <si>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</si>
  <si>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</si>
  <si>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</si>
  <si>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</si>
  <si>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</si>
  <si>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</si>
  <si>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</si>
  <si>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</si>
  <si>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</si>
  <si>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</si>
  <si>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</si>
  <si>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</si>
  <si>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</si>
  <si>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</si>
  <si>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</si>
  <si>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</si>
  <si>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</si>
  <si>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</si>
  <si>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</si>
  <si>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</si>
  <si>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</si>
  <si>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</si>
  <si>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</si>
  <si>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</si>
  <si>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</si>
  <si>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</si>
  <si>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</si>
  <si>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</si>
  <si>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</si>
  <si>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</si>
  <si>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</si>
  <si>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</si>
  <si>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</si>
  <si>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</si>
  <si>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</si>
  <si>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</si>
  <si>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</si>
  <si>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</si>
  <si>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</si>
  <si>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</si>
  <si>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</si>
  <si>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</si>
  <si>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</si>
  <si>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</si>
  <si>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</si>
  <si>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</si>
  <si>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</si>
  <si>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</si>
  <si>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</si>
  <si>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</si>
  <si>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</si>
  <si>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</si>
  <si>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</si>
  <si>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</si>
  <si>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</si>
  <si>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</si>
  <si>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</si>
  <si>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</si>
  <si>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</si>
  <si>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</si>
  <si>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</si>
  <si>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</si>
  <si>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</si>
  <si>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</si>
  <si>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</si>
  <si>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</si>
  <si>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</si>
  <si>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</si>
  <si>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</si>
  <si>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</si>
  <si>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</si>
  <si>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</si>
  <si>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</si>
  <si>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</si>
  <si>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</si>
  <si>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</si>
  <si>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</si>
  <si>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</si>
  <si>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</si>
  <si>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</si>
  <si>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</si>
  <si>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</si>
  <si>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</si>
  <si>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</si>
  <si>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</si>
  <si>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</si>
  <si>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</si>
  <si>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</si>
  <si>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</si>
  <si>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</si>
  <si>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</si>
  <si>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</si>
  <si>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</si>
  <si>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</si>
  <si>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</si>
  <si>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</si>
  <si>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</si>
  <si>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</si>
  <si>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</si>
  <si>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</si>
  <si>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</si>
  <si>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</si>
  <si>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</si>
  <si>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</si>
  <si>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</si>
  <si>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</si>
  <si>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</si>
  <si>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</si>
  <si>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</si>
  <si>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</si>
  <si>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</si>
  <si>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</si>
  <si>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</si>
  <si>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</si>
  <si>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</si>
  <si>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</si>
  <si>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</si>
  <si>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</si>
  <si>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</si>
  <si>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</si>
  <si>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</si>
  <si>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</si>
  <si>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</si>
  <si>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</si>
  <si>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</si>
  <si>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</si>
  <si>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</si>
  <si>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</si>
  <si>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</si>
  <si>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</si>
  <si>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</si>
  <si>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</si>
  <si>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</si>
  <si>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</si>
  <si>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</si>
  <si>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</si>
  <si>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</si>
  <si>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</si>
  <si>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</si>
  <si>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</si>
  <si>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</si>
  <si>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</si>
  <si>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</si>
  <si>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</si>
  <si>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</si>
  <si>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</si>
  <si>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</si>
  <si>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</si>
  <si>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</si>
  <si>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</si>
  <si>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</si>
  <si>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</si>
  <si>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</si>
  <si>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</si>
  <si>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</si>
  <si>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</si>
  <si>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</si>
  <si>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</si>
  <si>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</si>
  <si>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</si>
  <si>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</si>
  <si>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</si>
  <si>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</si>
  <si>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</si>
  <si>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</si>
  <si>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</si>
  <si>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</si>
  <si>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Levels</t>
  </si>
  <si>
    <t>Line</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</si>
  <si>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</si>
  <si>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</si>
  <si>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</si>
  <si>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</si>
  <si>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</si>
  <si>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</si>
  <si>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</si>
  <si>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</si>
  <si>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</si>
  <si>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</si>
  <si>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</si>
  <si>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</si>
  <si>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</si>
  <si>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</si>
  <si>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</si>
  <si>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</si>
  <si>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</si>
  <si>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</si>
  <si>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</si>
  <si>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Dec.</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</si>
  <si>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</si>
  <si>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</si>
  <si>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</si>
  <si>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</si>
  <si>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</si>
  <si>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</si>
  <si>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</si>
  <si>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</si>
  <si>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</si>
  <si>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</si>
  <si>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</si>
  <si>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</si>
  <si>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</si>
  <si>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</si>
  <si>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</si>
  <si>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</si>
  <si>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</si>
  <si>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</si>
  <si>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</si>
  <si>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</si>
  <si>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</si>
  <si>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</si>
  <si>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</si>
  <si>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</si>
  <si>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</si>
  <si>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</si>
  <si>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</si>
  <si>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</si>
  <si>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</si>
  <si>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</si>
  <si>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</si>
  <si>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</si>
  <si>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</si>
  <si>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</si>
  <si>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</si>
  <si>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</si>
  <si>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</si>
  <si>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</si>
  <si>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</si>
  <si>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</si>
  <si>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</si>
  <si>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</si>
  <si>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</si>
  <si>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</si>
  <si>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</si>
  <si>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</si>
  <si>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</si>
  <si>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</si>
  <si>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</si>
  <si>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</si>
  <si>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</si>
  <si>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</si>
  <si>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</si>
  <si>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</si>
  <si>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</si>
  <si>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</si>
  <si>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</si>
  <si>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</si>
  <si>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</si>
  <si>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</si>
  <si>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</si>
  <si>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</si>
  <si>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</si>
  <si>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</si>
  <si>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</si>
  <si>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</si>
  <si>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</si>
  <si>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</si>
  <si>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</si>
  <si>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</si>
  <si>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</si>
  <si>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</si>
  <si>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</si>
  <si>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Previous Forecast (April 2022)</t>
  </si>
  <si>
    <t>CBO Unemployment Rate Projection - May 2022</t>
  </si>
  <si>
    <t>May 2022 CBO Projection of Federal Purchases</t>
  </si>
  <si>
    <t>May 2022 CBO Federal Purchases Growth</t>
  </si>
  <si>
    <t>May 2022 CBO Projection of Federal Medicaid Outlays</t>
  </si>
  <si>
    <t>May 2022 CBO Annual Medicare Spending</t>
  </si>
  <si>
    <t>Pre-revision</t>
  </si>
  <si>
    <t>Federal Share (FMAP)</t>
  </si>
  <si>
    <t>End of public health emergency</t>
  </si>
  <si>
    <t>Nonwage Income</t>
  </si>
  <si>
    <t>May 2022 CBO Tax Base Quarterly Projections</t>
  </si>
  <si>
    <t>NIPA FY and forecast based on CBO</t>
  </si>
  <si>
    <t>NA</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</si>
  <si>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</si>
  <si>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</si>
  <si>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</si>
  <si>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</si>
  <si>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</si>
  <si>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</si>
  <si>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</si>
  <si>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</si>
  <si>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</si>
  <si>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</si>
  <si>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</si>
  <si>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Our forecast for Q2</t>
  </si>
  <si>
    <t>Seasonally adjusted at annual rates</t>
  </si>
  <si>
    <t>Sept.</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</si>
  <si>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</si>
  <si>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</si>
  <si>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</si>
  <si>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</si>
  <si>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</si>
  <si>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</si>
  <si>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</si>
  <si>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May 2922 CBO Projections of Federal Taxes (Fiscal Years)</t>
  </si>
  <si>
    <t>Higher COVID Payment Rates (here for reference)</t>
  </si>
  <si>
    <t>We get the projected growth rate from the projected BEA level</t>
  </si>
  <si>
    <t>We project the BEA level using the growth rate from the CBO</t>
  </si>
  <si>
    <t>Note: these are for fiscal years which go from Q4-Q3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</si>
  <si>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</si>
  <si>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</si>
  <si>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</si>
  <si>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</si>
  <si>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</si>
  <si>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</si>
  <si>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</si>
  <si>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</si>
  <si>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</si>
  <si>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</si>
  <si>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</si>
  <si>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</si>
  <si>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</si>
  <si>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</si>
  <si>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</si>
  <si>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</si>
  <si>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</si>
  <si>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</si>
  <si>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</si>
  <si>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</si>
  <si>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</si>
  <si>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</si>
  <si>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</si>
  <si>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</si>
  <si>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</si>
  <si>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</si>
  <si>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</si>
  <si>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</si>
  <si>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</si>
  <si>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</si>
  <si>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</si>
  <si>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</si>
  <si>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</si>
  <si>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</si>
  <si>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</si>
  <si>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</si>
  <si>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</si>
  <si>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</si>
  <si>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</si>
  <si>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</si>
  <si>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</si>
  <si>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</si>
  <si>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</si>
  <si>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</si>
  <si>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</si>
  <si>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</si>
  <si>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</si>
  <si>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</si>
  <si>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</si>
  <si>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</si>
  <si>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</si>
  <si>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</si>
  <si>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</si>
  <si>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</si>
  <si>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</si>
  <si>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</si>
  <si>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</si>
  <si>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</si>
  <si>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</si>
  <si>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</si>
  <si>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</si>
  <si>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</si>
  <si>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</si>
  <si>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</si>
  <si>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</si>
  <si>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</si>
  <si>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</si>
  <si>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</si>
  <si>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</si>
  <si>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</si>
  <si>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</si>
  <si>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</si>
  <si>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</si>
  <si>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</si>
  <si>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</si>
  <si>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</si>
  <si>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</si>
  <si>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</si>
  <si>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</si>
  <si>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</si>
  <si>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</si>
  <si>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</si>
  <si>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</si>
  <si>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</si>
  <si>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</si>
  <si>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</si>
  <si>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</si>
  <si>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</si>
  <si>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</si>
  <si>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</si>
  <si>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</si>
  <si>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</si>
  <si>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</si>
  <si>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</si>
  <si>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</si>
  <si>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</si>
  <si>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</si>
  <si>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</si>
  <si>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</si>
  <si>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</si>
  <si>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</si>
  <si>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</si>
  <si>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</si>
  <si>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</si>
  <si>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</si>
  <si>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</si>
  <si>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</si>
  <si>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</si>
  <si>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</si>
  <si>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</si>
  <si>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</si>
  <si>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</si>
  <si>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</si>
  <si>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</si>
  <si>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</si>
  <si>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</si>
  <si>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</si>
  <si>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</si>
  <si>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</si>
  <si>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</si>
  <si>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</si>
  <si>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</si>
  <si>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</si>
  <si>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</si>
  <si>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</si>
  <si>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</si>
  <si>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</si>
  <si>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</si>
  <si>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</si>
  <si>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</si>
  <si>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</si>
  <si>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</si>
  <si>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</si>
  <si>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</si>
  <si>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</si>
  <si>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</si>
  <si>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</si>
  <si>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</si>
  <si>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</si>
  <si>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</si>
  <si>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</si>
  <si>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</si>
  <si>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</si>
  <si>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</si>
  <si>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</si>
  <si>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</si>
  <si>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</si>
  <si>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</si>
  <si>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</si>
  <si>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</si>
  <si>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</si>
  <si>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</si>
  <si>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</si>
  <si>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</si>
  <si>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</si>
  <si>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</si>
  <si>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</si>
  <si>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</si>
  <si>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</si>
  <si>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</si>
  <si>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</si>
  <si>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</si>
  <si>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</si>
  <si>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</si>
  <si>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</si>
  <si>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</si>
  <si>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</si>
  <si>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</si>
  <si>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</si>
  <si>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</si>
  <si>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</si>
  <si>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</si>
  <si>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</si>
  <si>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</si>
  <si>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</si>
  <si>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</si>
  <si>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</si>
  <si>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</si>
  <si>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</si>
  <si>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</si>
  <si>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</si>
  <si>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</si>
  <si>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</si>
  <si>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</si>
  <si>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</si>
  <si>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</si>
  <si>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</si>
  <si>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</si>
  <si>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</si>
  <si>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</si>
  <si>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</si>
  <si>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</si>
  <si>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</si>
  <si>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</si>
  <si>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</si>
  <si>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</si>
  <si>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</si>
  <si>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</si>
  <si>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</si>
  <si>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</si>
  <si>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</si>
  <si>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</si>
  <si>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</si>
  <si>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</si>
  <si>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</si>
  <si>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</si>
  <si>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</si>
  <si>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</si>
  <si>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</si>
  <si>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</si>
  <si>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</si>
  <si>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</si>
  <si>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</si>
  <si>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</si>
  <si>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</si>
  <si>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</si>
  <si>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</si>
  <si>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</si>
  <si>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</si>
  <si>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</si>
  <si>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</si>
  <si>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</si>
  <si>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</si>
  <si>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</si>
  <si>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</si>
  <si>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</si>
  <si>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</si>
  <si>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</si>
  <si>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</si>
  <si>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</si>
  <si>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</si>
  <si>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</si>
  <si>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</si>
  <si>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</si>
  <si>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</si>
  <si>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</si>
  <si>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</si>
  <si>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</si>
  <si>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</si>
  <si>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</si>
  <si>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</si>
  <si>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</si>
  <si>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</si>
  <si>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</si>
  <si>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</si>
  <si>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</si>
  <si>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</si>
  <si>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</si>
  <si>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</si>
  <si>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</si>
  <si>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</si>
  <si>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</si>
  <si>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</si>
  <si>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</si>
  <si>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</si>
  <si>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</si>
  <si>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</si>
  <si>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</si>
  <si>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</si>
  <si>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</si>
  <si>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</si>
  <si>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</si>
  <si>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</si>
  <si>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</si>
  <si>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</si>
  <si>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</si>
  <si>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</si>
  <si>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</si>
  <si>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</si>
  <si>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</si>
  <si>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</si>
  <si>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</si>
  <si>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</si>
  <si>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</si>
  <si>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</si>
  <si>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</si>
  <si>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</si>
  <si>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</si>
  <si>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</si>
  <si>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</si>
  <si>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</si>
  <si>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</si>
  <si>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</si>
  <si>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</si>
  <si>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</si>
  <si>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</si>
  <si>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</si>
  <si>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</si>
  <si>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</si>
  <si>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</si>
  <si>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</si>
  <si>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</si>
  <si>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</si>
  <si>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</si>
  <si>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</si>
  <si>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</si>
  <si>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</si>
  <si>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</si>
  <si>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2022 Q1 first revision</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</si>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</sst>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s>
  <fonts count="5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font>
    <font>
      <b/>
      <sz val="12"/>
      <color theme="1"/>
      <name val="Calibri"/>
      <family val="2"/>
      <scheme val="minor"/>
    </font>
    <font>
      <sz val="12"/>
      <color theme="1"/>
      <name val="Calibri"/>
      <family val="2"/>
      <scheme val="minor"/>
    </font>
    <font>
      <i/>
      <sz val="11"/>
      <color theme="1"/>
      <name val="Arial"/>
      <family val="2"/>
    </font>
    <font>
      <b/>
      <i/>
      <sz val="11"/>
      <color theme="1"/>
      <name val="Arial"/>
      <family val="2"/>
    </font>
    <font>
      <sz val="11"/>
      <color theme="1"/>
      <name val="Calibri Light"/>
      <family val="2"/>
      <scheme val="major"/>
    </font>
    <font>
      <sz val="11"/>
      <color rgb="FFFF0000"/>
      <name val="Arial"/>
      <family val="2"/>
    </font>
    <font>
      <sz val="11"/>
      <color rgb="FF393B3E"/>
      <name val="Arial"/>
      <family val="2"/>
    </font>
    <font>
      <sz val="12"/>
      <color rgb="FF000000"/>
      <name val="Courier New"/>
      <family val="3"/>
    </font>
    <font>
      <sz val="11"/>
      <color rgb="FF000000"/>
      <name val="Arial"/>
      <family val="2"/>
    </font>
    <font>
      <sz val="7"/>
      <color rgb="FF242424"/>
      <name val="Segoe UI"/>
      <family val="2"/>
    </font>
    <font>
      <b/>
      <i/>
      <sz val="10"/>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s>
  <fills count="2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6">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top/>
      <bottom style="medium">
        <color theme="0" tint="-0.499984740745262"/>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medium">
        <color theme="2"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theme="0" tint="-0.14999847407452621"/>
      </right>
      <top style="thin">
        <color theme="0" tint="-0.14999847407452621"/>
      </top>
      <bottom style="thin">
        <color theme="0" tint="-0.14999847407452621"/>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style="hair">
        <color auto="1"/>
      </left>
      <right/>
      <top/>
      <bottom/>
      <diagonal/>
    </border>
    <border>
      <left/>
      <right style="hair">
        <color auto="1"/>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1072">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6" fillId="0" borderId="0" xfId="0" applyFont="1"/>
    <xf numFmtId="0" fontId="17" fillId="8" borderId="15" xfId="0" applyFont="1" applyFill="1" applyBorder="1"/>
    <xf numFmtId="0" fontId="17" fillId="0" borderId="16" xfId="0" applyFont="1" applyBorder="1"/>
    <xf numFmtId="0" fontId="1" fillId="8" borderId="16" xfId="0" applyFont="1" applyFill="1" applyBorder="1"/>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0" fontId="14" fillId="0" borderId="16" xfId="0" applyFont="1" applyBorder="1" applyAlignment="1">
      <alignment horizontal="left"/>
    </xf>
    <xf numFmtId="0" fontId="13" fillId="0" borderId="16" xfId="0" applyFont="1" applyBorder="1" applyAlignment="1">
      <alignment horizontal="left" indent="3"/>
    </xf>
    <xf numFmtId="0" fontId="17" fillId="0" borderId="17" xfId="0" applyFont="1" applyBorder="1"/>
    <xf numFmtId="0" fontId="2" fillId="0" borderId="0" xfId="0" applyFont="1" applyAlignment="1">
      <alignment horizontal="center"/>
    </xf>
    <xf numFmtId="0" fontId="2"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2" fillId="8" borderId="0" xfId="0" applyFont="1" applyFill="1"/>
    <xf numFmtId="165" fontId="2" fillId="8" borderId="23" xfId="0" applyNumberFormat="1" applyFont="1" applyFill="1" applyBorder="1" applyAlignment="1">
      <alignment horizontal="right"/>
    </xf>
    <xf numFmtId="165" fontId="2" fillId="8" borderId="18" xfId="0" applyNumberFormat="1" applyFont="1" applyFill="1" applyBorder="1" applyAlignment="1">
      <alignment horizontal="right"/>
    </xf>
    <xf numFmtId="165" fontId="2" fillId="8" borderId="24" xfId="0" applyNumberFormat="1" applyFont="1" applyFill="1" applyBorder="1" applyAlignment="1">
      <alignment horizontal="right"/>
    </xf>
    <xf numFmtId="165" fontId="2" fillId="8" borderId="25" xfId="0" applyNumberFormat="1" applyFont="1" applyFill="1" applyBorder="1" applyAlignment="1">
      <alignment horizontal="right"/>
    </xf>
    <xf numFmtId="0" fontId="1" fillId="8" borderId="0" xfId="0" applyFont="1" applyFill="1"/>
    <xf numFmtId="0" fontId="2" fillId="0" borderId="26" xfId="0" applyFont="1" applyBorder="1"/>
    <xf numFmtId="0" fontId="1" fillId="9" borderId="0" xfId="0" applyFont="1" applyFill="1"/>
    <xf numFmtId="0" fontId="1" fillId="9" borderId="16" xfId="0" applyFont="1" applyFill="1" applyBorder="1"/>
    <xf numFmtId="165" fontId="1" fillId="9" borderId="27" xfId="0" applyNumberFormat="1" applyFont="1" applyFill="1" applyBorder="1" applyAlignment="1">
      <alignment horizontal="right"/>
    </xf>
    <xf numFmtId="165" fontId="1" fillId="9" borderId="0" xfId="0" applyNumberFormat="1" applyFont="1" applyFill="1" applyAlignment="1">
      <alignment horizontal="right"/>
    </xf>
    <xf numFmtId="165" fontId="1" fillId="9" borderId="28" xfId="0" applyNumberFormat="1" applyFont="1" applyFill="1" applyBorder="1" applyAlignment="1">
      <alignment horizontal="right"/>
    </xf>
    <xf numFmtId="165" fontId="1" fillId="9" borderId="29" xfId="0" applyNumberFormat="1" applyFont="1" applyFill="1" applyBorder="1" applyAlignment="1">
      <alignment horizontal="right"/>
    </xf>
    <xf numFmtId="0" fontId="1" fillId="9" borderId="16" xfId="0" applyFont="1" applyFill="1" applyBorder="1" applyAlignment="1">
      <alignment horizontal="left"/>
    </xf>
    <xf numFmtId="0" fontId="1" fillId="9" borderId="30" xfId="0" applyFont="1" applyFill="1" applyBorder="1"/>
    <xf numFmtId="9" fontId="1" fillId="0" borderId="0" xfId="0" applyNumberFormat="1" applyFont="1"/>
    <xf numFmtId="9" fontId="1" fillId="9" borderId="0" xfId="0" applyNumberFormat="1" applyFont="1" applyFill="1"/>
    <xf numFmtId="165" fontId="1" fillId="0" borderId="0" xfId="0" applyNumberFormat="1" applyFont="1" applyAlignment="1">
      <alignment horizontal="right"/>
    </xf>
    <xf numFmtId="0" fontId="1" fillId="0" borderId="0" xfId="0" applyFont="1" applyAlignment="1">
      <alignment horizontal="left" vertical="center" indent="2"/>
    </xf>
    <xf numFmtId="165" fontId="2" fillId="8" borderId="0" xfId="0" applyNumberFormat="1" applyFont="1" applyFill="1" applyAlignment="1">
      <alignment horizontal="right"/>
    </xf>
    <xf numFmtId="165" fontId="2" fillId="0" borderId="27" xfId="0" applyNumberFormat="1" applyFont="1" applyBorder="1" applyAlignment="1">
      <alignment horizontal="right"/>
    </xf>
    <xf numFmtId="165" fontId="2" fillId="0" borderId="0" xfId="0" applyNumberFormat="1" applyFont="1" applyAlignment="1">
      <alignment horizontal="right"/>
    </xf>
    <xf numFmtId="165" fontId="2" fillId="0" borderId="28" xfId="0" applyNumberFormat="1" applyFont="1" applyBorder="1" applyAlignment="1">
      <alignment horizontal="right"/>
    </xf>
    <xf numFmtId="165" fontId="1" fillId="0" borderId="0" xfId="0" applyNumberFormat="1" applyFont="1"/>
    <xf numFmtId="165" fontId="2" fillId="0" borderId="29" xfId="0" applyNumberFormat="1" applyFont="1" applyBorder="1" applyAlignment="1">
      <alignment horizontal="right"/>
    </xf>
    <xf numFmtId="165" fontId="1" fillId="8" borderId="27" xfId="0" applyNumberFormat="1" applyFont="1" applyFill="1" applyBorder="1" applyAlignment="1">
      <alignment horizontal="right"/>
    </xf>
    <xf numFmtId="165" fontId="1" fillId="8" borderId="0" xfId="0" applyNumberFormat="1" applyFont="1" applyFill="1" applyAlignment="1">
      <alignment horizontal="right"/>
    </xf>
    <xf numFmtId="165" fontId="1" fillId="8" borderId="28" xfId="0" applyNumberFormat="1" applyFont="1" applyFill="1" applyBorder="1" applyAlignment="1">
      <alignment horizontal="right"/>
    </xf>
    <xf numFmtId="0" fontId="1" fillId="0" borderId="0" xfId="0" applyFont="1" applyAlignment="1">
      <alignment horizontal="center"/>
    </xf>
    <xf numFmtId="0" fontId="18" fillId="0" borderId="31" xfId="0" applyFont="1" applyBorder="1" applyAlignment="1">
      <alignment horizontal="center"/>
    </xf>
    <xf numFmtId="0" fontId="18" fillId="0" borderId="32" xfId="0" applyFont="1" applyBorder="1" applyAlignment="1">
      <alignment horizontal="center"/>
    </xf>
    <xf numFmtId="165" fontId="1" fillId="8" borderId="29" xfId="0" applyNumberFormat="1" applyFont="1" applyFill="1" applyBorder="1" applyAlignment="1">
      <alignment horizontal="right"/>
    </xf>
    <xf numFmtId="0" fontId="18" fillId="0" borderId="33" xfId="0" applyFont="1" applyBorder="1" applyAlignment="1">
      <alignment horizontal="center"/>
    </xf>
    <xf numFmtId="165" fontId="1" fillId="9" borderId="0" xfId="0" applyNumberFormat="1" applyFont="1" applyFill="1"/>
    <xf numFmtId="2" fontId="18" fillId="0" borderId="34" xfId="0" applyNumberFormat="1" applyFont="1" applyBorder="1"/>
    <xf numFmtId="2" fontId="1" fillId="0" borderId="34" xfId="0" applyNumberFormat="1" applyFont="1" applyBorder="1"/>
    <xf numFmtId="2" fontId="1" fillId="9" borderId="34" xfId="0" applyNumberFormat="1" applyFont="1" applyFill="1" applyBorder="1"/>
    <xf numFmtId="165" fontId="1" fillId="0" borderId="27" xfId="0" applyNumberFormat="1" applyFont="1" applyBorder="1" applyAlignment="1">
      <alignment horizontal="right"/>
    </xf>
    <xf numFmtId="165" fontId="1" fillId="0" borderId="28" xfId="0" applyNumberFormat="1" applyFont="1" applyBorder="1" applyAlignment="1">
      <alignment horizontal="right"/>
    </xf>
    <xf numFmtId="165" fontId="1" fillId="0" borderId="29" xfId="0" applyNumberFormat="1" applyFont="1" applyBorder="1" applyAlignment="1">
      <alignment horizontal="right"/>
    </xf>
    <xf numFmtId="165" fontId="2" fillId="8" borderId="27" xfId="0" applyNumberFormat="1" applyFont="1" applyFill="1" applyBorder="1" applyAlignment="1">
      <alignment horizontal="right"/>
    </xf>
    <xf numFmtId="165" fontId="2" fillId="8" borderId="28" xfId="0" applyNumberFormat="1" applyFont="1" applyFill="1" applyBorder="1" applyAlignment="1">
      <alignment horizontal="right"/>
    </xf>
    <xf numFmtId="165" fontId="2" fillId="8" borderId="29" xfId="0" applyNumberFormat="1" applyFont="1" applyFill="1" applyBorder="1" applyAlignment="1">
      <alignment horizontal="right"/>
    </xf>
    <xf numFmtId="165" fontId="2" fillId="0" borderId="41" xfId="0" applyNumberFormat="1" applyFont="1" applyBorder="1" applyAlignment="1">
      <alignment horizontal="right"/>
    </xf>
    <xf numFmtId="165" fontId="2" fillId="0" borderId="26" xfId="0" applyNumberFormat="1" applyFont="1" applyBorder="1" applyAlignment="1">
      <alignment horizontal="right"/>
    </xf>
    <xf numFmtId="165" fontId="2" fillId="0" borderId="42" xfId="0" applyNumberFormat="1" applyFont="1" applyBorder="1" applyAlignment="1">
      <alignment horizontal="right"/>
    </xf>
    <xf numFmtId="165" fontId="2" fillId="0" borderId="43" xfId="0" applyNumberFormat="1" applyFont="1" applyBorder="1" applyAlignment="1">
      <alignment horizontal="right"/>
    </xf>
    <xf numFmtId="0" fontId="14" fillId="0" borderId="0" xfId="0" applyFont="1"/>
    <xf numFmtId="1" fontId="1" fillId="0" borderId="0" xfId="0" applyNumberFormat="1" applyFont="1"/>
    <xf numFmtId="0" fontId="15" fillId="0" borderId="0" xfId="0" applyFont="1" applyAlignment="1">
      <alignment horizontal="center"/>
    </xf>
    <xf numFmtId="3" fontId="1" fillId="0" borderId="0" xfId="0" applyNumberFormat="1" applyFont="1"/>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165" fontId="4"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0" fontId="4" fillId="0" borderId="5" xfId="0" applyFont="1" applyBorder="1" applyAlignment="1">
      <alignment horizontal="center" wrapText="1"/>
    </xf>
    <xf numFmtId="3" fontId="4" fillId="7" borderId="4" xfId="0" applyNumberFormat="1" applyFont="1" applyFill="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2" xfId="0" applyFont="1" applyBorder="1"/>
    <xf numFmtId="0" fontId="4" fillId="0" borderId="0" xfId="0" applyFont="1" applyAlignment="1">
      <alignment horizontal="center" wrapText="1"/>
    </xf>
    <xf numFmtId="0" fontId="21" fillId="0" borderId="0" xfId="0" applyFont="1"/>
    <xf numFmtId="0" fontId="4" fillId="7" borderId="8" xfId="0" applyFont="1" applyFill="1" applyBorder="1"/>
    <xf numFmtId="0" fontId="4" fillId="10" borderId="11" xfId="0" applyFont="1" applyFill="1" applyBorder="1"/>
    <xf numFmtId="0" fontId="4" fillId="10" borderId="10" xfId="0" applyFont="1" applyFill="1" applyBorder="1" applyAlignment="1">
      <alignment horizontal="center"/>
    </xf>
    <xf numFmtId="3" fontId="4" fillId="0" borderId="5" xfId="0" applyNumberFormat="1" applyFont="1" applyBorder="1" applyAlignment="1">
      <alignment horizontal="center"/>
    </xf>
    <xf numFmtId="3" fontId="21" fillId="0" borderId="5" xfId="0" applyNumberFormat="1" applyFont="1" applyBorder="1" applyAlignment="1">
      <alignment horizontal="center"/>
    </xf>
    <xf numFmtId="14" fontId="4" fillId="0" borderId="0" xfId="0" applyNumberFormat="1" applyFont="1"/>
    <xf numFmtId="0" fontId="4" fillId="10" borderId="0" xfId="0" applyFont="1" applyFill="1" applyAlignment="1">
      <alignment horizontal="center"/>
    </xf>
    <xf numFmtId="0" fontId="4" fillId="10" borderId="3" xfId="0" applyFont="1" applyFill="1" applyBorder="1" applyAlignment="1">
      <alignment horizontal="center"/>
    </xf>
    <xf numFmtId="0" fontId="4" fillId="10" borderId="5" xfId="0" applyFont="1" applyFill="1" applyBorder="1" applyAlignment="1">
      <alignment horizontal="center"/>
    </xf>
    <xf numFmtId="0" fontId="4" fillId="10" borderId="1" xfId="0" applyFont="1" applyFill="1" applyBorder="1" applyAlignment="1">
      <alignment horizontal="center"/>
    </xf>
    <xf numFmtId="0" fontId="4" fillId="0" borderId="8" xfId="0" applyFont="1" applyBorder="1"/>
    <xf numFmtId="0" fontId="4" fillId="0" borderId="5" xfId="0" applyFont="1" applyBorder="1" applyAlignment="1">
      <alignment horizontal="center"/>
    </xf>
    <xf numFmtId="0" fontId="4" fillId="0" borderId="0" xfId="0" applyFont="1"/>
    <xf numFmtId="0" fontId="4" fillId="10" borderId="7" xfId="0" applyFont="1" applyFill="1" applyBorder="1" applyAlignment="1">
      <alignment horizontal="center"/>
    </xf>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vertical="top" wrapText="1"/>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0" borderId="7" xfId="0" applyFont="1" applyBorder="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14" fontId="4" fillId="0" borderId="1" xfId="0" applyNumberFormat="1" applyFont="1" applyBorder="1"/>
    <xf numFmtId="0" fontId="15" fillId="3" borderId="8" xfId="0" applyFont="1" applyFill="1" applyBorder="1"/>
    <xf numFmtId="14" fontId="4" fillId="0" borderId="2" xfId="0" applyNumberFormat="1" applyFont="1" applyBorder="1"/>
    <xf numFmtId="0" fontId="4" fillId="0" borderId="8" xfId="0" applyFont="1" applyBorder="1" applyAlignment="1">
      <alignment horizontal="left"/>
    </xf>
    <xf numFmtId="3" fontId="4" fillId="7" borderId="8" xfId="0" applyNumberFormat="1"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wrapText="1"/>
    </xf>
    <xf numFmtId="0" fontId="4" fillId="0" borderId="1" xfId="0" applyFont="1" applyBorder="1" applyAlignment="1">
      <alignment horizontal="center" wrapText="1"/>
    </xf>
    <xf numFmtId="14" fontId="4" fillId="0" borderId="3" xfId="0" applyNumberFormat="1" applyFont="1" applyBorder="1"/>
    <xf numFmtId="169" fontId="4" fillId="0" borderId="4" xfId="0" applyNumberFormat="1" applyFont="1" applyBorder="1"/>
    <xf numFmtId="169" fontId="4" fillId="0" borderId="5" xfId="0" applyNumberFormat="1" applyFont="1" applyBorder="1"/>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165" fontId="4" fillId="0" borderId="6" xfId="0" applyNumberFormat="1" applyFont="1" applyBorder="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4" fillId="0" borderId="3" xfId="0" applyFont="1" applyBorder="1" applyAlignment="1">
      <alignment horizontal="center"/>
    </xf>
    <xf numFmtId="14" fontId="1" fillId="0" borderId="0" xfId="0" applyNumberFormat="1" applyFont="1"/>
    <xf numFmtId="168" fontId="4" fillId="11" borderId="0" xfId="0" applyNumberFormat="1" applyFont="1" applyFill="1"/>
    <xf numFmtId="0" fontId="22" fillId="0" borderId="2" xfId="0" applyFont="1" applyBorder="1"/>
    <xf numFmtId="0" fontId="15" fillId="3" borderId="0" xfId="0" applyFont="1" applyFill="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0" borderId="9" xfId="0" applyNumberFormat="1" applyFont="1" applyFill="1" applyBorder="1" applyAlignment="1">
      <alignment horizontal="right"/>
    </xf>
    <xf numFmtId="14" fontId="4" fillId="10"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0" borderId="2" xfId="0" applyFont="1" applyFill="1" applyBorder="1" applyAlignment="1">
      <alignment horizontal="center"/>
    </xf>
    <xf numFmtId="2" fontId="4" fillId="0" borderId="7" xfId="0" applyNumberFormat="1" applyFont="1" applyBorder="1" applyAlignment="1">
      <alignment horizontal="center"/>
    </xf>
    <xf numFmtId="0" fontId="4" fillId="10"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0" borderId="2" xfId="0" applyFont="1" applyFill="1" applyBorder="1" applyAlignment="1">
      <alignment horizontal="center" wrapText="1"/>
    </xf>
    <xf numFmtId="0" fontId="4" fillId="0" borderId="1" xfId="0" applyFont="1" applyBorder="1" applyAlignment="1">
      <alignment wrapText="1"/>
    </xf>
    <xf numFmtId="0" fontId="4" fillId="10" borderId="6" xfId="0" applyFont="1" applyFill="1" applyBorder="1" applyAlignment="1">
      <alignment horizontal="center" wrapText="1"/>
    </xf>
    <xf numFmtId="0" fontId="4" fillId="7" borderId="11" xfId="0" applyFont="1" applyFill="1" applyBorder="1"/>
    <xf numFmtId="0" fontId="4" fillId="10"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0" borderId="44" xfId="0" applyFont="1" applyFill="1" applyBorder="1" applyAlignment="1">
      <alignment horizontal="center" wrapText="1"/>
    </xf>
    <xf numFmtId="0" fontId="4" fillId="10" borderId="45" xfId="0" applyFont="1" applyFill="1" applyBorder="1" applyAlignment="1">
      <alignment horizontal="center" wrapText="1"/>
    </xf>
    <xf numFmtId="14" fontId="4" fillId="10" borderId="11" xfId="0" applyNumberFormat="1" applyFont="1" applyFill="1" applyBorder="1" applyAlignment="1">
      <alignment horizontal="right"/>
    </xf>
    <xf numFmtId="3" fontId="4" fillId="0" borderId="0" xfId="0" applyNumberFormat="1" applyFont="1"/>
    <xf numFmtId="0" fontId="15" fillId="10" borderId="47" xfId="0" applyFont="1" applyFill="1" applyBorder="1" applyAlignment="1">
      <alignment horizontal="center"/>
    </xf>
    <xf numFmtId="165" fontId="18" fillId="0" borderId="0" xfId="0" applyNumberFormat="1" applyFont="1"/>
    <xf numFmtId="0" fontId="1" fillId="7" borderId="4" xfId="0" applyFont="1" applyFill="1" applyBorder="1" applyAlignment="1">
      <alignment horizontal="center"/>
    </xf>
    <xf numFmtId="168" fontId="1" fillId="0" borderId="0" xfId="0" applyNumberFormat="1" applyFont="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0" borderId="8" xfId="0" applyFont="1" applyFill="1" applyBorder="1"/>
    <xf numFmtId="0" fontId="1" fillId="10"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0" borderId="11" xfId="0" applyFont="1" applyFill="1" applyBorder="1" applyAlignment="1">
      <alignment horizontal="center" wrapText="1"/>
    </xf>
    <xf numFmtId="0" fontId="1" fillId="3" borderId="45" xfId="0" applyFont="1" applyFill="1" applyBorder="1" applyAlignment="1">
      <alignment wrapText="1"/>
    </xf>
    <xf numFmtId="0" fontId="1" fillId="3" borderId="44"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0" borderId="9" xfId="0" applyFont="1" applyFill="1" applyBorder="1" applyAlignment="1">
      <alignment horizontal="center" wrapText="1"/>
    </xf>
    <xf numFmtId="0" fontId="1" fillId="10" borderId="1" xfId="0" applyFont="1" applyFill="1" applyBorder="1" applyAlignment="1">
      <alignment horizontal="center" wrapText="1"/>
    </xf>
    <xf numFmtId="0" fontId="1" fillId="10" borderId="5" xfId="0" applyFont="1" applyFill="1" applyBorder="1" applyAlignment="1">
      <alignment horizontal="center"/>
    </xf>
    <xf numFmtId="165" fontId="1" fillId="0" borderId="0" xfId="0" applyNumberFormat="1" applyFont="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1" fontId="4" fillId="0" borderId="5" xfId="0" applyNumberFormat="1" applyFont="1" applyBorder="1" applyAlignment="1">
      <alignment horizontal="center"/>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6" xfId="0" applyFont="1" applyBorder="1" applyAlignment="1">
      <alignment wrapText="1"/>
    </xf>
    <xf numFmtId="0" fontId="4" fillId="0" borderId="47" xfId="0" applyFont="1" applyBorder="1"/>
    <xf numFmtId="0" fontId="4" fillId="0" borderId="45"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7" borderId="6" xfId="0" applyNumberFormat="1" applyFont="1" applyFill="1" applyBorder="1" applyAlignment="1">
      <alignment horizontal="center" wrapText="1"/>
    </xf>
    <xf numFmtId="0" fontId="21" fillId="0" borderId="47" xfId="0" applyFont="1" applyBorder="1" applyAlignment="1">
      <alignment horizontal="left"/>
    </xf>
    <xf numFmtId="0" fontId="21" fillId="0" borderId="46" xfId="0" applyFont="1" applyBorder="1" applyAlignment="1">
      <alignment horizontal="left"/>
    </xf>
    <xf numFmtId="165" fontId="21" fillId="0" borderId="47" xfId="0" applyNumberFormat="1" applyFont="1" applyBorder="1" applyAlignment="1">
      <alignment horizontal="center"/>
    </xf>
    <xf numFmtId="165" fontId="21" fillId="0" borderId="45" xfId="0" applyNumberFormat="1" applyFont="1" applyBorder="1" applyAlignment="1">
      <alignment horizontal="center"/>
    </xf>
    <xf numFmtId="165" fontId="21" fillId="7" borderId="47" xfId="0" applyNumberFormat="1" applyFont="1" applyFill="1" applyBorder="1" applyAlignment="1">
      <alignment horizontal="center"/>
    </xf>
    <xf numFmtId="165" fontId="21" fillId="7" borderId="45"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 fontId="4" fillId="0" borderId="5" xfId="0" applyNumberFormat="1" applyFont="1" applyBorder="1" applyAlignment="1">
      <alignment horizontal="center" wrapText="1"/>
    </xf>
    <xf numFmtId="0" fontId="4" fillId="10" borderId="5" xfId="0" applyFont="1" applyFill="1" applyBorder="1"/>
    <xf numFmtId="165" fontId="21" fillId="0" borderId="0" xfId="0" applyNumberFormat="1" applyFont="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65" fontId="4" fillId="12"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2" borderId="0" xfId="0" applyNumberFormat="1" applyFont="1" applyFill="1" applyAlignment="1">
      <alignment horizontal="center" wrapText="1"/>
    </xf>
    <xf numFmtId="165" fontId="21" fillId="12" borderId="5" xfId="0" applyNumberFormat="1" applyFont="1" applyFill="1" applyBorder="1" applyAlignment="1">
      <alignment horizontal="center" wrapText="1"/>
    </xf>
    <xf numFmtId="165" fontId="4" fillId="12" borderId="0" xfId="0" applyNumberFormat="1" applyFont="1" applyFill="1" applyAlignment="1">
      <alignment horizontal="center" vertical="top" wrapText="1"/>
    </xf>
    <xf numFmtId="165" fontId="4" fillId="12"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2"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5" xfId="0" applyNumberFormat="1" applyFont="1" applyBorder="1" applyAlignment="1">
      <alignment horizontal="left" wrapText="1"/>
    </xf>
    <xf numFmtId="0" fontId="21" fillId="0" borderId="46" xfId="0" applyFont="1" applyBorder="1" applyAlignment="1">
      <alignmen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2" borderId="6" xfId="0" applyNumberFormat="1" applyFont="1" applyFill="1" applyBorder="1" applyAlignment="1">
      <alignment horizontal="center" wrapText="1"/>
    </xf>
    <xf numFmtId="165" fontId="4" fillId="12"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6" xfId="0" applyFont="1" applyBorder="1" applyAlignment="1">
      <alignment horizontal="center" wrapText="1"/>
    </xf>
    <xf numFmtId="0" fontId="15" fillId="0" borderId="46" xfId="0" applyFont="1" applyBorder="1" applyAlignment="1">
      <alignment wrapText="1"/>
    </xf>
    <xf numFmtId="3" fontId="15" fillId="0" borderId="47"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0" fontId="4" fillId="7" borderId="4" xfId="0" applyFont="1" applyFill="1" applyBorder="1"/>
    <xf numFmtId="17" fontId="15" fillId="3" borderId="48"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0" borderId="9" xfId="0" applyFont="1" applyFill="1" applyBorder="1" applyAlignment="1">
      <alignment horizontal="center"/>
    </xf>
    <xf numFmtId="3" fontId="4" fillId="7" borderId="7" xfId="0" applyNumberFormat="1"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165" fontId="4" fillId="7" borderId="1"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2"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6" xfId="0" applyNumberFormat="1" applyFont="1" applyFill="1" applyBorder="1" applyAlignment="1">
      <alignment horizontal="left" wrapText="1"/>
    </xf>
    <xf numFmtId="17" fontId="15" fillId="3" borderId="47"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0"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6" fillId="0" borderId="0" xfId="0" applyFont="1" applyAlignment="1">
      <alignment horizontal="center" vertical="center" wrapText="1"/>
    </xf>
    <xf numFmtId="165" fontId="4" fillId="0" borderId="4" xfId="0" applyNumberFormat="1" applyFont="1" applyBorder="1" applyAlignment="1">
      <alignment horizontal="center"/>
    </xf>
    <xf numFmtId="10" fontId="1" fillId="0" borderId="0" xfId="0" applyNumberFormat="1" applyFont="1"/>
    <xf numFmtId="0" fontId="22" fillId="0" borderId="1" xfId="0" applyFont="1" applyBorder="1" applyAlignment="1">
      <alignment wrapText="1"/>
    </xf>
    <xf numFmtId="0" fontId="22" fillId="0" borderId="1" xfId="0" applyFont="1" applyBorder="1" applyAlignment="1">
      <alignment vertical="center" wrapText="1"/>
    </xf>
    <xf numFmtId="1" fontId="4" fillId="11" borderId="0" xfId="0" applyNumberFormat="1" applyFont="1" applyFill="1" applyAlignment="1">
      <alignment horizontal="center"/>
    </xf>
    <xf numFmtId="168" fontId="4" fillId="11" borderId="0" xfId="0" applyNumberFormat="1" applyFont="1" applyFill="1" applyAlignment="1">
      <alignment horizontal="center"/>
    </xf>
    <xf numFmtId="3" fontId="4" fillId="2" borderId="6" xfId="0" applyNumberFormat="1" applyFont="1" applyFill="1" applyBorder="1" applyAlignment="1">
      <alignment horizontal="center"/>
    </xf>
    <xf numFmtId="1" fontId="4" fillId="11" borderId="0" xfId="0" applyNumberFormat="1" applyFont="1" applyFill="1"/>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27" fillId="0" borderId="1" xfId="0" applyFont="1" applyBorder="1" applyAlignment="1">
      <alignment horizontal="left" indent="2"/>
    </xf>
    <xf numFmtId="0" fontId="28"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7"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8" fontId="4" fillId="7" borderId="0" xfId="0" applyNumberFormat="1" applyFont="1" applyFill="1" applyAlignment="1">
      <alignment horizontal="center"/>
    </xf>
    <xf numFmtId="168" fontId="4" fillId="0" borderId="0" xfId="0" applyNumberFormat="1" applyFont="1" applyAlignment="1">
      <alignment horizontal="center"/>
    </xf>
    <xf numFmtId="169" fontId="4" fillId="0" borderId="0" xfId="0" applyNumberFormat="1" applyFont="1" applyAlignment="1">
      <alignment horizontal="center"/>
    </xf>
    <xf numFmtId="169" fontId="4" fillId="0" borderId="5" xfId="0" applyNumberFormat="1" applyFont="1" applyBorder="1" applyAlignment="1">
      <alignment horizontal="center"/>
    </xf>
    <xf numFmtId="169" fontId="4" fillId="0" borderId="6" xfId="0" applyNumberFormat="1" applyFont="1" applyBorder="1" applyAlignment="1">
      <alignment horizontal="center"/>
    </xf>
    <xf numFmtId="169" fontId="4" fillId="7" borderId="0" xfId="0" applyNumberFormat="1" applyFont="1" applyFill="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3" borderId="46" xfId="0" applyFont="1" applyFill="1" applyBorder="1"/>
    <xf numFmtId="168" fontId="21" fillId="7" borderId="0" xfId="0" applyNumberFormat="1" applyFont="1" applyFill="1" applyAlignment="1">
      <alignment horizontal="center"/>
    </xf>
    <xf numFmtId="168" fontId="21" fillId="7" borderId="5" xfId="0" applyNumberFormat="1" applyFont="1" applyFill="1" applyBorder="1" applyAlignment="1">
      <alignment horizontal="center"/>
    </xf>
    <xf numFmtId="0" fontId="15" fillId="3" borderId="46" xfId="0" applyFont="1" applyFill="1" applyBorder="1"/>
    <xf numFmtId="0" fontId="15" fillId="3" borderId="47" xfId="0" applyFont="1" applyFill="1" applyBorder="1"/>
    <xf numFmtId="0" fontId="15" fillId="3" borderId="45" xfId="0" applyFont="1" applyFill="1" applyBorder="1"/>
    <xf numFmtId="0" fontId="15" fillId="3" borderId="47" xfId="0" applyFont="1" applyFill="1" applyBorder="1" applyAlignment="1">
      <alignment horizontal="center"/>
    </xf>
    <xf numFmtId="0" fontId="15" fillId="3" borderId="45" xfId="0" applyFont="1" applyFill="1" applyBorder="1" applyAlignment="1">
      <alignment horizontal="center"/>
    </xf>
    <xf numFmtId="4" fontId="4" fillId="0" borderId="1" xfId="0" applyNumberFormat="1" applyFont="1" applyBorder="1" applyAlignment="1">
      <alignment horizontal="center"/>
    </xf>
    <xf numFmtId="0" fontId="4" fillId="13" borderId="46" xfId="0" applyFont="1" applyFill="1" applyBorder="1" applyAlignment="1">
      <alignment horizontal="center"/>
    </xf>
    <xf numFmtId="0" fontId="4" fillId="13" borderId="47" xfId="0" applyFont="1" applyFill="1" applyBorder="1" applyAlignment="1">
      <alignment horizontal="center"/>
    </xf>
    <xf numFmtId="0" fontId="4" fillId="13" borderId="45" xfId="0" applyFont="1" applyFill="1" applyBorder="1" applyAlignment="1">
      <alignment horizontal="center"/>
    </xf>
    <xf numFmtId="169" fontId="4" fillId="7" borderId="5" xfId="0" applyNumberFormat="1"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168" fontId="4" fillId="7" borderId="8" xfId="0" applyNumberFormat="1" applyFont="1" applyFill="1" applyBorder="1" applyAlignment="1">
      <alignment horizontal="center"/>
    </xf>
    <xf numFmtId="168" fontId="4" fillId="0" borderId="5" xfId="0" applyNumberFormat="1" applyFont="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21" fillId="0" borderId="5" xfId="0" applyNumberFormat="1" applyFont="1" applyBorder="1" applyAlignment="1">
      <alignment horizontal="center"/>
    </xf>
    <xf numFmtId="168" fontId="4" fillId="0" borderId="4"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6" xfId="0" applyNumberFormat="1" applyFont="1" applyBorder="1" applyAlignment="1">
      <alignment horizontal="center"/>
    </xf>
    <xf numFmtId="168" fontId="4" fillId="0" borderId="7" xfId="0" applyNumberFormat="1" applyFont="1" applyBorder="1" applyAlignment="1">
      <alignment horizontal="center"/>
    </xf>
    <xf numFmtId="168" fontId="4" fillId="0" borderId="3" xfId="0" applyNumberFormat="1" applyFont="1" applyBorder="1" applyAlignment="1">
      <alignment horizontal="center"/>
    </xf>
    <xf numFmtId="3" fontId="4" fillId="11" borderId="0" xfId="0" applyNumberFormat="1" applyFont="1" applyFill="1" applyAlignment="1">
      <alignment horizontal="right"/>
    </xf>
    <xf numFmtId="0" fontId="29" fillId="0" borderId="1" xfId="0" applyFont="1" applyBorder="1" applyAlignment="1">
      <alignment horizontal="left" wrapText="1"/>
    </xf>
    <xf numFmtId="168" fontId="1" fillId="0" borderId="0" xfId="0" applyNumberFormat="1" applyFont="1"/>
    <xf numFmtId="0" fontId="4" fillId="8" borderId="1" xfId="0" applyFont="1" applyFill="1" applyBorder="1" applyAlignment="1">
      <alignment horizontal="left" vertical="top" wrapText="1" indent="3"/>
    </xf>
    <xf numFmtId="0" fontId="4" fillId="8" borderId="0" xfId="0" applyFont="1" applyFill="1" applyAlignment="1">
      <alignment horizontal="center" vertical="top"/>
    </xf>
    <xf numFmtId="168" fontId="4" fillId="8" borderId="1" xfId="0" applyNumberFormat="1" applyFont="1" applyFill="1" applyBorder="1" applyAlignment="1">
      <alignment horizontal="center"/>
    </xf>
    <xf numFmtId="168" fontId="4" fillId="8" borderId="0" xfId="0" applyNumberFormat="1" applyFont="1" applyFill="1" applyAlignment="1">
      <alignment horizontal="center"/>
    </xf>
    <xf numFmtId="168" fontId="4" fillId="8" borderId="0" xfId="0" applyNumberFormat="1" applyFont="1" applyFill="1" applyAlignment="1">
      <alignment horizontal="center" wrapText="1"/>
    </xf>
    <xf numFmtId="168" fontId="4" fillId="8" borderId="5" xfId="0" applyNumberFormat="1" applyFont="1" applyFill="1" applyBorder="1" applyAlignment="1">
      <alignment horizontal="center" wrapText="1"/>
    </xf>
    <xf numFmtId="0" fontId="4" fillId="2" borderId="0" xfId="0" applyFont="1" applyFill="1" applyAlignment="1">
      <alignment horizontal="center" vertical="top"/>
    </xf>
    <xf numFmtId="0" fontId="15" fillId="0" borderId="1" xfId="0" applyFont="1" applyBorder="1"/>
    <xf numFmtId="169" fontId="4" fillId="0" borderId="7" xfId="0" applyNumberFormat="1" applyFont="1" applyBorder="1" applyAlignment="1">
      <alignment horizontal="center"/>
    </xf>
    <xf numFmtId="168" fontId="21" fillId="0" borderId="4" xfId="0" applyNumberFormat="1" applyFont="1" applyBorder="1" applyAlignment="1">
      <alignment horizontal="center"/>
    </xf>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168" fontId="4" fillId="14" borderId="0" xfId="0" applyNumberFormat="1" applyFont="1" applyFill="1" applyAlignment="1">
      <alignment horizontal="center" wrapText="1"/>
    </xf>
    <xf numFmtId="3" fontId="30" fillId="0" borderId="0" xfId="0" applyNumberFormat="1" applyFont="1"/>
    <xf numFmtId="0" fontId="4" fillId="0" borderId="5" xfId="0" applyFont="1" applyBorder="1"/>
    <xf numFmtId="173" fontId="4" fillId="0" borderId="0" xfId="0" applyNumberFormat="1" applyFont="1"/>
    <xf numFmtId="0" fontId="4" fillId="15" borderId="3" xfId="0" applyFont="1" applyFill="1" applyBorder="1"/>
    <xf numFmtId="0" fontId="4" fillId="15" borderId="8" xfId="0" applyFont="1" applyFill="1" applyBorder="1"/>
    <xf numFmtId="0" fontId="4" fillId="15"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168" fontId="4" fillId="14" borderId="5" xfId="0" applyNumberFormat="1" applyFont="1" applyFill="1" applyBorder="1" applyAlignment="1">
      <alignment horizontal="center" wrapText="1"/>
    </xf>
    <xf numFmtId="0" fontId="4" fillId="0" borderId="0" xfId="0" applyFont="1" applyAlignment="1">
      <alignment horizontal="left" indent="4"/>
    </xf>
    <xf numFmtId="0" fontId="21" fillId="0" borderId="5" xfId="0" applyFont="1" applyBorder="1" applyAlignment="1">
      <alignment horizontal="center"/>
    </xf>
    <xf numFmtId="0" fontId="1" fillId="0" borderId="10" xfId="0" applyFont="1" applyBorder="1" applyAlignment="1">
      <alignment horizontal="left"/>
    </xf>
    <xf numFmtId="0" fontId="1" fillId="10" borderId="2" xfId="0" applyFont="1" applyFill="1" applyBorder="1" applyAlignment="1">
      <alignment horizontal="center"/>
    </xf>
    <xf numFmtId="0" fontId="1" fillId="10" borderId="6" xfId="0" applyFont="1" applyFill="1" applyBorder="1" applyAlignment="1">
      <alignment horizontal="center"/>
    </xf>
    <xf numFmtId="0" fontId="1" fillId="0" borderId="1" xfId="0" applyFont="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4" fillId="0" borderId="4" xfId="0" applyFont="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0" borderId="0" xfId="0" applyNumberFormat="1" applyFont="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6"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168" fontId="21" fillId="0" borderId="6" xfId="0" applyNumberFormat="1" applyFont="1" applyBorder="1" applyAlignment="1">
      <alignment horizontal="center"/>
    </xf>
    <xf numFmtId="0" fontId="4" fillId="7" borderId="0" xfId="0" applyFont="1" applyFill="1"/>
    <xf numFmtId="168" fontId="21" fillId="0" borderId="7" xfId="0" applyNumberFormat="1" applyFont="1" applyBorder="1" applyAlignment="1">
      <alignment horizontal="center"/>
    </xf>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3" borderId="0" xfId="0" applyNumberFormat="1" applyFont="1" applyFill="1"/>
    <xf numFmtId="168" fontId="4" fillId="16" borderId="0" xfId="0" applyNumberFormat="1" applyFont="1" applyFill="1"/>
    <xf numFmtId="168" fontId="4" fillId="7" borderId="0" xfId="0" applyNumberFormat="1" applyFont="1" applyFill="1"/>
    <xf numFmtId="168" fontId="4" fillId="14" borderId="0" xfId="0" applyNumberFormat="1" applyFont="1" applyFill="1"/>
    <xf numFmtId="168" fontId="4" fillId="14"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7" xfId="0" applyFont="1" applyBorder="1"/>
    <xf numFmtId="0" fontId="15" fillId="0" borderId="45"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168" fontId="21" fillId="0" borderId="2" xfId="0" applyNumberFormat="1" applyFont="1" applyBorder="1" applyAlignment="1">
      <alignment horizontal="center"/>
    </xf>
    <xf numFmtId="0" fontId="4" fillId="9" borderId="2" xfId="0" applyFont="1" applyFill="1" applyBorder="1" applyAlignment="1">
      <alignment wrapText="1"/>
    </xf>
    <xf numFmtId="168" fontId="4" fillId="0" borderId="5" xfId="0" applyNumberFormat="1" applyFont="1" applyBorder="1"/>
    <xf numFmtId="168" fontId="4" fillId="3" borderId="5" xfId="0" applyNumberFormat="1" applyFont="1" applyFill="1" applyBorder="1"/>
    <xf numFmtId="168" fontId="4" fillId="0" borderId="7" xfId="0" applyNumberFormat="1" applyFont="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0" fontId="15" fillId="0" borderId="46" xfId="0" applyFont="1" applyBorder="1" applyAlignment="1">
      <alignment horizontal="center"/>
    </xf>
    <xf numFmtId="0" fontId="15" fillId="0" borderId="47" xfId="0" applyFont="1" applyBorder="1" applyAlignment="1">
      <alignment horizontal="center"/>
    </xf>
    <xf numFmtId="0" fontId="15" fillId="0" borderId="45" xfId="0" applyFont="1" applyBorder="1" applyAlignment="1">
      <alignment horizontal="center"/>
    </xf>
    <xf numFmtId="168" fontId="21" fillId="0" borderId="0" xfId="0" applyNumberFormat="1" applyFont="1" applyAlignment="1">
      <alignment horizontal="center" vertical="top" wrapText="1"/>
    </xf>
    <xf numFmtId="168" fontId="4" fillId="0" borderId="0" xfId="0" applyNumberFormat="1" applyFont="1" applyAlignment="1">
      <alignment horizontal="right" vertical="top" wrapText="1"/>
    </xf>
    <xf numFmtId="1" fontId="21"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 fontId="4" fillId="0" borderId="7" xfId="0" applyNumberFormat="1" applyFont="1" applyBorder="1" applyAlignment="1">
      <alignment horizontal="center"/>
    </xf>
    <xf numFmtId="174" fontId="27"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2" borderId="46" xfId="0" applyFont="1" applyFill="1" applyBorder="1" applyAlignment="1">
      <alignment horizontal="center"/>
    </xf>
    <xf numFmtId="168" fontId="21" fillId="0" borderId="0" xfId="0" applyNumberFormat="1" applyFont="1" applyAlignment="1">
      <alignment vertical="top" wrapText="1"/>
    </xf>
    <xf numFmtId="0" fontId="4" fillId="0" borderId="3" xfId="0" applyFont="1" applyBorder="1" applyAlignment="1">
      <alignment horizontal="left" indent="1"/>
    </xf>
    <xf numFmtId="0" fontId="31" fillId="0" borderId="1" xfId="0" applyFont="1" applyBorder="1" applyAlignment="1">
      <alignment horizontal="left" wrapText="1"/>
    </xf>
    <xf numFmtId="1" fontId="4"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5" xfId="0" applyNumberFormat="1" applyFont="1" applyBorder="1" applyAlignment="1">
      <alignment horizontal="center" vertical="top" wrapText="1"/>
    </xf>
    <xf numFmtId="168" fontId="4" fillId="0" borderId="8"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9" fontId="4" fillId="0" borderId="5" xfId="0" applyNumberFormat="1" applyFont="1" applyBorder="1" applyAlignment="1">
      <alignment horizontal="right" vertical="top" wrapText="1"/>
    </xf>
    <xf numFmtId="168" fontId="21" fillId="0" borderId="5" xfId="0" applyNumberFormat="1" applyFont="1" applyBorder="1" applyAlignment="1">
      <alignment horizontal="center" vertical="top" wrapText="1"/>
    </xf>
    <xf numFmtId="1" fontId="4" fillId="0" borderId="6" xfId="0" applyNumberFormat="1" applyFont="1" applyBorder="1" applyAlignment="1">
      <alignment horizontal="center"/>
    </xf>
    <xf numFmtId="0" fontId="4" fillId="10" borderId="14" xfId="0" applyFont="1" applyFill="1" applyBorder="1" applyAlignment="1">
      <alignment horizontal="center"/>
    </xf>
    <xf numFmtId="168" fontId="4" fillId="14" borderId="6" xfId="0" applyNumberFormat="1" applyFont="1" applyFill="1" applyBorder="1" applyAlignment="1">
      <alignment horizontal="center" vertical="top" wrapText="1"/>
    </xf>
    <xf numFmtId="43" fontId="27"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2" fillId="0" borderId="0" xfId="0" applyFont="1"/>
    <xf numFmtId="0" fontId="27" fillId="0" borderId="0" xfId="0" applyFont="1"/>
    <xf numFmtId="0" fontId="31" fillId="0" borderId="1" xfId="0" applyFont="1" applyBorder="1" applyAlignment="1">
      <alignment horizontal="left"/>
    </xf>
    <xf numFmtId="0" fontId="31" fillId="0" borderId="0" xfId="0" applyFont="1"/>
    <xf numFmtId="174" fontId="27" fillId="0" borderId="0" xfId="0" applyNumberFormat="1" applyFont="1"/>
    <xf numFmtId="167" fontId="4" fillId="12" borderId="2" xfId="0" applyNumberFormat="1" applyFont="1" applyFill="1" applyBorder="1" applyAlignment="1">
      <alignment horizontal="center"/>
    </xf>
    <xf numFmtId="167" fontId="4" fillId="12" borderId="6" xfId="0" applyNumberFormat="1" applyFont="1" applyFill="1" applyBorder="1" applyAlignment="1">
      <alignment horizontal="center"/>
    </xf>
    <xf numFmtId="167" fontId="4" fillId="12" borderId="7" xfId="0" applyNumberFormat="1" applyFont="1" applyFill="1" applyBorder="1" applyAlignment="1">
      <alignment horizontal="center"/>
    </xf>
    <xf numFmtId="0" fontId="33" fillId="0" borderId="1" xfId="0" applyFont="1" applyBorder="1" applyAlignment="1">
      <alignment horizontal="left"/>
    </xf>
    <xf numFmtId="174" fontId="27" fillId="0" borderId="5" xfId="0" applyNumberFormat="1" applyFont="1" applyBorder="1" applyAlignment="1">
      <alignment horizontal="center"/>
    </xf>
    <xf numFmtId="0" fontId="27" fillId="0" borderId="0" xfId="0" applyFont="1" applyAlignment="1">
      <alignment horizontal="center"/>
    </xf>
    <xf numFmtId="168" fontId="4" fillId="12"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2" borderId="0" xfId="0" applyNumberFormat="1" applyFont="1" applyFill="1" applyAlignment="1">
      <alignment horizontal="center" vertical="top" wrapText="1"/>
    </xf>
    <xf numFmtId="168" fontId="21" fillId="12" borderId="0" xfId="0" applyNumberFormat="1" applyFont="1" applyFill="1" applyAlignment="1">
      <alignment horizontal="center" vertical="top" wrapText="1"/>
    </xf>
    <xf numFmtId="1" fontId="21" fillId="12"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44"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7" fillId="0" borderId="9" xfId="0" applyFont="1" applyBorder="1" applyAlignment="1">
      <alignment horizontal="left" indent="1"/>
    </xf>
    <xf numFmtId="0" fontId="27" fillId="0" borderId="10" xfId="0" applyFont="1" applyBorder="1" applyAlignment="1">
      <alignment horizontal="left" indent="1"/>
    </xf>
    <xf numFmtId="167" fontId="4" fillId="12" borderId="1" xfId="0" applyNumberFormat="1" applyFont="1" applyFill="1" applyBorder="1" applyAlignment="1">
      <alignment horizontal="center"/>
    </xf>
    <xf numFmtId="167" fontId="4" fillId="12" borderId="0" xfId="0" applyNumberFormat="1" applyFont="1" applyFill="1" applyAlignment="1">
      <alignment horizontal="center"/>
    </xf>
    <xf numFmtId="0" fontId="4" fillId="0" borderId="52"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1" fillId="0" borderId="0" xfId="0" applyNumberFormat="1" applyFont="1" applyAlignment="1">
      <alignment horizontal="center"/>
    </xf>
    <xf numFmtId="1" fontId="27"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5" fillId="0" borderId="0" xfId="0" applyNumberFormat="1" applyFont="1" applyAlignment="1">
      <alignment horizontal="center"/>
    </xf>
    <xf numFmtId="174" fontId="31" fillId="0" borderId="8" xfId="0" applyNumberFormat="1" applyFont="1" applyBorder="1" applyAlignment="1">
      <alignment horizontal="center"/>
    </xf>
    <xf numFmtId="174" fontId="31" fillId="12"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2"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7" borderId="45" xfId="0" applyNumberFormat="1" applyFont="1" applyFill="1" applyBorder="1" applyAlignment="1">
      <alignment horizontal="center"/>
    </xf>
    <xf numFmtId="167" fontId="4" fillId="12"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7" fillId="0" borderId="0" xfId="0" applyNumberFormat="1" applyFont="1" applyAlignment="1">
      <alignment horizontal="center"/>
    </xf>
    <xf numFmtId="0" fontId="15" fillId="12" borderId="47" xfId="0" applyFont="1" applyFill="1" applyBorder="1" applyAlignment="1">
      <alignment horizontal="center"/>
    </xf>
    <xf numFmtId="0" fontId="15" fillId="12" borderId="45" xfId="0" applyFont="1" applyFill="1" applyBorder="1" applyAlignment="1">
      <alignment horizontal="center"/>
    </xf>
    <xf numFmtId="0" fontId="4" fillId="12" borderId="7" xfId="0" applyFont="1" applyFill="1" applyBorder="1"/>
    <xf numFmtId="2" fontId="4" fillId="12" borderId="0" xfId="0" applyNumberFormat="1" applyFont="1" applyFill="1" applyAlignment="1">
      <alignment horizontal="center"/>
    </xf>
    <xf numFmtId="2" fontId="4" fillId="12" borderId="3" xfId="0" applyNumberFormat="1" applyFont="1" applyFill="1" applyBorder="1" applyAlignment="1">
      <alignment horizontal="center"/>
    </xf>
    <xf numFmtId="2" fontId="4" fillId="12" borderId="8" xfId="0" applyNumberFormat="1" applyFont="1" applyFill="1" applyBorder="1" applyAlignment="1">
      <alignment horizontal="center"/>
    </xf>
    <xf numFmtId="2" fontId="4" fillId="12" borderId="1" xfId="0" applyNumberFormat="1" applyFont="1" applyFill="1" applyBorder="1" applyAlignment="1">
      <alignment horizontal="center"/>
    </xf>
    <xf numFmtId="2" fontId="4" fillId="12" borderId="2" xfId="0" applyNumberFormat="1" applyFont="1" applyFill="1" applyBorder="1" applyAlignment="1">
      <alignment horizontal="center"/>
    </xf>
    <xf numFmtId="2" fontId="4" fillId="12" borderId="6" xfId="0" applyNumberFormat="1" applyFont="1" applyFill="1" applyBorder="1" applyAlignment="1">
      <alignment horizontal="center"/>
    </xf>
    <xf numFmtId="0" fontId="15" fillId="12" borderId="3" xfId="0" applyFont="1" applyFill="1" applyBorder="1" applyAlignment="1">
      <alignment horizontal="center"/>
    </xf>
    <xf numFmtId="0" fontId="15" fillId="12" borderId="8" xfId="0" applyFont="1" applyFill="1" applyBorder="1" applyAlignment="1">
      <alignment horizontal="center"/>
    </xf>
    <xf numFmtId="0" fontId="15" fillId="12" borderId="4" xfId="0" applyFont="1" applyFill="1" applyBorder="1" applyAlignment="1">
      <alignment horizontal="center"/>
    </xf>
    <xf numFmtId="1" fontId="27" fillId="0" borderId="3" xfId="0" applyNumberFormat="1" applyFont="1" applyBorder="1" applyAlignment="1">
      <alignment horizontal="center"/>
    </xf>
    <xf numFmtId="1" fontId="27" fillId="0" borderId="8" xfId="0" applyNumberFormat="1" applyFont="1" applyBorder="1" applyAlignment="1">
      <alignment horizontal="center"/>
    </xf>
    <xf numFmtId="1" fontId="27" fillId="0" borderId="1" xfId="0" applyNumberFormat="1" applyFont="1" applyBorder="1" applyAlignment="1">
      <alignment horizontal="center"/>
    </xf>
    <xf numFmtId="1" fontId="27" fillId="0" borderId="2" xfId="0" applyNumberFormat="1" applyFont="1" applyBorder="1" applyAlignment="1">
      <alignment horizontal="center"/>
    </xf>
    <xf numFmtId="1" fontId="27" fillId="0" borderId="6" xfId="0" applyNumberFormat="1" applyFont="1" applyBorder="1" applyAlignment="1">
      <alignment horizontal="center"/>
    </xf>
    <xf numFmtId="1" fontId="27" fillId="0" borderId="4" xfId="0" applyNumberFormat="1" applyFont="1" applyBorder="1" applyAlignment="1">
      <alignment horizontal="center"/>
    </xf>
    <xf numFmtId="1" fontId="27" fillId="0" borderId="7" xfId="0" applyNumberFormat="1" applyFont="1" applyBorder="1" applyAlignment="1">
      <alignment horizontal="center"/>
    </xf>
    <xf numFmtId="0" fontId="27" fillId="0" borderId="1" xfId="0" applyFont="1" applyBorder="1"/>
    <xf numFmtId="0" fontId="27" fillId="0" borderId="2" xfId="0" applyFont="1" applyBorder="1"/>
    <xf numFmtId="174" fontId="31" fillId="12" borderId="3" xfId="0" applyNumberFormat="1" applyFont="1" applyFill="1" applyBorder="1" applyAlignment="1">
      <alignment horizontal="center"/>
    </xf>
    <xf numFmtId="174" fontId="31" fillId="12" borderId="4" xfId="0" applyNumberFormat="1" applyFont="1" applyFill="1" applyBorder="1" applyAlignment="1">
      <alignment horizontal="center"/>
    </xf>
    <xf numFmtId="167" fontId="4" fillId="12" borderId="3" xfId="0" applyNumberFormat="1" applyFont="1" applyFill="1" applyBorder="1" applyAlignment="1">
      <alignment horizontal="center"/>
    </xf>
    <xf numFmtId="167" fontId="4" fillId="12" borderId="4" xfId="0" applyNumberFormat="1" applyFont="1" applyFill="1" applyBorder="1" applyAlignment="1">
      <alignment horizontal="center"/>
    </xf>
    <xf numFmtId="174" fontId="31" fillId="0" borderId="47" xfId="0" applyNumberFormat="1" applyFont="1" applyBorder="1" applyAlignment="1">
      <alignment horizontal="center"/>
    </xf>
    <xf numFmtId="174" fontId="31" fillId="12" borderId="46" xfId="0" applyNumberFormat="1" applyFont="1" applyFill="1" applyBorder="1" applyAlignment="1">
      <alignment horizontal="center"/>
    </xf>
    <xf numFmtId="174" fontId="31" fillId="12" borderId="47" xfId="0" applyNumberFormat="1" applyFont="1" applyFill="1" applyBorder="1" applyAlignment="1">
      <alignment horizontal="center"/>
    </xf>
    <xf numFmtId="174" fontId="31" fillId="12" borderId="45"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7"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7" fillId="0" borderId="1" xfId="0" applyFont="1" applyBorder="1" applyAlignment="1">
      <alignment horizontal="left" indent="1"/>
    </xf>
    <xf numFmtId="0" fontId="27"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2"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2" borderId="5" xfId="0" applyNumberFormat="1" applyFont="1" applyFill="1" applyBorder="1" applyAlignment="1">
      <alignment horizontal="right" vertical="top" wrapText="1"/>
    </xf>
    <xf numFmtId="1" fontId="21" fillId="12"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0" fontId="31" fillId="0" borderId="44" xfId="0" applyFont="1" applyBorder="1" applyAlignment="1">
      <alignment wrapText="1"/>
    </xf>
    <xf numFmtId="174" fontId="31" fillId="7" borderId="46" xfId="0" applyNumberFormat="1" applyFont="1" applyFill="1" applyBorder="1" applyAlignment="1">
      <alignment horizontal="center"/>
    </xf>
    <xf numFmtId="174" fontId="31" fillId="7" borderId="47" xfId="0" applyNumberFormat="1" applyFont="1" applyFill="1" applyBorder="1" applyAlignment="1">
      <alignment horizontal="center"/>
    </xf>
    <xf numFmtId="1" fontId="27" fillId="0" borderId="5" xfId="0" applyNumberFormat="1" applyFont="1" applyBorder="1" applyAlignment="1">
      <alignment horizontal="center"/>
    </xf>
    <xf numFmtId="0" fontId="4" fillId="12" borderId="5" xfId="0" applyFont="1" applyFill="1" applyBorder="1"/>
    <xf numFmtId="0" fontId="15" fillId="0" borderId="44" xfId="0" applyFont="1" applyBorder="1" applyAlignment="1">
      <alignment horizontal="left" indent="1"/>
    </xf>
    <xf numFmtId="167" fontId="4" fillId="0" borderId="5" xfId="0" applyNumberFormat="1" applyFont="1" applyBorder="1" applyAlignment="1">
      <alignment horizontal="center"/>
    </xf>
    <xf numFmtId="167" fontId="4" fillId="12"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 fontId="4" fillId="11" borderId="0" xfId="0" applyNumberFormat="1" applyFont="1" applyFill="1" applyAlignment="1">
      <alignment horizontal="center" vertical="center"/>
    </xf>
    <xf numFmtId="165" fontId="17" fillId="0" borderId="53" xfId="0" applyNumberFormat="1" applyFont="1" applyBorder="1" applyAlignment="1">
      <alignment horizontal="right"/>
    </xf>
    <xf numFmtId="165" fontId="17" fillId="0" borderId="0" xfId="0" applyNumberFormat="1" applyFont="1" applyAlignment="1">
      <alignment horizontal="right"/>
    </xf>
    <xf numFmtId="165" fontId="17" fillId="0" borderId="54" xfId="0" applyNumberFormat="1" applyFont="1" applyBorder="1" applyAlignment="1">
      <alignment horizontal="right"/>
    </xf>
    <xf numFmtId="168" fontId="1" fillId="0" borderId="55" xfId="0" applyNumberFormat="1" applyFont="1" applyBorder="1" applyAlignment="1">
      <alignment horizontal="center"/>
    </xf>
    <xf numFmtId="169" fontId="4" fillId="0" borderId="2" xfId="0" applyNumberFormat="1" applyFont="1" applyBorder="1" applyAlignment="1">
      <alignment horizontal="center"/>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5" fillId="0" borderId="0" xfId="0" applyFont="1" applyAlignment="1">
      <alignment horizontal="left" vertical="top"/>
    </xf>
    <xf numFmtId="0" fontId="15" fillId="0" borderId="0" xfId="0" applyFont="1" applyAlignment="1">
      <alignment horizontal="left"/>
    </xf>
    <xf numFmtId="0" fontId="36"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18" borderId="0" xfId="0" applyFont="1" applyFill="1" applyAlignment="1">
      <alignment wrapText="1"/>
    </xf>
    <xf numFmtId="0" fontId="6" fillId="20" borderId="0" xfId="0" applyFont="1" applyFill="1" applyAlignment="1">
      <alignment horizontal="center" wrapText="1"/>
    </xf>
    <xf numFmtId="1" fontId="6" fillId="0" borderId="0" xfId="0" applyNumberFormat="1" applyFont="1"/>
    <xf numFmtId="0" fontId="37" fillId="0" borderId="0" xfId="0" applyFont="1" applyAlignment="1">
      <alignment horizontal="right" vertical="top"/>
    </xf>
    <xf numFmtId="3" fontId="38" fillId="0" borderId="0" xfId="0" applyNumberFormat="1" applyFont="1"/>
    <xf numFmtId="3" fontId="39" fillId="0" borderId="0" xfId="0" applyNumberFormat="1" applyFont="1" applyAlignment="1">
      <alignment horizontal="right" vertical="top"/>
    </xf>
    <xf numFmtId="0" fontId="40" fillId="22" borderId="0" xfId="0" applyFont="1" applyFill="1" applyAlignment="1">
      <alignment horizontal="right"/>
    </xf>
    <xf numFmtId="0" fontId="41" fillId="0" borderId="0" xfId="0" applyFont="1"/>
    <xf numFmtId="0" fontId="42" fillId="0" borderId="0" xfId="0" applyFont="1" applyAlignment="1">
      <alignment horizontal="right"/>
    </xf>
    <xf numFmtId="165" fontId="43" fillId="0" borderId="0" xfId="0" applyNumberFormat="1" applyFont="1" applyAlignment="1">
      <alignment horizontal="right" vertical="top"/>
    </xf>
    <xf numFmtId="165" fontId="40" fillId="22" borderId="0" xfId="0" applyNumberFormat="1" applyFont="1" applyFill="1" applyAlignment="1">
      <alignment horizontal="right"/>
    </xf>
    <xf numFmtId="3" fontId="6" fillId="0" borderId="0" xfId="0" applyNumberFormat="1" applyFont="1"/>
    <xf numFmtId="0" fontId="6" fillId="0" borderId="0" xfId="0" applyFont="1"/>
    <xf numFmtId="165" fontId="42" fillId="0" borderId="0" xfId="0" applyNumberFormat="1" applyFont="1" applyAlignment="1">
      <alignment horizontal="right"/>
    </xf>
    <xf numFmtId="3" fontId="42" fillId="0" borderId="0" xfId="0" applyNumberFormat="1" applyFont="1" applyAlignment="1">
      <alignment horizontal="right"/>
    </xf>
    <xf numFmtId="0" fontId="6" fillId="23" borderId="0" xfId="0" applyFont="1" applyFill="1" applyAlignment="1">
      <alignment wrapText="1"/>
    </xf>
    <xf numFmtId="0" fontId="5" fillId="23" borderId="0" xfId="0" applyFont="1" applyFill="1" applyAlignment="1">
      <alignment vertical="top"/>
    </xf>
    <xf numFmtId="0" fontId="6" fillId="23" borderId="0" xfId="0" applyFont="1" applyFill="1" applyAlignment="1">
      <alignment horizontal="right"/>
    </xf>
    <xf numFmtId="0" fontId="6" fillId="23" borderId="0" xfId="0" applyFont="1" applyFill="1"/>
    <xf numFmtId="168" fontId="6" fillId="23" borderId="0" xfId="0" applyNumberFormat="1" applyFont="1" applyFill="1" applyAlignment="1">
      <alignment horizontal="center"/>
    </xf>
    <xf numFmtId="0" fontId="1" fillId="23" borderId="0" xfId="0" applyFont="1" applyFill="1" applyAlignment="1">
      <alignment wrapText="1"/>
    </xf>
    <xf numFmtId="170" fontId="6" fillId="0" borderId="0" xfId="0" applyNumberFormat="1" applyFont="1" applyAlignment="1">
      <alignment horizontal="right"/>
    </xf>
    <xf numFmtId="0" fontId="44" fillId="23" borderId="0" xfId="0" applyFont="1" applyFill="1" applyAlignment="1">
      <alignment horizontal="center" wrapText="1"/>
    </xf>
    <xf numFmtId="0" fontId="6" fillId="23" borderId="0" xfId="0" applyFont="1" applyFill="1" applyAlignment="1">
      <alignment horizontal="center"/>
    </xf>
    <xf numFmtId="1" fontId="6" fillId="0" borderId="0" xfId="0" applyNumberFormat="1" applyFont="1" applyAlignment="1">
      <alignment horizontal="right"/>
    </xf>
    <xf numFmtId="0" fontId="38" fillId="0" borderId="0" xfId="0" applyFont="1" applyAlignment="1">
      <alignment wrapText="1"/>
    </xf>
    <xf numFmtId="0" fontId="5" fillId="0" borderId="0" xfId="0" applyFont="1" applyAlignment="1">
      <alignment vertical="top"/>
    </xf>
    <xf numFmtId="0" fontId="6" fillId="24" borderId="0" xfId="0" applyFont="1" applyFill="1" applyAlignment="1">
      <alignment horizontal="center" wrapText="1"/>
    </xf>
    <xf numFmtId="0" fontId="5" fillId="25" borderId="0" xfId="0" applyFont="1" applyFill="1" applyAlignment="1">
      <alignment vertical="top"/>
    </xf>
    <xf numFmtId="0" fontId="38" fillId="25" borderId="0" xfId="0" applyFont="1" applyFill="1"/>
    <xf numFmtId="0" fontId="6" fillId="25" borderId="0" xfId="0" applyFont="1" applyFill="1"/>
    <xf numFmtId="0" fontId="45" fillId="25" borderId="0" xfId="0" applyFont="1" applyFill="1"/>
    <xf numFmtId="0" fontId="6" fillId="25" borderId="0" xfId="0" applyFont="1" applyFill="1" applyAlignment="1">
      <alignment horizontal="right"/>
    </xf>
    <xf numFmtId="0" fontId="1" fillId="25"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5" borderId="0" xfId="0" applyFont="1" applyFill="1" applyAlignment="1">
      <alignment vertical="top" wrapText="1"/>
    </xf>
    <xf numFmtId="0" fontId="5" fillId="23" borderId="0" xfId="0" applyFont="1" applyFill="1" applyAlignment="1">
      <alignment wrapText="1"/>
    </xf>
    <xf numFmtId="0" fontId="45" fillId="0" borderId="0" xfId="0" applyFont="1"/>
    <xf numFmtId="1" fontId="5" fillId="0" borderId="0" xfId="0" applyNumberFormat="1" applyFont="1" applyAlignment="1">
      <alignment vertical="top"/>
    </xf>
    <xf numFmtId="0" fontId="6" fillId="0" borderId="0" xfId="0" applyFont="1" applyAlignment="1">
      <alignment horizontal="right"/>
    </xf>
    <xf numFmtId="0" fontId="38" fillId="0" borderId="0" xfId="0" applyFont="1" applyAlignment="1">
      <alignment horizontal="right"/>
    </xf>
    <xf numFmtId="0" fontId="38"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8" fillId="9" borderId="0" xfId="0" applyFont="1" applyFill="1" applyAlignment="1">
      <alignment horizontal="right"/>
    </xf>
    <xf numFmtId="0" fontId="6" fillId="9" borderId="0" xfId="0" applyFont="1" applyFill="1" applyAlignment="1">
      <alignment horizontal="right"/>
    </xf>
    <xf numFmtId="0" fontId="40" fillId="0" borderId="0" xfId="0" applyFont="1"/>
    <xf numFmtId="170" fontId="37" fillId="0" borderId="0" xfId="0" applyNumberFormat="1" applyFont="1" applyAlignment="1">
      <alignment horizontal="right" vertical="top"/>
    </xf>
    <xf numFmtId="0" fontId="38" fillId="0" borderId="0" xfId="0" applyFont="1" applyAlignment="1">
      <alignment horizontal="center"/>
    </xf>
    <xf numFmtId="0" fontId="38" fillId="26" borderId="0" xfId="0" applyFont="1" applyFill="1" applyAlignment="1">
      <alignment wrapText="1"/>
    </xf>
    <xf numFmtId="0" fontId="1" fillId="26"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4"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4" fillId="0" borderId="0" xfId="0" applyFont="1" applyAlignment="1">
      <alignment horizontal="center" wrapText="1"/>
    </xf>
    <xf numFmtId="0" fontId="12" fillId="12" borderId="0" xfId="0" applyFont="1" applyFill="1"/>
    <xf numFmtId="0" fontId="12" fillId="0" borderId="0" xfId="0" applyFont="1"/>
    <xf numFmtId="0" fontId="27" fillId="27" borderId="1" xfId="0" applyFont="1" applyFill="1" applyBorder="1" applyAlignment="1">
      <alignment horizontal="left" indent="2"/>
    </xf>
    <xf numFmtId="0" fontId="1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26"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8" fillId="0" borderId="37" xfId="0" applyFont="1" applyBorder="1" applyAlignment="1">
      <alignment horizontal="center"/>
    </xf>
    <xf numFmtId="0" fontId="18" fillId="0" borderId="38" xfId="0" applyFont="1" applyBorder="1" applyAlignment="1">
      <alignment horizontal="center"/>
    </xf>
    <xf numFmtId="0" fontId="18" fillId="0" borderId="39" xfId="0" applyFont="1" applyBorder="1" applyAlignment="1">
      <alignment horizontal="center"/>
    </xf>
    <xf numFmtId="0" fontId="18" fillId="0" borderId="40" xfId="0" applyFont="1" applyBorder="1" applyAlignment="1">
      <alignment horizontal="center"/>
    </xf>
    <xf numFmtId="0" fontId="20" fillId="0" borderId="0" xfId="0" applyFont="1" applyAlignment="1">
      <alignment horizontal="center"/>
    </xf>
    <xf numFmtId="0" fontId="15" fillId="3" borderId="0" xfId="0" applyFont="1" applyFill="1" applyAlignment="1">
      <alignment horizontal="center"/>
    </xf>
    <xf numFmtId="0" fontId="15" fillId="0" borderId="0" xfId="0" applyFont="1" applyAlignment="1">
      <alignment horizontal="left" vertical="top" wrapText="1"/>
    </xf>
    <xf numFmtId="0" fontId="4" fillId="10" borderId="3" xfId="0" applyFont="1" applyFill="1" applyBorder="1" applyAlignment="1">
      <alignment horizontal="center"/>
    </xf>
    <xf numFmtId="0" fontId="4" fillId="10" borderId="8" xfId="0" applyFont="1" applyFill="1" applyBorder="1" applyAlignment="1">
      <alignment horizontal="center"/>
    </xf>
    <xf numFmtId="0" fontId="4" fillId="10" borderId="4" xfId="0" applyFont="1" applyFill="1" applyBorder="1" applyAlignment="1">
      <alignment horizontal="center"/>
    </xf>
    <xf numFmtId="0" fontId="15" fillId="10" borderId="3" xfId="0" applyFont="1" applyFill="1" applyBorder="1" applyAlignment="1">
      <alignment horizontal="center"/>
    </xf>
    <xf numFmtId="0" fontId="15" fillId="10" borderId="4" xfId="0" applyFont="1" applyFill="1" applyBorder="1" applyAlignment="1">
      <alignment horizontal="center"/>
    </xf>
    <xf numFmtId="0" fontId="15" fillId="10" borderId="1" xfId="0" applyFont="1" applyFill="1" applyBorder="1" applyAlignment="1">
      <alignment horizontal="center"/>
    </xf>
    <xf numFmtId="0" fontId="15" fillId="10"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15" fillId="7" borderId="12" xfId="0" applyFont="1" applyFill="1" applyBorder="1" applyAlignment="1">
      <alignment horizontal="center"/>
    </xf>
    <xf numFmtId="0" fontId="15" fillId="7" borderId="13" xfId="0" applyFont="1" applyFill="1" applyBorder="1" applyAlignment="1">
      <alignment horizontal="center"/>
    </xf>
    <xf numFmtId="0" fontId="15" fillId="7" borderId="14" xfId="0" applyFont="1" applyFill="1" applyBorder="1" applyAlignment="1">
      <alignment horizontal="center"/>
    </xf>
    <xf numFmtId="0" fontId="15" fillId="10" borderId="12" xfId="0" applyFont="1" applyFill="1" applyBorder="1" applyAlignment="1">
      <alignment horizontal="center"/>
    </xf>
    <xf numFmtId="0" fontId="15" fillId="10" borderId="13" xfId="0" applyFont="1" applyFill="1" applyBorder="1" applyAlignment="1">
      <alignment horizontal="center"/>
    </xf>
    <xf numFmtId="0" fontId="15" fillId="10" borderId="14" xfId="0" applyFont="1" applyFill="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5" fillId="10" borderId="1" xfId="0" applyFont="1" applyFill="1" applyBorder="1" applyAlignment="1">
      <alignment horizontal="center" wrapText="1"/>
    </xf>
    <xf numFmtId="0" fontId="15" fillId="10" borderId="0" xfId="0" applyFont="1" applyFill="1" applyAlignment="1">
      <alignment horizontal="center" wrapText="1"/>
    </xf>
    <xf numFmtId="0" fontId="15" fillId="10" borderId="2" xfId="0" applyFont="1" applyFill="1" applyBorder="1" applyAlignment="1">
      <alignment horizontal="center" wrapText="1"/>
    </xf>
    <xf numFmtId="0" fontId="15" fillId="10" borderId="6" xfId="0" applyFont="1" applyFill="1" applyBorder="1" applyAlignment="1">
      <alignment horizontal="center" wrapText="1"/>
    </xf>
    <xf numFmtId="0" fontId="15" fillId="10" borderId="46" xfId="0" applyFont="1" applyFill="1" applyBorder="1" applyAlignment="1">
      <alignment horizontal="center"/>
    </xf>
    <xf numFmtId="0" fontId="15" fillId="10" borderId="47" xfId="0" applyFont="1" applyFill="1" applyBorder="1" applyAlignment="1">
      <alignment horizontal="center"/>
    </xf>
    <xf numFmtId="0" fontId="15" fillId="10" borderId="8" xfId="0" applyFont="1" applyFill="1" applyBorder="1" applyAlignment="1">
      <alignment horizontal="center"/>
    </xf>
    <xf numFmtId="0" fontId="1" fillId="0" borderId="0" xfId="0" applyFont="1" applyAlignment="1">
      <alignment horizontal="left" vertical="top" wrapText="1"/>
    </xf>
    <xf numFmtId="0" fontId="2" fillId="10" borderId="3" xfId="0" applyFont="1" applyFill="1" applyBorder="1" applyAlignment="1">
      <alignment horizontal="center" wrapText="1"/>
    </xf>
    <xf numFmtId="0" fontId="2" fillId="10" borderId="8"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3" xfId="0" applyFont="1" applyFill="1" applyBorder="1" applyAlignment="1">
      <alignment horizontal="center" wrapText="1"/>
    </xf>
    <xf numFmtId="0" fontId="1" fillId="10" borderId="8" xfId="0" applyFont="1" applyFill="1" applyBorder="1" applyAlignment="1">
      <alignment horizontal="center" wrapText="1"/>
    </xf>
    <xf numFmtId="0" fontId="1" fillId="10" borderId="4" xfId="0" applyFont="1" applyFill="1" applyBorder="1" applyAlignment="1">
      <alignment horizontal="center" wrapText="1"/>
    </xf>
    <xf numFmtId="0" fontId="23" fillId="10" borderId="3" xfId="0" applyFont="1" applyFill="1" applyBorder="1" applyAlignment="1">
      <alignment horizontal="center"/>
    </xf>
    <xf numFmtId="0" fontId="23" fillId="10" borderId="8" xfId="0" applyFont="1" applyFill="1" applyBorder="1" applyAlignment="1">
      <alignment horizontal="center"/>
    </xf>
    <xf numFmtId="0" fontId="23" fillId="10"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5" fillId="10" borderId="2" xfId="0" applyFont="1" applyFill="1" applyBorder="1" applyAlignment="1">
      <alignment horizontal="center"/>
    </xf>
    <xf numFmtId="0" fontId="15" fillId="10" borderId="7"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5"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15" fillId="13" borderId="46" xfId="0" applyFont="1" applyFill="1" applyBorder="1" applyAlignment="1">
      <alignment horizontal="center" vertical="center" wrapText="1"/>
    </xf>
    <xf numFmtId="0" fontId="15" fillId="13" borderId="47" xfId="0" applyFont="1" applyFill="1" applyBorder="1" applyAlignment="1">
      <alignment horizontal="center" vertical="center" wrapText="1"/>
    </xf>
    <xf numFmtId="0" fontId="15" fillId="13" borderId="8" xfId="0" applyFont="1" applyFill="1" applyBorder="1" applyAlignment="1">
      <alignment horizontal="center" vertical="center" wrapText="1"/>
    </xf>
    <xf numFmtId="0" fontId="15" fillId="13"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0" borderId="3" xfId="0" applyFont="1" applyFill="1" applyBorder="1" applyAlignment="1">
      <alignment horizontal="center" vertical="center" wrapText="1"/>
    </xf>
    <xf numFmtId="0" fontId="15" fillId="10" borderId="4"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0" borderId="0" xfId="0" applyFont="1" applyFill="1" applyAlignment="1">
      <alignment horizontal="center"/>
    </xf>
    <xf numFmtId="0" fontId="15" fillId="10" borderId="6" xfId="0" applyFont="1" applyFill="1" applyBorder="1" applyAlignment="1">
      <alignment horizontal="center"/>
    </xf>
    <xf numFmtId="0" fontId="15" fillId="7" borderId="44" xfId="0" applyFont="1" applyFill="1" applyBorder="1" applyAlignment="1">
      <alignment horizontal="center"/>
    </xf>
    <xf numFmtId="0" fontId="15" fillId="10" borderId="45"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1" fillId="0" borderId="0" xfId="0"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5" xfId="0" applyFont="1" applyFill="1" applyBorder="1" applyAlignment="1">
      <alignment horizontal="left" vertical="top" wrapText="1" indent="3"/>
    </xf>
    <xf numFmtId="169" fontId="4" fillId="0" borderId="0" xfId="0" applyNumberFormat="1" applyFont="1" applyAlignment="1">
      <alignment horizontal="center"/>
    </xf>
    <xf numFmtId="0" fontId="1" fillId="10" borderId="11" xfId="0" applyFont="1" applyFill="1" applyBorder="1" applyAlignment="1">
      <alignment horizontal="center"/>
    </xf>
    <xf numFmtId="0" fontId="1" fillId="10" borderId="10" xfId="0" applyFont="1" applyFill="1" applyBorder="1" applyAlignment="1">
      <alignment horizontal="center"/>
    </xf>
    <xf numFmtId="0" fontId="15" fillId="7" borderId="46" xfId="0" applyFont="1" applyFill="1" applyBorder="1" applyAlignment="1">
      <alignment horizontal="center"/>
    </xf>
    <xf numFmtId="0" fontId="15" fillId="7" borderId="47" xfId="0" applyFont="1" applyFill="1" applyBorder="1" applyAlignment="1">
      <alignment horizontal="center"/>
    </xf>
    <xf numFmtId="0" fontId="15" fillId="7" borderId="45" xfId="0" applyFont="1" applyFill="1" applyBorder="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3"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10" borderId="46" xfId="0" applyFont="1" applyFill="1" applyBorder="1" applyAlignment="1">
      <alignment horizontal="center" wrapText="1"/>
    </xf>
    <xf numFmtId="0" fontId="15" fillId="10" borderId="47" xfId="0" applyFont="1" applyFill="1" applyBorder="1" applyAlignment="1">
      <alignment horizontal="center" wrapText="1"/>
    </xf>
    <xf numFmtId="0" fontId="15" fillId="10" borderId="8" xfId="0" applyFont="1" applyFill="1" applyBorder="1" applyAlignment="1">
      <alignment horizontal="center" wrapText="1"/>
    </xf>
    <xf numFmtId="0" fontId="15" fillId="0" borderId="46" xfId="0" applyFont="1" applyBorder="1" applyAlignment="1">
      <alignment horizontal="center"/>
    </xf>
    <xf numFmtId="0" fontId="15" fillId="0" borderId="47" xfId="0" applyFont="1" applyBorder="1" applyAlignment="1">
      <alignment horizontal="center"/>
    </xf>
    <xf numFmtId="0" fontId="15" fillId="0" borderId="45" xfId="0"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15" fillId="0" borderId="3" xfId="0" applyFont="1" applyBorder="1" applyAlignment="1">
      <alignment horizontal="left"/>
    </xf>
    <xf numFmtId="0" fontId="15" fillId="0" borderId="8" xfId="0" applyFont="1" applyBorder="1" applyAlignment="1">
      <alignment horizontal="left"/>
    </xf>
    <xf numFmtId="168" fontId="1" fillId="0" borderId="49" xfId="0" applyNumberFormat="1" applyFont="1" applyBorder="1" applyAlignment="1">
      <alignment horizontal="center"/>
    </xf>
    <xf numFmtId="168" fontId="1" fillId="0" borderId="50" xfId="0" applyNumberFormat="1" applyFont="1" applyBorder="1" applyAlignment="1">
      <alignment horizontal="center"/>
    </xf>
    <xf numFmtId="1" fontId="1" fillId="0" borderId="51" xfId="0" applyNumberFormat="1" applyFont="1" applyBorder="1" applyAlignment="1">
      <alignment horizontal="center"/>
    </xf>
    <xf numFmtId="1" fontId="1" fillId="0" borderId="49" xfId="0" applyNumberFormat="1" applyFont="1" applyBorder="1" applyAlignment="1">
      <alignment horizontal="center"/>
    </xf>
    <xf numFmtId="1" fontId="1" fillId="0" borderId="50" xfId="0" applyNumberFormat="1"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7" borderId="0" xfId="0" applyFont="1" applyFill="1" applyAlignment="1">
      <alignment horizontal="center"/>
    </xf>
    <xf numFmtId="0" fontId="6" fillId="0" borderId="0" xfId="0" applyFont="1" applyAlignment="1">
      <alignment horizontal="center" wrapText="1"/>
    </xf>
    <xf numFmtId="0" fontId="6" fillId="18" borderId="0" xfId="0" applyFont="1" applyFill="1" applyAlignment="1">
      <alignment wrapText="1"/>
    </xf>
    <xf numFmtId="0" fontId="1" fillId="0" borderId="0" xfId="0" applyFont="1" applyAlignment="1">
      <alignment wrapText="1"/>
    </xf>
    <xf numFmtId="0" fontId="6" fillId="19" borderId="0" xfId="0" applyFont="1" applyFill="1" applyAlignment="1">
      <alignment horizontal="center" wrapText="1"/>
    </xf>
    <xf numFmtId="0" fontId="1" fillId="9" borderId="0" xfId="0" applyFont="1" applyFill="1" applyAlignment="1">
      <alignment horizontal="center" wrapText="1"/>
    </xf>
    <xf numFmtId="0" fontId="6" fillId="20" borderId="0" xfId="0" applyFont="1" applyFill="1" applyAlignment="1">
      <alignment horizontal="center" wrapText="1"/>
    </xf>
    <xf numFmtId="0" fontId="6" fillId="21" borderId="0" xfId="0" applyFont="1" applyFill="1" applyAlignment="1">
      <alignment horizontal="center" wrapText="1"/>
    </xf>
    <xf numFmtId="14" fontId="0" fillId="0" borderId="0" xfId="0" applyNumberFormat="1"/>
    <xf numFmtId="14" fontId="0" fillId="0" borderId="0" xfId="0" applyNumberFormat="1" applyFill="1" applyBorder="1"/>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Purchases'!$H$21:$U$21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Purchases'!$H$25:$U$25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2630.6</c:v>
                </c:pt>
                <c:pt idx="10">
                  <c:v>2693.0281502361727</c:v>
                </c:pt>
                <c:pt idx="11">
                  <c:v>2743.3314109401185</c:v>
                </c:pt>
                <c:pt idx="12">
                  <c:v>2781.7101935090659</c:v>
                </c:pt>
                <c:pt idx="13">
                  <c:v>2815.6799253390218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Purchases'!$H$21:$U$21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2072.8169906616718</c:v>
                </c:pt>
                <c:pt idx="11">
                  <c:v>2102.4877823202833</c:v>
                </c:pt>
                <c:pt idx="12">
                  <c:v>2121.1948901183664</c:v>
                </c:pt>
                <c:pt idx="13">
                  <c:v>2152.537945561905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Purchases'!$H$26:$U$26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2125.2417252</c:v>
                </c:pt>
                <c:pt idx="10">
                  <c:v>2170.8451408978444</c:v>
                </c:pt>
                <c:pt idx="11">
                  <c:v>2224.8191932604013</c:v>
                </c:pt>
                <c:pt idx="12">
                  <c:v>2256.9050836274323</c:v>
                </c:pt>
                <c:pt idx="13">
                  <c:v>2296.2178709009268</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2118.4169906616717</c:v>
                </c:pt>
                <c:pt idx="11">
                  <c:v>2148.8877823202829</c:v>
                </c:pt>
                <c:pt idx="12">
                  <c:v>2165.7948901183663</c:v>
                </c:pt>
                <c:pt idx="13">
                  <c:v>2194.3379455619051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1916.8169906616718</c:v>
                      </c:pt>
                      <c:pt idx="11">
                        <c:v>1943.487782320283</c:v>
                      </c:pt>
                      <c:pt idx="12">
                        <c:v>1961.1948901183664</c:v>
                      </c:pt>
                      <c:pt idx="13">
                        <c:v>1993.537945561905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85725</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152400</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28575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57150</xdr:rowOff>
    </xdr:from>
    <xdr:to>
      <xdr:col>4</xdr:col>
      <xdr:colOff>800100</xdr:colOff>
      <xdr:row>68</xdr:row>
      <xdr:rowOff>133350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28575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266700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24</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24</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469006</xdr:colOff>
      <xdr:row>62</xdr:row>
      <xdr:rowOff>168176</xdr:rowOff>
    </xdr:from>
    <xdr:to>
      <xdr:col>38</xdr:col>
      <xdr:colOff>656823</xdr:colOff>
      <xdr:row>62</xdr:row>
      <xdr:rowOff>168176</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62</xdr:row>
      <xdr:rowOff>168176</xdr:rowOff>
    </xdr:from>
    <xdr:to>
      <xdr:col>38</xdr:col>
      <xdr:colOff>542523</xdr:colOff>
      <xdr:row>64</xdr:row>
      <xdr:rowOff>177191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74</xdr:row>
      <xdr:rowOff>32947</xdr:rowOff>
    </xdr:from>
    <xdr:to>
      <xdr:col>38</xdr:col>
      <xdr:colOff>542523</xdr:colOff>
      <xdr:row>74</xdr:row>
      <xdr:rowOff>32947</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74</xdr:row>
      <xdr:rowOff>32947</xdr:rowOff>
    </xdr:from>
    <xdr:to>
      <xdr:col>38</xdr:col>
      <xdr:colOff>618723</xdr:colOff>
      <xdr:row>74</xdr:row>
      <xdr:rowOff>32947</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469006</xdr:colOff>
      <xdr:row>62</xdr:row>
      <xdr:rowOff>168176</xdr:rowOff>
    </xdr:from>
    <xdr:to>
      <xdr:col>38</xdr:col>
      <xdr:colOff>618723</xdr:colOff>
      <xdr:row>62</xdr:row>
      <xdr:rowOff>168176</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656823</xdr:colOff>
      <xdr:row>48</xdr:row>
      <xdr:rowOff>74053</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48</xdr:row>
      <xdr:rowOff>74053</xdr:rowOff>
    </xdr:from>
    <xdr:to>
      <xdr:col>38</xdr:col>
      <xdr:colOff>542523</xdr:colOff>
      <xdr:row>52</xdr:row>
      <xdr:rowOff>138985</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392806</xdr:colOff>
      <xdr:row>54</xdr:row>
      <xdr:rowOff>80091</xdr:rowOff>
    </xdr:from>
    <xdr:to>
      <xdr:col>38</xdr:col>
      <xdr:colOff>542523</xdr:colOff>
      <xdr:row>54</xdr:row>
      <xdr:rowOff>89616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54</xdr:row>
      <xdr:rowOff>80091</xdr:rowOff>
    </xdr:from>
    <xdr:to>
      <xdr:col>38</xdr:col>
      <xdr:colOff>618723</xdr:colOff>
      <xdr:row>54</xdr:row>
      <xdr:rowOff>89616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48</xdr:row>
      <xdr:rowOff>74053</xdr:rowOff>
    </xdr:from>
    <xdr:to>
      <xdr:col>38</xdr:col>
      <xdr:colOff>618723</xdr:colOff>
      <xdr:row>48</xdr:row>
      <xdr:rowOff>74053</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9</xdr:row>
      <xdr:rowOff>38637</xdr:rowOff>
    </xdr:from>
    <xdr:to>
      <xdr:col>2</xdr:col>
      <xdr:colOff>566134</xdr:colOff>
      <xdr:row>12</xdr:row>
      <xdr:rowOff>87469</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10</xdr:row>
      <xdr:rowOff>85322</xdr:rowOff>
    </xdr:from>
    <xdr:to>
      <xdr:col>2</xdr:col>
      <xdr:colOff>566134</xdr:colOff>
      <xdr:row>13</xdr:row>
      <xdr:rowOff>125569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3041024</xdr:colOff>
      <xdr:row>11</xdr:row>
      <xdr:rowOff>160986</xdr:rowOff>
    </xdr:from>
    <xdr:to>
      <xdr:col>2</xdr:col>
      <xdr:colOff>566134</xdr:colOff>
      <xdr:row>15</xdr:row>
      <xdr:rowOff>105177</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41</xdr:row>
      <xdr:rowOff>361950</xdr:rowOff>
    </xdr:from>
    <xdr:to>
      <xdr:col>38</xdr:col>
      <xdr:colOff>647700</xdr:colOff>
      <xdr:row>42</xdr:row>
      <xdr:rowOff>9525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41</xdr:row>
      <xdr:rowOff>361950</xdr:rowOff>
    </xdr:from>
    <xdr:to>
      <xdr:col>38</xdr:col>
      <xdr:colOff>523875</xdr:colOff>
      <xdr:row>48</xdr:row>
      <xdr:rowOff>123825</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51</xdr:row>
      <xdr:rowOff>19050</xdr:rowOff>
    </xdr:from>
    <xdr:to>
      <xdr:col>38</xdr:col>
      <xdr:colOff>523875</xdr:colOff>
      <xdr:row>51</xdr:row>
      <xdr:rowOff>142875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51</xdr:row>
      <xdr:rowOff>19050</xdr:rowOff>
    </xdr:from>
    <xdr:to>
      <xdr:col>38</xdr:col>
      <xdr:colOff>600075</xdr:colOff>
      <xdr:row>51</xdr:row>
      <xdr:rowOff>142875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41</xdr:row>
      <xdr:rowOff>361950</xdr:rowOff>
    </xdr:from>
    <xdr:to>
      <xdr:col>38</xdr:col>
      <xdr:colOff>600075</xdr:colOff>
      <xdr:row>42</xdr:row>
      <xdr:rowOff>9525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41</xdr:row>
      <xdr:rowOff>361950</xdr:rowOff>
    </xdr:from>
    <xdr:to>
      <xdr:col>38</xdr:col>
      <xdr:colOff>647700</xdr:colOff>
      <xdr:row>42</xdr:row>
      <xdr:rowOff>9525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41</xdr:row>
      <xdr:rowOff>361950</xdr:rowOff>
    </xdr:from>
    <xdr:to>
      <xdr:col>38</xdr:col>
      <xdr:colOff>523875</xdr:colOff>
      <xdr:row>48</xdr:row>
      <xdr:rowOff>123825</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371475</xdr:colOff>
      <xdr:row>51</xdr:row>
      <xdr:rowOff>19050</xdr:rowOff>
    </xdr:from>
    <xdr:to>
      <xdr:col>38</xdr:col>
      <xdr:colOff>523875</xdr:colOff>
      <xdr:row>51</xdr:row>
      <xdr:rowOff>142875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51</xdr:row>
      <xdr:rowOff>19050</xdr:rowOff>
    </xdr:from>
    <xdr:to>
      <xdr:col>38</xdr:col>
      <xdr:colOff>600075</xdr:colOff>
      <xdr:row>51</xdr:row>
      <xdr:rowOff>142875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41</xdr:row>
      <xdr:rowOff>361950</xdr:rowOff>
    </xdr:from>
    <xdr:to>
      <xdr:col>38</xdr:col>
      <xdr:colOff>600075</xdr:colOff>
      <xdr:row>42</xdr:row>
      <xdr:rowOff>9525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1741714</xdr:colOff>
      <xdr:row>15</xdr:row>
      <xdr:rowOff>118533</xdr:rowOff>
    </xdr:from>
    <xdr:to>
      <xdr:col>3</xdr:col>
      <xdr:colOff>470807</xdr:colOff>
      <xdr:row>17</xdr:row>
      <xdr:rowOff>42334</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1741714</xdr:colOff>
      <xdr:row>15</xdr:row>
      <xdr:rowOff>118533</xdr:rowOff>
    </xdr:from>
    <xdr:to>
      <xdr:col>3</xdr:col>
      <xdr:colOff>470807</xdr:colOff>
      <xdr:row>17</xdr:row>
      <xdr:rowOff>42334</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15</xdr:row>
      <xdr:rowOff>66675</xdr:rowOff>
    </xdr:from>
    <xdr:to>
      <xdr:col>4</xdr:col>
      <xdr:colOff>0</xdr:colOff>
      <xdr:row>17</xdr:row>
      <xdr:rowOff>9525</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15</xdr:row>
      <xdr:rowOff>66675</xdr:rowOff>
    </xdr:from>
    <xdr:to>
      <xdr:col>4</xdr:col>
      <xdr:colOff>0</xdr:colOff>
      <xdr:row>17</xdr:row>
      <xdr:rowOff>9525</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142875</xdr:rowOff>
    </xdr:from>
    <xdr:to>
      <xdr:col>6</xdr:col>
      <xdr:colOff>0</xdr:colOff>
      <xdr:row>25</xdr:row>
      <xdr:rowOff>54467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88274</xdr:rowOff>
    </xdr:from>
    <xdr:to>
      <xdr:col>4</xdr:col>
      <xdr:colOff>228600</xdr:colOff>
      <xdr:row>30</xdr:row>
      <xdr:rowOff>171920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142875</xdr:rowOff>
    </xdr:from>
    <xdr:to>
      <xdr:col>6</xdr:col>
      <xdr:colOff>0</xdr:colOff>
      <xdr:row>25</xdr:row>
      <xdr:rowOff>54467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88274</xdr:rowOff>
    </xdr:from>
    <xdr:to>
      <xdr:col>4</xdr:col>
      <xdr:colOff>228600</xdr:colOff>
      <xdr:row>30</xdr:row>
      <xdr:rowOff>171920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23</xdr:row>
      <xdr:rowOff>114300</xdr:rowOff>
    </xdr:from>
    <xdr:to>
      <xdr:col>4</xdr:col>
      <xdr:colOff>438150</xdr:colOff>
      <xdr:row>26</xdr:row>
      <xdr:rowOff>133350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21</xdr:row>
      <xdr:rowOff>0</xdr:rowOff>
    </xdr:from>
    <xdr:to>
      <xdr:col>4</xdr:col>
      <xdr:colOff>438150</xdr:colOff>
      <xdr:row>23</xdr:row>
      <xdr:rowOff>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30956</xdr:rowOff>
    </xdr:from>
    <xdr:to>
      <xdr:col>11</xdr:col>
      <xdr:colOff>342900</xdr:colOff>
      <xdr:row>104</xdr:row>
      <xdr:rowOff>30956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100965</xdr:rowOff>
    </xdr:from>
    <xdr:to>
      <xdr:col>4</xdr:col>
      <xdr:colOff>198120</xdr:colOff>
      <xdr:row>49</xdr:row>
      <xdr:rowOff>176213</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30956</xdr:rowOff>
    </xdr:from>
    <xdr:to>
      <xdr:col>11</xdr:col>
      <xdr:colOff>342900</xdr:colOff>
      <xdr:row>104</xdr:row>
      <xdr:rowOff>30956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30956</xdr:rowOff>
    </xdr:from>
    <xdr:to>
      <xdr:col>14</xdr:col>
      <xdr:colOff>342900</xdr:colOff>
      <xdr:row>104</xdr:row>
      <xdr:rowOff>30956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47</xdr:row>
      <xdr:rowOff>0</xdr:rowOff>
    </xdr:from>
    <xdr:to>
      <xdr:col>11</xdr:col>
      <xdr:colOff>342900</xdr:colOff>
      <xdr:row>47</xdr:row>
      <xdr:rowOff>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47</xdr:row>
      <xdr:rowOff>0</xdr:rowOff>
    </xdr:from>
    <xdr:to>
      <xdr:col>14</xdr:col>
      <xdr:colOff>342900</xdr:colOff>
      <xdr:row>47</xdr:row>
      <xdr:rowOff>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79</xdr:row>
      <xdr:rowOff>22982</xdr:rowOff>
    </xdr:from>
    <xdr:to>
      <xdr:col>5</xdr:col>
      <xdr:colOff>190500</xdr:colOff>
      <xdr:row>85</xdr:row>
      <xdr:rowOff>75899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40822</xdr:rowOff>
    </xdr:from>
    <xdr:to>
      <xdr:col>5</xdr:col>
      <xdr:colOff>190500</xdr:colOff>
      <xdr:row>85</xdr:row>
      <xdr:rowOff>266399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117021</xdr:rowOff>
    </xdr:from>
    <xdr:to>
      <xdr:col>5</xdr:col>
      <xdr:colOff>190500</xdr:colOff>
      <xdr:row>86</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7863</xdr:rowOff>
    </xdr:from>
    <xdr:to>
      <xdr:col>5</xdr:col>
      <xdr:colOff>190500</xdr:colOff>
      <xdr:row>86</xdr:row>
      <xdr:rowOff>289682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8467</xdr:rowOff>
    </xdr:from>
    <xdr:to>
      <xdr:col>5</xdr:col>
      <xdr:colOff>190500</xdr:colOff>
      <xdr:row>134</xdr:row>
      <xdr:rowOff>160261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133653</xdr:rowOff>
    </xdr:from>
    <xdr:to>
      <xdr:col>5</xdr:col>
      <xdr:colOff>190500</xdr:colOff>
      <xdr:row>119</xdr:row>
      <xdr:rowOff>75595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108979</xdr:rowOff>
    </xdr:from>
    <xdr:to>
      <xdr:col>5</xdr:col>
      <xdr:colOff>190500</xdr:colOff>
      <xdr:row>79</xdr:row>
      <xdr:rowOff>55639</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147079</xdr:rowOff>
    </xdr:from>
    <xdr:to>
      <xdr:col>5</xdr:col>
      <xdr:colOff>190500</xdr:colOff>
      <xdr:row>74</xdr:row>
      <xdr:rowOff>148468</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147079</xdr:rowOff>
    </xdr:from>
    <xdr:to>
      <xdr:col>5</xdr:col>
      <xdr:colOff>190500</xdr:colOff>
      <xdr:row>67</xdr:row>
      <xdr:rowOff>77107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129540</xdr:rowOff>
    </xdr:from>
    <xdr:to>
      <xdr:col>5</xdr:col>
      <xdr:colOff>190500</xdr:colOff>
      <xdr:row>66</xdr:row>
      <xdr:rowOff>108737</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97971</xdr:rowOff>
    </xdr:from>
    <xdr:to>
      <xdr:col>5</xdr:col>
      <xdr:colOff>190500</xdr:colOff>
      <xdr:row>65</xdr:row>
      <xdr:rowOff>109885</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170241</xdr:rowOff>
    </xdr:from>
    <xdr:to>
      <xdr:col>6</xdr:col>
      <xdr:colOff>38100</xdr:colOff>
      <xdr:row>116</xdr:row>
      <xdr:rowOff>167822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91440</xdr:rowOff>
    </xdr:from>
    <xdr:to>
      <xdr:col>19</xdr:col>
      <xdr:colOff>662940</xdr:colOff>
      <xdr:row>17</xdr:row>
      <xdr:rowOff>152400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177347</xdr:rowOff>
    </xdr:from>
    <xdr:to>
      <xdr:col>5</xdr:col>
      <xdr:colOff>190500</xdr:colOff>
      <xdr:row>65</xdr:row>
      <xdr:rowOff>112334</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3931</xdr:rowOff>
    </xdr:from>
    <xdr:to>
      <xdr:col>5</xdr:col>
      <xdr:colOff>190500</xdr:colOff>
      <xdr:row>66</xdr:row>
      <xdr:rowOff>62744</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30540</xdr:rowOff>
    </xdr:from>
    <xdr:to>
      <xdr:col>5</xdr:col>
      <xdr:colOff>190500</xdr:colOff>
      <xdr:row>67</xdr:row>
      <xdr:rowOff>22679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104775</xdr:rowOff>
    </xdr:from>
    <xdr:to>
      <xdr:col>5</xdr:col>
      <xdr:colOff>190500</xdr:colOff>
      <xdr:row>68</xdr:row>
      <xdr:rowOff>11188</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51708</xdr:rowOff>
    </xdr:from>
    <xdr:to>
      <xdr:col>5</xdr:col>
      <xdr:colOff>190500</xdr:colOff>
      <xdr:row>114</xdr:row>
      <xdr:rowOff>6047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144236</xdr:rowOff>
    </xdr:from>
    <xdr:to>
      <xdr:col>5</xdr:col>
      <xdr:colOff>190500</xdr:colOff>
      <xdr:row>99</xdr:row>
      <xdr:rowOff>122163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100693</xdr:rowOff>
    </xdr:from>
    <xdr:to>
      <xdr:col>5</xdr:col>
      <xdr:colOff>190500</xdr:colOff>
      <xdr:row>59</xdr:row>
      <xdr:rowOff>24947</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138793</xdr:rowOff>
    </xdr:from>
    <xdr:to>
      <xdr:col>5</xdr:col>
      <xdr:colOff>190500</xdr:colOff>
      <xdr:row>53</xdr:row>
      <xdr:rowOff>145748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138793</xdr:rowOff>
    </xdr:from>
    <xdr:to>
      <xdr:col>5</xdr:col>
      <xdr:colOff>190500</xdr:colOff>
      <xdr:row>47</xdr:row>
      <xdr:rowOff>147411</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94646</xdr:rowOff>
    </xdr:from>
    <xdr:to>
      <xdr:col>5</xdr:col>
      <xdr:colOff>190500</xdr:colOff>
      <xdr:row>47</xdr:row>
      <xdr:rowOff>20562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71059</xdr:rowOff>
    </xdr:from>
    <xdr:to>
      <xdr:col>5</xdr:col>
      <xdr:colOff>190500</xdr:colOff>
      <xdr:row>46</xdr:row>
      <xdr:rowOff>35530</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182336</xdr:rowOff>
    </xdr:from>
    <xdr:to>
      <xdr:col>6</xdr:col>
      <xdr:colOff>38100</xdr:colOff>
      <xdr:row>97</xdr:row>
      <xdr:rowOff>45963</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11</xdr:row>
      <xdr:rowOff>76200</xdr:rowOff>
    </xdr:from>
    <xdr:to>
      <xdr:col>18</xdr:col>
      <xdr:colOff>647700</xdr:colOff>
      <xdr:row>15</xdr:row>
      <xdr:rowOff>152400</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xdr:row>
      <xdr:rowOff>76200</xdr:rowOff>
    </xdr:from>
    <xdr:to>
      <xdr:col>19</xdr:col>
      <xdr:colOff>647700</xdr:colOff>
      <xdr:row>17</xdr:row>
      <xdr:rowOff>152400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82</xdr:row>
      <xdr:rowOff>99483</xdr:rowOff>
    </xdr:from>
    <xdr:to>
      <xdr:col>5</xdr:col>
      <xdr:colOff>190500</xdr:colOff>
      <xdr:row>86</xdr:row>
      <xdr:rowOff>257175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83</xdr:row>
      <xdr:rowOff>119592</xdr:rowOff>
    </xdr:from>
    <xdr:to>
      <xdr:col>5</xdr:col>
      <xdr:colOff>190500</xdr:colOff>
      <xdr:row>87</xdr:row>
      <xdr:rowOff>109008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84</xdr:row>
      <xdr:rowOff>148167</xdr:rowOff>
    </xdr:from>
    <xdr:to>
      <xdr:col>5</xdr:col>
      <xdr:colOff>190500</xdr:colOff>
      <xdr:row>88</xdr:row>
      <xdr:rowOff>13758</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85</xdr:row>
      <xdr:rowOff>205317</xdr:rowOff>
    </xdr:from>
    <xdr:to>
      <xdr:col>5</xdr:col>
      <xdr:colOff>190500</xdr:colOff>
      <xdr:row>89</xdr:row>
      <xdr:rowOff>13758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111</xdr:row>
      <xdr:rowOff>56092</xdr:rowOff>
    </xdr:from>
    <xdr:to>
      <xdr:col>5</xdr:col>
      <xdr:colOff>190500</xdr:colOff>
      <xdr:row>126</xdr:row>
      <xdr:rowOff>129117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66</xdr:row>
      <xdr:rowOff>3175</xdr:rowOff>
    </xdr:from>
    <xdr:to>
      <xdr:col>5</xdr:col>
      <xdr:colOff>190500</xdr:colOff>
      <xdr:row>84</xdr:row>
      <xdr:rowOff>176742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65</xdr:row>
      <xdr:rowOff>60325</xdr:rowOff>
    </xdr:from>
    <xdr:to>
      <xdr:col>5</xdr:col>
      <xdr:colOff>190500</xdr:colOff>
      <xdr:row>78</xdr:row>
      <xdr:rowOff>233892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64</xdr:row>
      <xdr:rowOff>115358</xdr:rowOff>
    </xdr:from>
    <xdr:to>
      <xdr:col>5</xdr:col>
      <xdr:colOff>190500</xdr:colOff>
      <xdr:row>72</xdr:row>
      <xdr:rowOff>56091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69</xdr:row>
      <xdr:rowOff>95250</xdr:rowOff>
    </xdr:from>
    <xdr:to>
      <xdr:col>5</xdr:col>
      <xdr:colOff>190500</xdr:colOff>
      <xdr:row>71</xdr:row>
      <xdr:rowOff>132291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70</xdr:row>
      <xdr:rowOff>76200</xdr:rowOff>
    </xdr:from>
    <xdr:to>
      <xdr:col>5</xdr:col>
      <xdr:colOff>190500</xdr:colOff>
      <xdr:row>70</xdr:row>
      <xdr:rowOff>95250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65617</xdr:rowOff>
    </xdr:from>
    <xdr:to>
      <xdr:col>6</xdr:col>
      <xdr:colOff>38100</xdr:colOff>
      <xdr:row>124</xdr:row>
      <xdr:rowOff>33867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31</xdr:row>
      <xdr:rowOff>85725</xdr:rowOff>
    </xdr:from>
    <xdr:to>
      <xdr:col>19</xdr:col>
      <xdr:colOff>0</xdr:colOff>
      <xdr:row>35</xdr:row>
      <xdr:rowOff>123825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35</xdr:row>
      <xdr:rowOff>85725</xdr:rowOff>
    </xdr:from>
    <xdr:to>
      <xdr:col>20</xdr:col>
      <xdr:colOff>0</xdr:colOff>
      <xdr:row>37</xdr:row>
      <xdr:rowOff>134408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56</xdr:row>
      <xdr:rowOff>142875</xdr:rowOff>
    </xdr:from>
    <xdr:to>
      <xdr:col>5</xdr:col>
      <xdr:colOff>190500</xdr:colOff>
      <xdr:row>62</xdr:row>
      <xdr:rowOff>57150</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57</xdr:row>
      <xdr:rowOff>161925</xdr:rowOff>
    </xdr:from>
    <xdr:to>
      <xdr:col>5</xdr:col>
      <xdr:colOff>190500</xdr:colOff>
      <xdr:row>63</xdr:row>
      <xdr:rowOff>66675</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59</xdr:row>
      <xdr:rowOff>0</xdr:rowOff>
    </xdr:from>
    <xdr:to>
      <xdr:col>5</xdr:col>
      <xdr:colOff>190500</xdr:colOff>
      <xdr:row>63</xdr:row>
      <xdr:rowOff>161925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59</xdr:row>
      <xdr:rowOff>247650</xdr:rowOff>
    </xdr:from>
    <xdr:to>
      <xdr:col>5</xdr:col>
      <xdr:colOff>190500</xdr:colOff>
      <xdr:row>64</xdr:row>
      <xdr:rowOff>104775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85</xdr:row>
      <xdr:rowOff>85725</xdr:rowOff>
    </xdr:from>
    <xdr:to>
      <xdr:col>5</xdr:col>
      <xdr:colOff>190500</xdr:colOff>
      <xdr:row>99</xdr:row>
      <xdr:rowOff>85725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40</xdr:row>
      <xdr:rowOff>38100</xdr:rowOff>
    </xdr:from>
    <xdr:to>
      <xdr:col>5</xdr:col>
      <xdr:colOff>190500</xdr:colOff>
      <xdr:row>58</xdr:row>
      <xdr:rowOff>152400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39</xdr:row>
      <xdr:rowOff>95250</xdr:rowOff>
    </xdr:from>
    <xdr:to>
      <xdr:col>5</xdr:col>
      <xdr:colOff>190500</xdr:colOff>
      <xdr:row>52</xdr:row>
      <xdr:rowOff>276225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38</xdr:row>
      <xdr:rowOff>152400</xdr:rowOff>
    </xdr:from>
    <xdr:to>
      <xdr:col>5</xdr:col>
      <xdr:colOff>190500</xdr:colOff>
      <xdr:row>45</xdr:row>
      <xdr:rowOff>152400</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43</xdr:row>
      <xdr:rowOff>123825</xdr:rowOff>
    </xdr:from>
    <xdr:to>
      <xdr:col>5</xdr:col>
      <xdr:colOff>190500</xdr:colOff>
      <xdr:row>45</xdr:row>
      <xdr:rowOff>114300</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2771775</xdr:colOff>
      <xdr:row>44</xdr:row>
      <xdr:rowOff>104775</xdr:rowOff>
    </xdr:from>
    <xdr:to>
      <xdr:col>5</xdr:col>
      <xdr:colOff>190500</xdr:colOff>
      <xdr:row>44</xdr:row>
      <xdr:rowOff>85725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95250</xdr:rowOff>
    </xdr:from>
    <xdr:to>
      <xdr:col>6</xdr:col>
      <xdr:colOff>38100</xdr:colOff>
      <xdr:row>96</xdr:row>
      <xdr:rowOff>180975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 ref="B23" dT="2021-07-28T15:56:51.95" personId="{58CF8BEC-4104-46F7-BE4F-2C9403635492}" id="{5070108F-19A6-490F-8932-09E1A41A38EB}">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R19" dT="2022-04-28T18:45:09.81" personId="{104078EE-2393-4C21-9029-18A325FBDB70}" id="{52398C35-64A4-4FE7-9213-95FCA4E043C9}">
    <text>Louise: we had this amount coming out in Q1 2022 but it hasn't yet. How should we spread this out?</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8" dT="2021-07-23T18:56:56.50" personId="{58CF8BEC-4104-46F7-BE4F-2C9403635492}" id="{92DCE874-AC14-4080-8F99-EF0B35B01255}">
    <text>July 2021 CBO Ten Year Economic Projections, Quarterly Table, Row 116</text>
  </threadedComment>
  <threadedComment ref="D89"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4" zoomScale="82" zoomScaleNormal="82" workbookViewId="0">
      <selection activeCell="C29" sqref="C29"/>
    </sheetView>
  </sheetViews>
  <sheetFormatPr defaultColWidth="11.42578125" defaultRowHeight="15" x14ac:dyDescent="0.25"/>
  <cols>
    <col min="2" max="2" width="34.28515625" customWidth="1"/>
    <col min="17" max="17" width="38.42578125" customWidth="1"/>
  </cols>
  <sheetData>
    <row r="10" spans="2:17" x14ac:dyDescent="0.25">
      <c r="B10" s="890" t="s">
        <v>0</v>
      </c>
      <c r="C10" s="891"/>
      <c r="D10" s="891"/>
      <c r="E10" s="891"/>
      <c r="F10" s="891"/>
      <c r="G10" s="891"/>
      <c r="H10" s="891"/>
      <c r="I10" s="891"/>
      <c r="J10" s="891"/>
      <c r="K10" s="891"/>
      <c r="L10" s="891"/>
      <c r="M10" s="891"/>
      <c r="N10" s="891"/>
      <c r="O10" s="891"/>
      <c r="P10" s="891"/>
      <c r="Q10" s="892"/>
    </row>
    <row r="11" spans="2:17" x14ac:dyDescent="0.25">
      <c r="B11" s="893"/>
      <c r="C11" s="894"/>
      <c r="D11" s="894"/>
      <c r="E11" s="894"/>
      <c r="F11" s="894"/>
      <c r="G11" s="894"/>
      <c r="H11" s="894"/>
      <c r="I11" s="894"/>
      <c r="J11" s="894"/>
      <c r="K11" s="894"/>
      <c r="L11" s="894"/>
      <c r="M11" s="894"/>
      <c r="N11" s="894"/>
      <c r="O11" s="894"/>
      <c r="P11" s="894"/>
      <c r="Q11" s="895"/>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896" t="s">
        <v>3</v>
      </c>
      <c r="D13" s="896"/>
      <c r="E13" s="896"/>
      <c r="F13" s="896"/>
      <c r="G13" s="896"/>
      <c r="H13" s="896"/>
      <c r="I13" s="896"/>
      <c r="J13" s="896"/>
      <c r="K13" s="896"/>
      <c r="L13" s="896"/>
      <c r="M13" s="896"/>
      <c r="N13" s="896"/>
      <c r="O13" s="896"/>
      <c r="P13" s="896"/>
      <c r="Q13" s="897"/>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914</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915</v>
      </c>
      <c r="C18" s="7" t="s">
        <v>11</v>
      </c>
      <c r="D18" s="7"/>
      <c r="E18" s="7"/>
      <c r="F18" s="7"/>
      <c r="G18" s="7"/>
      <c r="H18" s="7"/>
      <c r="I18" s="7"/>
      <c r="J18" s="7"/>
      <c r="K18" s="7"/>
      <c r="L18" s="7"/>
      <c r="M18" s="7"/>
      <c r="N18" s="7"/>
      <c r="O18" s="7"/>
      <c r="P18" s="7"/>
      <c r="Q18" s="8"/>
    </row>
    <row r="19" spans="2:17" x14ac:dyDescent="0.25">
      <c r="B19" s="3" t="s">
        <v>12</v>
      </c>
      <c r="C19" s="7" t="s">
        <v>916</v>
      </c>
      <c r="D19" s="7"/>
      <c r="E19" s="7"/>
      <c r="F19" s="7"/>
      <c r="G19" s="7"/>
      <c r="H19" s="7"/>
      <c r="I19" s="7"/>
      <c r="J19" s="7"/>
      <c r="K19" s="7"/>
      <c r="L19" s="7"/>
      <c r="M19" s="7"/>
      <c r="N19" s="7"/>
      <c r="O19" s="7"/>
      <c r="P19" s="7"/>
      <c r="Q19" s="8"/>
    </row>
    <row r="20" spans="2:17" ht="30.75" customHeight="1" x14ac:dyDescent="0.25">
      <c r="B20" s="3" t="s">
        <v>13</v>
      </c>
      <c r="C20" s="888" t="s">
        <v>14</v>
      </c>
      <c r="D20" s="888"/>
      <c r="E20" s="888"/>
      <c r="F20" s="888"/>
      <c r="G20" s="888"/>
      <c r="H20" s="888"/>
      <c r="I20" s="888"/>
      <c r="J20" s="888"/>
      <c r="K20" s="888"/>
      <c r="L20" s="888"/>
      <c r="M20" s="888"/>
      <c r="N20" s="888"/>
      <c r="O20" s="888"/>
      <c r="P20" s="888"/>
      <c r="Q20" s="889"/>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918</v>
      </c>
      <c r="C22" s="888" t="s">
        <v>917</v>
      </c>
      <c r="D22" s="888"/>
      <c r="E22" s="888"/>
      <c r="F22" s="888"/>
      <c r="G22" s="888"/>
      <c r="H22" s="888"/>
      <c r="I22" s="888"/>
      <c r="J22" s="888"/>
      <c r="K22" s="888"/>
      <c r="L22" s="888"/>
      <c r="M22" s="888"/>
      <c r="N22" s="888"/>
      <c r="O22" s="888"/>
      <c r="P22" s="888"/>
      <c r="Q22" s="889"/>
    </row>
    <row r="23" spans="2:17" ht="31.15" customHeight="1" x14ac:dyDescent="0.25">
      <c r="B23" s="3" t="s">
        <v>17</v>
      </c>
      <c r="C23" s="888" t="s">
        <v>919</v>
      </c>
      <c r="D23" s="888"/>
      <c r="E23" s="888"/>
      <c r="F23" s="888"/>
      <c r="G23" s="888"/>
      <c r="H23" s="888"/>
      <c r="I23" s="888"/>
      <c r="J23" s="888"/>
      <c r="K23" s="888"/>
      <c r="L23" s="888"/>
      <c r="M23" s="888"/>
      <c r="N23" s="888"/>
      <c r="O23" s="888"/>
      <c r="P23" s="888"/>
      <c r="Q23" s="889"/>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920</v>
      </c>
      <c r="D27" s="7"/>
      <c r="E27" s="7"/>
      <c r="F27" s="7"/>
      <c r="G27" s="7"/>
      <c r="H27" s="7"/>
      <c r="I27" s="7"/>
      <c r="J27" s="7"/>
      <c r="K27" s="7"/>
      <c r="L27" s="7"/>
      <c r="M27" s="7"/>
      <c r="N27" s="7"/>
      <c r="O27" s="7"/>
      <c r="P27" s="7"/>
      <c r="Q27" s="8"/>
    </row>
    <row r="28" spans="2:17" x14ac:dyDescent="0.25">
      <c r="B28" s="3" t="s">
        <v>25</v>
      </c>
      <c r="C28" s="7" t="s">
        <v>921</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887" t="s">
        <v>922</v>
      </c>
      <c r="C33" s="888"/>
      <c r="D33" s="888"/>
      <c r="E33" s="888"/>
      <c r="F33" s="888"/>
      <c r="G33" s="888"/>
      <c r="H33" s="888"/>
      <c r="I33" s="888"/>
      <c r="J33" s="888"/>
      <c r="K33" s="888"/>
      <c r="L33" s="888"/>
      <c r="M33" s="888"/>
      <c r="N33" s="888"/>
      <c r="O33" s="888"/>
      <c r="P33" s="888"/>
      <c r="Q33" s="889"/>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
  <sheetViews>
    <sheetView workbookViewId="0">
      <selection activeCell="J7" sqref="J7"/>
    </sheetView>
  </sheetViews>
  <sheetFormatPr defaultColWidth="11.42578125" defaultRowHeight="15" x14ac:dyDescent="0.25"/>
  <cols>
    <col min="1" max="1" width="33" customWidth="1"/>
    <col min="2" max="2" width="27.140625" customWidth="1"/>
  </cols>
  <sheetData>
    <row r="1" spans="1:10" x14ac:dyDescent="0.25">
      <c r="A1" s="74" t="s">
        <v>178</v>
      </c>
      <c r="B1" s="74" t="s">
        <v>179</v>
      </c>
      <c r="C1" s="145" t="s">
        <v>292</v>
      </c>
      <c r="D1" s="145" t="s">
        <v>293</v>
      </c>
      <c r="E1" s="145" t="s">
        <v>294</v>
      </c>
      <c r="F1" s="145" t="s">
        <v>295</v>
      </c>
      <c r="G1" s="74" t="s">
        <v>296</v>
      </c>
      <c r="H1" s="74" t="s">
        <v>180</v>
      </c>
      <c r="I1" s="74" t="s">
        <v>181</v>
      </c>
      <c r="J1" s="74" t="s">
        <v>182</v>
      </c>
    </row>
    <row r="2" spans="1:10"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row>
    <row r="3" spans="1:10" ht="28.9" customHeight="1" x14ac:dyDescent="0.25">
      <c r="A3" s="14" t="s">
        <v>864</v>
      </c>
      <c r="B3" t="s">
        <v>861</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1864.8239999999998</v>
      </c>
    </row>
    <row r="4" spans="1:10" ht="28.9" customHeight="1" x14ac:dyDescent="0.25">
      <c r="A4" s="14" t="s">
        <v>866</v>
      </c>
      <c r="B4" t="s">
        <v>862</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row>
    <row r="5" spans="1:10" x14ac:dyDescent="0.25">
      <c r="A5" s="14" t="s">
        <v>865</v>
      </c>
      <c r="B5" t="s">
        <v>863</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row>
    <row r="6" spans="1:10" x14ac:dyDescent="0.25">
      <c r="A6" s="36" t="s">
        <v>201</v>
      </c>
      <c r="B6" s="36" t="s">
        <v>909</v>
      </c>
      <c r="C6" s="146">
        <f>Subsidies!J43</f>
        <v>0</v>
      </c>
      <c r="D6" s="146">
        <f>Subsidies!K43</f>
        <v>0</v>
      </c>
      <c r="E6" s="146">
        <f>Subsidies!L43</f>
        <v>0</v>
      </c>
      <c r="F6" s="146">
        <f>Subsidies!M43</f>
        <v>0</v>
      </c>
      <c r="G6" s="146">
        <f>Subsidies!N43</f>
        <v>58.782959999999989</v>
      </c>
      <c r="H6" s="146">
        <f>Subsidies!O43</f>
        <v>267.78904</v>
      </c>
      <c r="I6" s="146">
        <f>Subsidies!P43</f>
        <v>110.24799999999999</v>
      </c>
      <c r="J6" s="146">
        <f>Subsidies!Q43</f>
        <v>110.24799999999999</v>
      </c>
    </row>
    <row r="7" spans="1:10" ht="28.9" customHeight="1" x14ac:dyDescent="0.25">
      <c r="A7" s="14" t="s">
        <v>957</v>
      </c>
      <c r="B7" t="s">
        <v>955</v>
      </c>
      <c r="C7" s="36"/>
      <c r="D7" s="36"/>
      <c r="E7" s="36"/>
      <c r="F7" s="36"/>
      <c r="G7" s="36"/>
      <c r="H7" s="36"/>
      <c r="J7" s="144">
        <f>forecast!C21</f>
        <v>283.39999999999998</v>
      </c>
    </row>
    <row r="8" spans="1:10" x14ac:dyDescent="0.25">
      <c r="A8" t="s">
        <v>958</v>
      </c>
      <c r="B8" t="s">
        <v>956</v>
      </c>
      <c r="C8" s="36"/>
      <c r="D8" s="36"/>
      <c r="E8" s="36"/>
      <c r="F8" s="36"/>
      <c r="G8" s="36"/>
      <c r="H8" s="36"/>
      <c r="J8" s="144">
        <f>forecast!C22</f>
        <v>155.4</v>
      </c>
    </row>
    <row r="9" spans="1:10" x14ac:dyDescent="0.25">
      <c r="C9" s="36"/>
      <c r="D9" s="36"/>
      <c r="E9" s="36"/>
      <c r="F9" s="36"/>
      <c r="G9" s="36"/>
      <c r="H9" s="36"/>
    </row>
    <row r="10" spans="1:10"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14"/>
  <sheetViews>
    <sheetView topLeftCell="B1" zoomScale="70" workbookViewId="0">
      <selection activeCell="J22" sqref="J22"/>
    </sheetView>
  </sheetViews>
  <sheetFormatPr defaultColWidth="11.42578125" defaultRowHeight="15" x14ac:dyDescent="0.25"/>
  <cols>
    <col min="1" max="2" width="70.7109375" customWidth="1"/>
  </cols>
  <sheetData>
    <row r="1" spans="1:45" ht="15.6" customHeight="1" x14ac:dyDescent="0.25">
      <c r="A1" s="929" t="s">
        <v>299</v>
      </c>
      <c r="B1" s="929"/>
      <c r="C1" s="929"/>
      <c r="D1" s="929"/>
      <c r="E1" s="929"/>
      <c r="F1" s="929"/>
      <c r="G1" s="929"/>
      <c r="H1" s="929"/>
      <c r="I1" s="929"/>
      <c r="J1" s="929"/>
      <c r="K1" s="929"/>
      <c r="L1" s="929"/>
      <c r="M1" s="929"/>
      <c r="N1" s="929"/>
      <c r="O1" s="929"/>
    </row>
    <row r="2" spans="1:45" ht="31.15" customHeight="1" x14ac:dyDescent="0.25">
      <c r="A2" s="147"/>
      <c r="B2" s="147" t="s">
        <v>179</v>
      </c>
      <c r="C2" s="154">
        <v>1</v>
      </c>
      <c r="D2" s="154">
        <f>C2+1</f>
        <v>2</v>
      </c>
      <c r="E2" s="154">
        <f t="shared" ref="E2:N2" si="0">D2+1</f>
        <v>3</v>
      </c>
      <c r="F2" s="154">
        <f t="shared" si="0"/>
        <v>4</v>
      </c>
      <c r="G2" s="154">
        <f t="shared" si="0"/>
        <v>5</v>
      </c>
      <c r="H2" s="154">
        <f t="shared" si="0"/>
        <v>6</v>
      </c>
      <c r="I2" s="154">
        <f t="shared" si="0"/>
        <v>7</v>
      </c>
      <c r="J2" s="154">
        <f t="shared" si="0"/>
        <v>8</v>
      </c>
      <c r="K2" s="154">
        <f t="shared" si="0"/>
        <v>9</v>
      </c>
      <c r="L2" s="154">
        <f t="shared" si="0"/>
        <v>10</v>
      </c>
      <c r="M2" s="154">
        <f t="shared" si="0"/>
        <v>11</v>
      </c>
      <c r="N2" s="154">
        <f t="shared" si="0"/>
        <v>12</v>
      </c>
      <c r="O2" s="152" t="s">
        <v>300</v>
      </c>
    </row>
    <row r="3" spans="1:45" ht="15.6" customHeight="1" x14ac:dyDescent="0.25">
      <c r="A3" s="149" t="s">
        <v>301</v>
      </c>
      <c r="B3" s="149" t="s">
        <v>302</v>
      </c>
      <c r="C3" s="156">
        <v>0.22500000000000001</v>
      </c>
      <c r="D3" s="156">
        <v>0.22500000000000001</v>
      </c>
      <c r="E3" s="156">
        <v>0.22500000000000001</v>
      </c>
      <c r="F3" s="156">
        <v>0.22500000000000001</v>
      </c>
      <c r="G3" s="155">
        <v>0</v>
      </c>
      <c r="H3" s="155">
        <v>0</v>
      </c>
      <c r="I3" s="155">
        <v>0</v>
      </c>
      <c r="J3" s="155">
        <v>0</v>
      </c>
      <c r="K3" s="155">
        <v>0</v>
      </c>
      <c r="L3" s="155">
        <v>0</v>
      </c>
      <c r="M3" s="155">
        <v>0</v>
      </c>
      <c r="N3" s="155">
        <v>0</v>
      </c>
      <c r="O3" s="148"/>
      <c r="P3" s="156"/>
      <c r="Q3" s="156"/>
      <c r="R3" s="156"/>
      <c r="S3" s="156"/>
      <c r="T3" s="155"/>
      <c r="U3" s="155"/>
      <c r="V3" s="155"/>
      <c r="W3" s="155"/>
      <c r="X3" s="155"/>
      <c r="Y3" s="155"/>
      <c r="Z3" s="155"/>
      <c r="AA3" s="155"/>
      <c r="AC3" s="73"/>
      <c r="AD3" s="73"/>
      <c r="AE3" s="73"/>
      <c r="AF3" s="73"/>
      <c r="AG3" s="73"/>
      <c r="AH3" s="73"/>
      <c r="AI3" s="73"/>
      <c r="AJ3" s="73"/>
      <c r="AK3" s="73"/>
      <c r="AL3" s="73"/>
      <c r="AM3" s="73"/>
      <c r="AN3" s="73"/>
      <c r="AO3" s="73"/>
      <c r="AP3" s="73"/>
      <c r="AQ3" s="73"/>
      <c r="AR3" s="73"/>
      <c r="AS3" s="73"/>
    </row>
    <row r="4" spans="1:45" ht="15.6" customHeight="1" x14ac:dyDescent="0.25">
      <c r="A4" s="151" t="s">
        <v>303</v>
      </c>
      <c r="B4" s="151" t="s">
        <v>304</v>
      </c>
      <c r="C4" s="156">
        <v>-3.3333333333333333E-2</v>
      </c>
      <c r="D4" s="156">
        <v>-3.3333333333333333E-2</v>
      </c>
      <c r="E4" s="156">
        <v>-3.3333333333333333E-2</v>
      </c>
      <c r="F4" s="156">
        <v>-3.3333333333333333E-2</v>
      </c>
      <c r="G4" s="156">
        <v>-3.3333333333333333E-2</v>
      </c>
      <c r="H4" s="156">
        <v>-3.3333333333333333E-2</v>
      </c>
      <c r="I4" s="156">
        <v>-3.3333333333333333E-2</v>
      </c>
      <c r="J4" s="156">
        <v>-3.3333333333333333E-2</v>
      </c>
      <c r="K4" s="156">
        <v>-3.3333333333333333E-2</v>
      </c>
      <c r="L4" s="156">
        <v>-3.3333333333333333E-2</v>
      </c>
      <c r="M4" s="156">
        <v>-3.3333333333333333E-2</v>
      </c>
      <c r="N4" s="156">
        <v>-3.3333333333333333E-2</v>
      </c>
      <c r="O4" s="153">
        <f>SUM(C4:N4)</f>
        <v>-0.39999999999999997</v>
      </c>
      <c r="P4" s="156"/>
      <c r="Q4" s="156"/>
      <c r="R4" s="156"/>
      <c r="S4" s="156"/>
      <c r="T4" s="156"/>
      <c r="U4" s="156"/>
      <c r="V4" s="156"/>
      <c r="W4" s="156"/>
      <c r="X4" s="156"/>
      <c r="Y4" s="156"/>
      <c r="Z4" s="156"/>
      <c r="AA4" s="156"/>
      <c r="AC4" s="73"/>
      <c r="AD4" s="73"/>
      <c r="AE4" s="73"/>
      <c r="AF4" s="73"/>
      <c r="AG4" s="73"/>
      <c r="AH4" s="73"/>
      <c r="AI4" s="73"/>
      <c r="AJ4" s="73"/>
      <c r="AK4" s="73"/>
      <c r="AL4" s="73"/>
      <c r="AM4" s="73"/>
      <c r="AN4" s="73"/>
    </row>
    <row r="5" spans="1:45" ht="15.6" customHeight="1" x14ac:dyDescent="0.25">
      <c r="A5" s="151" t="s">
        <v>305</v>
      </c>
      <c r="B5" s="151" t="s">
        <v>306</v>
      </c>
      <c r="C5" s="156">
        <v>-0.12</v>
      </c>
      <c r="D5" s="156">
        <v>-0.12</v>
      </c>
      <c r="E5" s="156">
        <v>-0.06</v>
      </c>
      <c r="F5" s="156">
        <v>-0.06</v>
      </c>
      <c r="G5" s="156">
        <v>-0.06</v>
      </c>
      <c r="H5" s="156">
        <v>-0.06</v>
      </c>
      <c r="I5" s="156">
        <v>-0.06</v>
      </c>
      <c r="J5" s="156">
        <v>-0.06</v>
      </c>
      <c r="K5" s="156">
        <v>0</v>
      </c>
      <c r="L5" s="156">
        <v>0</v>
      </c>
      <c r="M5" s="156">
        <v>0</v>
      </c>
      <c r="N5" s="156">
        <v>0</v>
      </c>
      <c r="O5" s="153">
        <f t="shared" ref="O5:O13" si="1">SUM(C5:N5)</f>
        <v>-0.60000000000000009</v>
      </c>
      <c r="P5" s="156"/>
      <c r="Q5" s="156"/>
      <c r="R5" s="156"/>
      <c r="S5" s="156"/>
      <c r="T5" s="156"/>
      <c r="U5" s="156"/>
      <c r="V5" s="156"/>
      <c r="W5" s="156"/>
      <c r="X5" s="156"/>
      <c r="Y5" s="156"/>
      <c r="Z5" s="156"/>
      <c r="AA5" s="156"/>
      <c r="AC5" s="73"/>
      <c r="AD5" s="73"/>
      <c r="AE5" s="73"/>
      <c r="AF5" s="73"/>
      <c r="AG5" s="73"/>
      <c r="AH5" s="73"/>
      <c r="AI5" s="73"/>
      <c r="AJ5" s="73"/>
      <c r="AK5" s="73"/>
      <c r="AL5" s="73"/>
      <c r="AM5" s="73"/>
      <c r="AN5" s="73"/>
    </row>
    <row r="6" spans="1:45" ht="15.6" customHeight="1" x14ac:dyDescent="0.25">
      <c r="A6" s="149" t="s">
        <v>307</v>
      </c>
      <c r="B6" s="149" t="s">
        <v>213</v>
      </c>
      <c r="C6" s="156">
        <v>0.24499999999999997</v>
      </c>
      <c r="D6" s="156">
        <v>0.105</v>
      </c>
      <c r="E6" s="156">
        <v>5.5999999999999994E-2</v>
      </c>
      <c r="F6" s="156">
        <v>5.5999999999999994E-2</v>
      </c>
      <c r="G6" s="156">
        <v>5.5999999999999994E-2</v>
      </c>
      <c r="H6" s="156">
        <v>5.5999999999999994E-2</v>
      </c>
      <c r="I6" s="156">
        <v>5.5999999999999994E-2</v>
      </c>
      <c r="J6" s="156">
        <v>5.5999999999999994E-2</v>
      </c>
      <c r="K6" s="156">
        <v>0</v>
      </c>
      <c r="L6" s="156">
        <v>0</v>
      </c>
      <c r="M6" s="156">
        <v>0</v>
      </c>
      <c r="N6" s="156">
        <v>0</v>
      </c>
      <c r="O6" s="153">
        <f t="shared" si="1"/>
        <v>0.68600000000000017</v>
      </c>
      <c r="P6" s="156"/>
      <c r="Q6" s="156"/>
      <c r="R6" s="156"/>
      <c r="S6" s="156"/>
      <c r="T6" s="156"/>
      <c r="U6" s="156"/>
      <c r="V6" s="156"/>
      <c r="W6" s="156"/>
      <c r="X6" s="156"/>
      <c r="Y6" s="156"/>
      <c r="Z6" s="156"/>
      <c r="AA6" s="156"/>
      <c r="AC6" s="73"/>
      <c r="AD6" s="73"/>
      <c r="AE6" s="73"/>
      <c r="AF6" s="73"/>
      <c r="AG6" s="73"/>
      <c r="AH6" s="73"/>
      <c r="AI6" s="73"/>
      <c r="AJ6" s="73"/>
      <c r="AK6" s="73"/>
      <c r="AL6" s="73"/>
      <c r="AM6" s="73"/>
      <c r="AN6" s="73"/>
    </row>
    <row r="7" spans="1:45" ht="15.6" customHeight="1" x14ac:dyDescent="0.25">
      <c r="A7" s="149" t="s">
        <v>308</v>
      </c>
      <c r="B7" s="149" t="s">
        <v>309</v>
      </c>
      <c r="C7" s="156">
        <v>0.315</v>
      </c>
      <c r="D7" s="156">
        <v>0.315</v>
      </c>
      <c r="E7" s="156">
        <v>9.0000000000000011E-2</v>
      </c>
      <c r="F7" s="156">
        <v>9.0000000000000011E-2</v>
      </c>
      <c r="G7" s="156">
        <v>4.5000000000000005E-2</v>
      </c>
      <c r="H7" s="156">
        <v>4.5000000000000005E-2</v>
      </c>
      <c r="I7" s="156">
        <v>0</v>
      </c>
      <c r="J7" s="156">
        <v>0</v>
      </c>
      <c r="K7" s="156">
        <v>0</v>
      </c>
      <c r="L7" s="156">
        <v>0</v>
      </c>
      <c r="M7" s="156">
        <v>0</v>
      </c>
      <c r="N7" s="156">
        <v>0</v>
      </c>
      <c r="O7" s="153">
        <f t="shared" si="1"/>
        <v>0.9</v>
      </c>
      <c r="P7" s="156"/>
      <c r="Q7" s="156"/>
      <c r="R7" s="156"/>
      <c r="S7" s="156"/>
      <c r="T7" s="156"/>
      <c r="U7" s="156"/>
      <c r="V7" s="156"/>
      <c r="W7" s="156"/>
      <c r="X7" s="156"/>
      <c r="Y7" s="156"/>
      <c r="Z7" s="156"/>
      <c r="AA7" s="156"/>
      <c r="AC7" s="73"/>
      <c r="AD7" s="73"/>
      <c r="AE7" s="73"/>
      <c r="AF7" s="73"/>
      <c r="AG7" s="73"/>
      <c r="AH7" s="73"/>
      <c r="AI7" s="73"/>
      <c r="AJ7" s="73"/>
      <c r="AK7" s="73"/>
      <c r="AL7" s="73"/>
      <c r="AM7" s="73"/>
      <c r="AN7" s="73"/>
    </row>
    <row r="8" spans="1:45" ht="15.6" customHeight="1" x14ac:dyDescent="0.25">
      <c r="A8" s="149" t="s">
        <v>310</v>
      </c>
      <c r="B8" s="149" t="s">
        <v>311</v>
      </c>
      <c r="C8" s="156">
        <v>0.22500000000000001</v>
      </c>
      <c r="D8" s="156">
        <v>0.22500000000000001</v>
      </c>
      <c r="E8" s="156">
        <v>0.22500000000000001</v>
      </c>
      <c r="F8" s="156">
        <v>0.22500000000000001</v>
      </c>
      <c r="G8" s="156">
        <v>0</v>
      </c>
      <c r="H8" s="156">
        <v>0</v>
      </c>
      <c r="I8" s="156">
        <v>0</v>
      </c>
      <c r="J8" s="156">
        <v>0</v>
      </c>
      <c r="K8" s="156">
        <v>0</v>
      </c>
      <c r="L8" s="156">
        <v>0</v>
      </c>
      <c r="M8" s="156">
        <v>0</v>
      </c>
      <c r="N8" s="156">
        <v>0</v>
      </c>
      <c r="O8" s="153">
        <f t="shared" si="1"/>
        <v>0.9</v>
      </c>
      <c r="P8" s="156"/>
      <c r="Q8" s="156"/>
      <c r="R8" s="156"/>
      <c r="S8" s="156"/>
      <c r="T8" s="156"/>
      <c r="U8" s="156"/>
      <c r="V8" s="156"/>
      <c r="W8" s="156"/>
      <c r="X8" s="156"/>
      <c r="Y8" s="156"/>
      <c r="Z8" s="156"/>
      <c r="AA8" s="156"/>
      <c r="AC8" s="73"/>
      <c r="AD8" s="73"/>
      <c r="AE8" s="73"/>
      <c r="AF8" s="73"/>
      <c r="AG8" s="73"/>
      <c r="AH8" s="73"/>
      <c r="AI8" s="73"/>
      <c r="AJ8" s="73"/>
      <c r="AK8" s="73"/>
      <c r="AL8" s="73"/>
      <c r="AM8" s="73"/>
      <c r="AN8" s="73"/>
    </row>
    <row r="9" spans="1:45" ht="15.6" customHeight="1" x14ac:dyDescent="0.25">
      <c r="A9" s="149" t="s">
        <v>312</v>
      </c>
      <c r="B9" s="149" t="s">
        <v>313</v>
      </c>
      <c r="C9" s="156">
        <v>4.9500000000000002E-2</v>
      </c>
      <c r="D9" s="156">
        <v>4.2750000000000003E-2</v>
      </c>
      <c r="E9" s="156">
        <v>4.0500000000000001E-2</v>
      </c>
      <c r="F9" s="156">
        <v>3.8250000000000006E-2</v>
      </c>
      <c r="G9" s="156">
        <v>3.6000000000000004E-2</v>
      </c>
      <c r="H9" s="156">
        <v>3.6000000000000004E-2</v>
      </c>
      <c r="I9" s="156">
        <v>3.6000000000000004E-2</v>
      </c>
      <c r="J9" s="156">
        <v>3.6000000000000004E-2</v>
      </c>
      <c r="K9" s="156">
        <v>3.3750000000000002E-2</v>
      </c>
      <c r="L9" s="156">
        <v>3.3750000000000002E-2</v>
      </c>
      <c r="M9" s="156">
        <v>3.3750000000000002E-2</v>
      </c>
      <c r="N9" s="156">
        <v>3.3750000000000002E-2</v>
      </c>
      <c r="O9" s="153">
        <f t="shared" si="1"/>
        <v>0.45000000000000007</v>
      </c>
      <c r="P9" s="156"/>
      <c r="Q9" s="156"/>
      <c r="R9" s="156"/>
      <c r="S9" s="156"/>
      <c r="T9" s="156"/>
      <c r="U9" s="156"/>
      <c r="V9" s="156"/>
      <c r="W9" s="156"/>
      <c r="X9" s="156"/>
      <c r="Y9" s="156"/>
      <c r="Z9" s="156"/>
      <c r="AA9" s="156"/>
      <c r="AC9" s="73"/>
      <c r="AD9" s="73"/>
      <c r="AE9" s="73"/>
      <c r="AF9" s="73"/>
      <c r="AG9" s="73"/>
      <c r="AH9" s="73"/>
      <c r="AI9" s="73"/>
      <c r="AJ9" s="73"/>
      <c r="AK9" s="73"/>
      <c r="AL9" s="73"/>
      <c r="AM9" s="73"/>
      <c r="AN9" s="73"/>
    </row>
    <row r="10" spans="1:45" ht="15.6" customHeight="1" x14ac:dyDescent="0.25">
      <c r="A10" s="149" t="s">
        <v>314</v>
      </c>
      <c r="B10" s="149" t="s">
        <v>215</v>
      </c>
      <c r="C10" s="156">
        <v>0.14000000000000001</v>
      </c>
      <c r="D10" s="156">
        <v>0.1</v>
      </c>
      <c r="E10" s="156">
        <v>0.1</v>
      </c>
      <c r="F10" s="156">
        <v>0.05</v>
      </c>
      <c r="G10" s="156">
        <v>0.05</v>
      </c>
      <c r="H10" s="156">
        <v>0.05</v>
      </c>
      <c r="I10" s="156">
        <v>0.05</v>
      </c>
      <c r="J10" s="156">
        <v>0.05</v>
      </c>
      <c r="K10" s="156">
        <v>0.05</v>
      </c>
      <c r="L10" s="156">
        <v>0</v>
      </c>
      <c r="M10" s="156">
        <v>0</v>
      </c>
      <c r="N10" s="156">
        <v>0</v>
      </c>
      <c r="O10" s="153">
        <f>SUM(C10:N10)</f>
        <v>0.64000000000000012</v>
      </c>
      <c r="P10" s="156"/>
      <c r="Q10" s="156"/>
      <c r="R10" s="156"/>
      <c r="S10" s="156"/>
      <c r="T10" s="156"/>
      <c r="U10" s="156"/>
      <c r="V10" s="156"/>
      <c r="W10" s="156"/>
      <c r="X10" s="156"/>
      <c r="Y10" s="156"/>
      <c r="Z10" s="156"/>
      <c r="AA10" s="156"/>
      <c r="AC10" s="73"/>
      <c r="AD10" s="73"/>
      <c r="AE10" s="73"/>
      <c r="AF10" s="73"/>
      <c r="AG10" s="73"/>
      <c r="AH10" s="73"/>
      <c r="AI10" s="73"/>
      <c r="AJ10" s="73"/>
      <c r="AK10" s="73"/>
      <c r="AL10" s="73"/>
      <c r="AM10" s="73"/>
      <c r="AN10" s="73"/>
    </row>
    <row r="11" spans="1:45" ht="15.6" customHeight="1" x14ac:dyDescent="0.25">
      <c r="A11" s="149" t="s">
        <v>315</v>
      </c>
      <c r="B11" s="149" t="s">
        <v>316</v>
      </c>
      <c r="C11" s="156">
        <v>0.2</v>
      </c>
      <c r="D11" s="156">
        <v>0.17</v>
      </c>
      <c r="E11" s="156">
        <v>0.16</v>
      </c>
      <c r="F11" s="156">
        <v>0.15</v>
      </c>
      <c r="G11" s="156">
        <v>0.09</v>
      </c>
      <c r="H11" s="156">
        <v>0.05</v>
      </c>
      <c r="I11" s="156">
        <v>0.05</v>
      </c>
      <c r="J11" s="156">
        <v>0.04</v>
      </c>
      <c r="K11" s="156">
        <v>0</v>
      </c>
      <c r="L11" s="156">
        <v>0</v>
      </c>
      <c r="M11" s="156">
        <v>0</v>
      </c>
      <c r="N11" s="156">
        <v>0</v>
      </c>
      <c r="O11" s="153">
        <f>SUM(C11:N11)</f>
        <v>0.91000000000000014</v>
      </c>
      <c r="P11" s="156"/>
      <c r="Q11" s="156"/>
      <c r="R11" s="156"/>
      <c r="S11" s="156"/>
      <c r="T11" s="156"/>
      <c r="U11" s="156"/>
      <c r="V11" s="156"/>
      <c r="W11" s="156"/>
      <c r="X11" s="156"/>
      <c r="Y11" s="156"/>
      <c r="Z11" s="156"/>
      <c r="AA11" s="156"/>
      <c r="AC11" s="73"/>
      <c r="AD11" s="73"/>
      <c r="AE11" s="73"/>
      <c r="AF11" s="73"/>
      <c r="AG11" s="73"/>
      <c r="AH11" s="73"/>
      <c r="AI11" s="73"/>
      <c r="AJ11" s="73"/>
      <c r="AK11" s="73"/>
      <c r="AL11" s="73"/>
      <c r="AM11" s="73"/>
      <c r="AN11" s="73"/>
    </row>
    <row r="12" spans="1:45" ht="46.9" customHeight="1" x14ac:dyDescent="0.25">
      <c r="A12" s="150" t="s">
        <v>317</v>
      </c>
      <c r="B12" s="150" t="s">
        <v>318</v>
      </c>
      <c r="C12" s="156">
        <v>0.2</v>
      </c>
      <c r="D12" s="156">
        <v>0.17</v>
      </c>
      <c r="E12" s="156">
        <v>0.16</v>
      </c>
      <c r="F12" s="156">
        <v>0.15</v>
      </c>
      <c r="G12" s="156">
        <v>0.09</v>
      </c>
      <c r="H12" s="156">
        <v>0.05</v>
      </c>
      <c r="I12" s="156">
        <v>0.05</v>
      </c>
      <c r="J12" s="156">
        <v>0.04</v>
      </c>
      <c r="K12" s="156">
        <v>0</v>
      </c>
      <c r="L12" s="156">
        <v>0</v>
      </c>
      <c r="M12" s="156">
        <v>0</v>
      </c>
      <c r="N12" s="156">
        <v>0</v>
      </c>
      <c r="O12" s="153">
        <f t="shared" si="1"/>
        <v>0.91000000000000014</v>
      </c>
      <c r="P12" s="156"/>
      <c r="Q12" s="156"/>
      <c r="R12" s="156"/>
      <c r="S12" s="156"/>
      <c r="T12" s="156"/>
      <c r="U12" s="156"/>
      <c r="V12" s="156"/>
      <c r="W12" s="156"/>
      <c r="X12" s="156"/>
      <c r="Y12" s="156"/>
      <c r="Z12" s="156"/>
      <c r="AA12" s="156"/>
      <c r="AC12" s="73"/>
      <c r="AD12" s="73"/>
      <c r="AE12" s="73"/>
      <c r="AF12" s="73"/>
      <c r="AG12" s="73"/>
      <c r="AH12" s="73"/>
      <c r="AI12" s="73"/>
      <c r="AJ12" s="73"/>
      <c r="AK12" s="73"/>
      <c r="AL12" s="73"/>
      <c r="AM12" s="73"/>
      <c r="AN12" s="73"/>
    </row>
    <row r="13" spans="1:45" ht="31.15" customHeight="1" x14ac:dyDescent="0.25">
      <c r="A13" s="150" t="s">
        <v>319</v>
      </c>
      <c r="B13" s="150" t="s">
        <v>320</v>
      </c>
      <c r="C13" s="156">
        <v>0.14000000000000001</v>
      </c>
      <c r="D13" s="156">
        <v>0.1</v>
      </c>
      <c r="E13" s="156">
        <v>0.1</v>
      </c>
      <c r="F13" s="156">
        <v>0.05</v>
      </c>
      <c r="G13" s="156">
        <v>0.05</v>
      </c>
      <c r="H13" s="156">
        <v>0.05</v>
      </c>
      <c r="I13" s="156">
        <v>0.05</v>
      </c>
      <c r="J13" s="156">
        <v>0.05</v>
      </c>
      <c r="K13" s="156">
        <v>0.05</v>
      </c>
      <c r="L13" s="156">
        <v>0</v>
      </c>
      <c r="M13" s="156">
        <v>0</v>
      </c>
      <c r="N13" s="156">
        <v>0</v>
      </c>
      <c r="O13" s="153">
        <f t="shared" si="1"/>
        <v>0.64000000000000012</v>
      </c>
      <c r="P13" s="156"/>
      <c r="Q13" s="156"/>
      <c r="R13" s="156"/>
      <c r="S13" s="156"/>
      <c r="T13" s="156"/>
      <c r="U13" s="156"/>
      <c r="V13" s="156"/>
      <c r="W13" s="156"/>
      <c r="X13" s="156"/>
      <c r="Y13" s="156"/>
      <c r="Z13" s="156"/>
      <c r="AA13" s="156"/>
      <c r="AC13" s="73"/>
      <c r="AD13" s="73"/>
      <c r="AE13" s="73"/>
      <c r="AF13" s="73"/>
      <c r="AG13" s="73"/>
      <c r="AH13" s="73"/>
      <c r="AI13" s="73"/>
      <c r="AJ13" s="73"/>
      <c r="AK13" s="73"/>
      <c r="AL13" s="73"/>
      <c r="AM13" s="73"/>
      <c r="AN13" s="73"/>
    </row>
    <row r="14" spans="1:45" ht="46.9" customHeight="1" x14ac:dyDescent="0.25">
      <c r="A14" s="150" t="s">
        <v>321</v>
      </c>
      <c r="B14" s="150" t="s">
        <v>322</v>
      </c>
      <c r="C14" s="156">
        <v>0.04</v>
      </c>
      <c r="D14" s="156">
        <v>0.04</v>
      </c>
      <c r="E14" s="156">
        <v>1.7000000000000001E-2</v>
      </c>
      <c r="F14" s="156">
        <v>1.7000000000000001E-2</v>
      </c>
      <c r="G14" s="156">
        <v>1.7000000000000001E-2</v>
      </c>
      <c r="H14" s="156">
        <v>1.7000000000000001E-2</v>
      </c>
      <c r="I14" s="156">
        <v>1.7000000000000001E-2</v>
      </c>
      <c r="J14" s="156">
        <v>1.7000000000000001E-2</v>
      </c>
      <c r="K14" s="156">
        <v>1.7000000000000001E-2</v>
      </c>
      <c r="L14" s="156">
        <v>1.7000000000000001E-2</v>
      </c>
      <c r="M14" s="156">
        <v>1.7000000000000001E-2</v>
      </c>
      <c r="N14" s="156">
        <v>1.7000000000000001E-2</v>
      </c>
      <c r="O14" s="153">
        <f>SUM(C14:N14)</f>
        <v>0.25000000000000011</v>
      </c>
      <c r="P14" s="156"/>
      <c r="Q14" s="156"/>
      <c r="R14" s="156"/>
      <c r="S14" s="156"/>
      <c r="T14" s="156"/>
      <c r="U14" s="156"/>
      <c r="V14" s="156"/>
      <c r="W14" s="156"/>
      <c r="X14" s="156"/>
      <c r="Y14" s="156"/>
      <c r="Z14" s="156"/>
      <c r="AA14" s="156"/>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AL46"/>
  <sheetViews>
    <sheetView topLeftCell="A19" zoomScaleNormal="100" workbookViewId="0">
      <selection activeCell="P31" sqref="P31"/>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930" t="s">
        <v>53</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2:30" ht="14.25" customHeight="1" x14ac:dyDescent="0.25">
      <c r="B2" s="931" t="s">
        <v>323</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row>
    <row r="3" spans="2:30"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row>
    <row r="4" spans="2:30"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row>
    <row r="5" spans="2:30" x14ac:dyDescent="0.25">
      <c r="B5" s="931"/>
      <c r="C5" s="931"/>
      <c r="D5" s="931"/>
      <c r="E5" s="931"/>
      <c r="F5" s="931"/>
      <c r="G5" s="931"/>
      <c r="H5" s="931"/>
      <c r="I5" s="931"/>
      <c r="J5" s="931"/>
      <c r="K5" s="931"/>
      <c r="L5" s="931"/>
      <c r="M5" s="931"/>
      <c r="N5" s="931"/>
      <c r="O5" s="931"/>
      <c r="P5" s="931"/>
      <c r="Q5" s="931"/>
      <c r="R5" s="931"/>
      <c r="S5" s="931"/>
      <c r="T5" s="931"/>
      <c r="U5" s="931"/>
      <c r="V5" s="931"/>
      <c r="W5" s="931"/>
      <c r="X5" s="931"/>
      <c r="Y5" s="931"/>
      <c r="Z5" s="931"/>
      <c r="AA5" s="931"/>
      <c r="AB5" s="931"/>
      <c r="AC5" s="931"/>
    </row>
    <row r="6" spans="2:30" ht="38.65" customHeight="1" x14ac:dyDescent="0.25">
      <c r="B6" s="931"/>
      <c r="C6" s="931"/>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row>
    <row r="7" spans="2:30" x14ac:dyDescent="0.25">
      <c r="B7" s="197"/>
      <c r="C7" s="197"/>
      <c r="D7" s="197"/>
      <c r="E7" s="197"/>
      <c r="F7" s="197"/>
      <c r="G7" s="197"/>
      <c r="H7" s="198"/>
      <c r="I7" s="198"/>
      <c r="J7" s="198"/>
      <c r="K7" s="198"/>
      <c r="L7" s="198"/>
      <c r="M7" s="198"/>
      <c r="N7" s="198"/>
      <c r="O7" s="198"/>
      <c r="P7" s="198"/>
      <c r="Q7" s="198"/>
      <c r="R7" s="198"/>
      <c r="S7" s="198"/>
      <c r="T7" s="198"/>
      <c r="U7" s="198"/>
      <c r="V7" s="198"/>
      <c r="W7" s="198"/>
      <c r="X7" s="198"/>
      <c r="Y7" s="198"/>
    </row>
    <row r="8" spans="2:30" ht="14.65" customHeight="1" x14ac:dyDescent="0.25">
      <c r="B8" s="935" t="s">
        <v>324</v>
      </c>
      <c r="C8" s="936"/>
      <c r="D8" s="945" t="s">
        <v>325</v>
      </c>
      <c r="E8" s="946"/>
      <c r="F8" s="946"/>
      <c r="G8" s="946"/>
      <c r="H8" s="946"/>
      <c r="I8" s="946"/>
      <c r="J8" s="946"/>
      <c r="K8" s="946"/>
      <c r="L8" s="946"/>
      <c r="M8" s="946"/>
      <c r="N8" s="946"/>
      <c r="O8" s="946"/>
      <c r="P8" s="946"/>
      <c r="Q8" s="947"/>
      <c r="R8" s="942" t="s">
        <v>326</v>
      </c>
      <c r="S8" s="943"/>
      <c r="T8" s="943"/>
      <c r="U8" s="943"/>
      <c r="V8" s="943"/>
      <c r="W8" s="943"/>
      <c r="X8" s="943"/>
      <c r="Y8" s="943"/>
      <c r="Z8" s="943"/>
      <c r="AA8" s="943"/>
      <c r="AB8" s="943"/>
      <c r="AC8" s="944"/>
    </row>
    <row r="9" spans="2:30" ht="12.75" customHeight="1" x14ac:dyDescent="0.25">
      <c r="B9" s="937"/>
      <c r="C9" s="938"/>
      <c r="D9" s="178">
        <v>2018</v>
      </c>
      <c r="E9" s="932">
        <v>2019</v>
      </c>
      <c r="F9" s="933"/>
      <c r="G9" s="933"/>
      <c r="H9" s="934"/>
      <c r="I9" s="933">
        <v>2020</v>
      </c>
      <c r="J9" s="933"/>
      <c r="K9" s="933"/>
      <c r="L9" s="933"/>
      <c r="M9" s="932">
        <v>2021</v>
      </c>
      <c r="N9" s="933"/>
      <c r="O9" s="933"/>
      <c r="P9" s="934"/>
      <c r="Q9" s="172"/>
      <c r="R9" s="171">
        <v>2022</v>
      </c>
      <c r="S9" s="171"/>
      <c r="T9" s="171"/>
      <c r="U9" s="939">
        <v>2023</v>
      </c>
      <c r="V9" s="940"/>
      <c r="W9" s="940"/>
      <c r="X9" s="941"/>
      <c r="Y9" s="939">
        <v>2024</v>
      </c>
      <c r="Z9" s="940"/>
      <c r="AA9" s="940"/>
      <c r="AB9" s="940"/>
      <c r="AC9" s="185">
        <v>2025</v>
      </c>
    </row>
    <row r="10" spans="2:30" ht="14.65" customHeight="1" x14ac:dyDescent="0.25">
      <c r="B10" s="937"/>
      <c r="C10" s="938"/>
      <c r="D10" s="180" t="s">
        <v>327</v>
      </c>
      <c r="E10" s="180" t="s">
        <v>328</v>
      </c>
      <c r="F10" s="177" t="s">
        <v>329</v>
      </c>
      <c r="G10" s="177" t="s">
        <v>238</v>
      </c>
      <c r="H10" s="179" t="s">
        <v>327</v>
      </c>
      <c r="I10" s="177" t="s">
        <v>328</v>
      </c>
      <c r="J10" s="177" t="s">
        <v>329</v>
      </c>
      <c r="K10" s="177" t="s">
        <v>238</v>
      </c>
      <c r="L10" s="177" t="s">
        <v>327</v>
      </c>
      <c r="M10" s="180" t="s">
        <v>328</v>
      </c>
      <c r="N10" s="177" t="s">
        <v>329</v>
      </c>
      <c r="O10" s="177" t="s">
        <v>238</v>
      </c>
      <c r="P10" s="184" t="s">
        <v>327</v>
      </c>
      <c r="Q10" s="173" t="s">
        <v>328</v>
      </c>
      <c r="R10" s="205" t="s">
        <v>329</v>
      </c>
      <c r="S10" s="205" t="s">
        <v>238</v>
      </c>
      <c r="T10" s="205" t="s">
        <v>327</v>
      </c>
      <c r="U10" s="204" t="s">
        <v>328</v>
      </c>
      <c r="V10" s="205" t="s">
        <v>329</v>
      </c>
      <c r="W10" s="205" t="s">
        <v>238</v>
      </c>
      <c r="X10" s="206" t="s">
        <v>327</v>
      </c>
      <c r="Y10" s="204" t="s">
        <v>328</v>
      </c>
      <c r="Z10" s="199" t="s">
        <v>329</v>
      </c>
      <c r="AA10" s="205" t="s">
        <v>238</v>
      </c>
      <c r="AB10" s="205" t="s">
        <v>327</v>
      </c>
      <c r="AC10" s="208" t="s">
        <v>328</v>
      </c>
    </row>
    <row r="11" spans="2:30" x14ac:dyDescent="0.25">
      <c r="B11" s="189" t="s">
        <v>102</v>
      </c>
      <c r="C11" s="213" t="s">
        <v>330</v>
      </c>
      <c r="D11" s="228">
        <f>'Haver Pivoted'!GO14</f>
        <v>27.1</v>
      </c>
      <c r="E11" s="221">
        <f>'Haver Pivoted'!GP14</f>
        <v>28.4</v>
      </c>
      <c r="F11" s="221">
        <f>'Haver Pivoted'!GQ14</f>
        <v>27.8</v>
      </c>
      <c r="G11" s="221">
        <f>'Haver Pivoted'!GR14</f>
        <v>27.4</v>
      </c>
      <c r="H11" s="221">
        <f>'Haver Pivoted'!GS14</f>
        <v>26.8</v>
      </c>
      <c r="I11" s="221">
        <f>'Haver Pivoted'!GT14</f>
        <v>39.5</v>
      </c>
      <c r="J11" s="221">
        <f>'Haver Pivoted'!GU14</f>
        <v>1039.4000000000001</v>
      </c>
      <c r="K11" s="221">
        <f>'Haver Pivoted'!GV14</f>
        <v>767.8</v>
      </c>
      <c r="L11" s="221">
        <f>'Haver Pivoted'!GW14</f>
        <v>299.89999999999998</v>
      </c>
      <c r="M11" s="221">
        <f>'Haver Pivoted'!GX14</f>
        <v>565.79999999999995</v>
      </c>
      <c r="N11" s="221">
        <f>'Haver Pivoted'!GY14</f>
        <v>480.4</v>
      </c>
      <c r="O11" s="221">
        <f>'Haver Pivoted'!GZ14</f>
        <v>272.3</v>
      </c>
      <c r="P11" s="226">
        <f>'Haver Pivoted'!HA14</f>
        <v>37.700000000000003</v>
      </c>
      <c r="Q11" s="182">
        <f>'Haver Pivoted'!HB14</f>
        <v>25.1</v>
      </c>
      <c r="R11" s="214">
        <f t="shared" ref="R11:AC11" si="0">R12+R13+R20</f>
        <v>23.11578947368421</v>
      </c>
      <c r="S11" s="214">
        <f t="shared" si="0"/>
        <v>23.642315789473685</v>
      </c>
      <c r="T11" s="214">
        <f t="shared" si="0"/>
        <v>23.353368421052632</v>
      </c>
      <c r="U11" s="214">
        <f t="shared" si="0"/>
        <v>23.513894736842104</v>
      </c>
      <c r="V11" s="214">
        <f t="shared" si="0"/>
        <v>23.873473684210527</v>
      </c>
      <c r="W11" s="214">
        <f t="shared" si="0"/>
        <v>24.239473684210527</v>
      </c>
      <c r="X11" s="214">
        <f t="shared" si="0"/>
        <v>24.624736842105264</v>
      </c>
      <c r="Y11" s="214">
        <f t="shared" si="0"/>
        <v>25.106315789473687</v>
      </c>
      <c r="Z11" s="214">
        <f t="shared" si="0"/>
        <v>25.504421052631582</v>
      </c>
      <c r="AA11" s="214">
        <f t="shared" si="0"/>
        <v>25.819052631578948</v>
      </c>
      <c r="AB11" s="214">
        <f t="shared" si="0"/>
        <v>26.210736842105263</v>
      </c>
      <c r="AC11" s="165">
        <f t="shared" si="0"/>
        <v>26.58957894736842</v>
      </c>
      <c r="AD11" s="183" t="s">
        <v>331</v>
      </c>
    </row>
    <row r="12" spans="2:30" x14ac:dyDescent="0.25">
      <c r="B12" s="186" t="s">
        <v>332</v>
      </c>
      <c r="C12" s="187" t="s">
        <v>333</v>
      </c>
      <c r="D12" s="222">
        <f>'Haver Pivoted'!GO63</f>
        <v>0</v>
      </c>
      <c r="E12" s="226">
        <f>'Haver Pivoted'!GP63</f>
        <v>0</v>
      </c>
      <c r="F12" s="226">
        <f>'Haver Pivoted'!GQ63</f>
        <v>0</v>
      </c>
      <c r="G12" s="226">
        <f>'Haver Pivoted'!GR63</f>
        <v>0</v>
      </c>
      <c r="H12" s="226">
        <f>'Haver Pivoted'!GS63</f>
        <v>0</v>
      </c>
      <c r="I12" s="226">
        <f>'Haver Pivoted'!GT63</f>
        <v>0</v>
      </c>
      <c r="J12" s="226">
        <f>'Haver Pivoted'!GU63</f>
        <v>0.1</v>
      </c>
      <c r="K12" s="226">
        <f>'Haver Pivoted'!GV63</f>
        <v>3.7</v>
      </c>
      <c r="L12" s="226">
        <f>'Haver Pivoted'!GW63</f>
        <v>12.9</v>
      </c>
      <c r="M12" s="226">
        <f>'Haver Pivoted'!GX63</f>
        <v>25</v>
      </c>
      <c r="N12" s="226">
        <f>'Haver Pivoted'!GY63</f>
        <v>5.8</v>
      </c>
      <c r="O12" s="226">
        <f>'Haver Pivoted'!GZ63</f>
        <v>5.7</v>
      </c>
      <c r="P12" s="226">
        <f>'Haver Pivoted'!HA63</f>
        <v>2.4</v>
      </c>
      <c r="Q12" s="182">
        <f>'Haver Pivoted'!HB63</f>
        <v>0.7</v>
      </c>
      <c r="R12" s="196">
        <v>0</v>
      </c>
      <c r="S12" s="196">
        <f>MAX(R12*(S22-5)/(R22-5),0)</f>
        <v>0</v>
      </c>
      <c r="T12" s="196">
        <f>MAX(S12*(T22-5)/(S22-5),0)</f>
        <v>0</v>
      </c>
      <c r="U12" s="196">
        <f t="shared" ref="U12:AC12" si="1">T12*U22/T22</f>
        <v>0</v>
      </c>
      <c r="V12" s="196">
        <f t="shared" si="1"/>
        <v>0</v>
      </c>
      <c r="W12" s="196">
        <f t="shared" si="1"/>
        <v>0</v>
      </c>
      <c r="X12" s="196">
        <f t="shared" si="1"/>
        <v>0</v>
      </c>
      <c r="Y12" s="196">
        <f t="shared" si="1"/>
        <v>0</v>
      </c>
      <c r="Z12" s="196">
        <f t="shared" si="1"/>
        <v>0</v>
      </c>
      <c r="AA12" s="196">
        <f t="shared" si="1"/>
        <v>0</v>
      </c>
      <c r="AB12" s="196">
        <f t="shared" si="1"/>
        <v>0</v>
      </c>
      <c r="AC12" s="158">
        <f t="shared" si="1"/>
        <v>0</v>
      </c>
    </row>
    <row r="13" spans="2:30" x14ac:dyDescent="0.25">
      <c r="B13" s="186" t="s">
        <v>334</v>
      </c>
      <c r="C13" s="187"/>
      <c r="D13" s="222"/>
      <c r="E13" s="226"/>
      <c r="F13" s="226"/>
      <c r="G13" s="226"/>
      <c r="H13" s="157">
        <f>SUM(H14:H17)</f>
        <v>0</v>
      </c>
      <c r="I13" s="157">
        <f t="shared" ref="I13:M13" si="2">SUM(I14:I17)</f>
        <v>0</v>
      </c>
      <c r="J13" s="157">
        <f t="shared" si="2"/>
        <v>779.7</v>
      </c>
      <c r="K13" s="157">
        <f t="shared" si="2"/>
        <v>582.6</v>
      </c>
      <c r="L13" s="157">
        <f t="shared" si="2"/>
        <v>216.5</v>
      </c>
      <c r="M13" s="157">
        <f t="shared" si="2"/>
        <v>505</v>
      </c>
      <c r="N13" s="227">
        <f>SUM(N14:N17)</f>
        <v>429.59999999999997</v>
      </c>
      <c r="O13" s="227">
        <f t="shared" ref="O13:AC13" si="3">SUM(O14:O17)</f>
        <v>230.4</v>
      </c>
      <c r="P13" s="227">
        <f t="shared" si="3"/>
        <v>8.1</v>
      </c>
      <c r="Q13" s="174">
        <v>0</v>
      </c>
      <c r="R13" s="196">
        <f t="shared" si="3"/>
        <v>0</v>
      </c>
      <c r="S13" s="196">
        <f t="shared" si="3"/>
        <v>0</v>
      </c>
      <c r="T13" s="196">
        <f t="shared" si="3"/>
        <v>0</v>
      </c>
      <c r="U13" s="196">
        <f t="shared" si="3"/>
        <v>0</v>
      </c>
      <c r="V13" s="196">
        <f t="shared" si="3"/>
        <v>0</v>
      </c>
      <c r="W13" s="196">
        <f t="shared" si="3"/>
        <v>0</v>
      </c>
      <c r="X13" s="196">
        <f t="shared" si="3"/>
        <v>0</v>
      </c>
      <c r="Y13" s="196">
        <f t="shared" si="3"/>
        <v>0</v>
      </c>
      <c r="Z13" s="196">
        <f t="shared" si="3"/>
        <v>0</v>
      </c>
      <c r="AA13" s="196">
        <f t="shared" si="3"/>
        <v>0</v>
      </c>
      <c r="AB13" s="196">
        <f t="shared" si="3"/>
        <v>0</v>
      </c>
      <c r="AC13" s="158">
        <f t="shared" si="3"/>
        <v>0</v>
      </c>
    </row>
    <row r="14" spans="2:30" ht="18" customHeight="1" x14ac:dyDescent="0.25">
      <c r="B14" s="188" t="s">
        <v>335</v>
      </c>
      <c r="C14" s="190" t="s">
        <v>333</v>
      </c>
      <c r="D14" s="217">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v>
      </c>
      <c r="N14" s="169">
        <f>'Haver Pivoted'!GY63</f>
        <v>5.8</v>
      </c>
      <c r="O14" s="169">
        <f>'Haver Pivoted'!GZ63</f>
        <v>5.7</v>
      </c>
      <c r="P14" s="169">
        <f>'Haver Pivoted'!HA63</f>
        <v>2.4</v>
      </c>
      <c r="Q14" s="164">
        <f>'Haver Pivoted'!HB63</f>
        <v>0.7</v>
      </c>
      <c r="R14" s="196">
        <f t="shared" ref="R14:X14" si="4">R12</f>
        <v>0</v>
      </c>
      <c r="S14" s="196">
        <f t="shared" si="4"/>
        <v>0</v>
      </c>
      <c r="T14" s="196">
        <f t="shared" si="4"/>
        <v>0</v>
      </c>
      <c r="U14" s="196">
        <f t="shared" si="4"/>
        <v>0</v>
      </c>
      <c r="V14" s="196">
        <f t="shared" si="4"/>
        <v>0</v>
      </c>
      <c r="W14" s="196">
        <f t="shared" si="4"/>
        <v>0</v>
      </c>
      <c r="X14" s="196">
        <f t="shared" si="4"/>
        <v>0</v>
      </c>
      <c r="Y14" s="196">
        <f>Y12</f>
        <v>0</v>
      </c>
      <c r="Z14" s="196">
        <f t="shared" ref="Z14:AC14" si="5">Z12</f>
        <v>0</v>
      </c>
      <c r="AA14" s="196">
        <f t="shared" si="5"/>
        <v>0</v>
      </c>
      <c r="AB14" s="196">
        <f t="shared" si="5"/>
        <v>0</v>
      </c>
      <c r="AC14" s="158">
        <f t="shared" si="5"/>
        <v>0</v>
      </c>
    </row>
    <row r="15" spans="2:30" ht="18" customHeight="1" x14ac:dyDescent="0.25">
      <c r="B15" s="188" t="s">
        <v>336</v>
      </c>
      <c r="C15" s="190" t="s">
        <v>337</v>
      </c>
      <c r="D15" s="217">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97.8</v>
      </c>
      <c r="N15" s="169">
        <f>'Haver Pivoted'!GY59</f>
        <v>104.5</v>
      </c>
      <c r="O15" s="169">
        <f>'Haver Pivoted'!GZ59</f>
        <v>61.5</v>
      </c>
      <c r="P15" s="169">
        <f>'Haver Pivoted'!HA59</f>
        <v>3.3</v>
      </c>
      <c r="Q15" s="164">
        <f>'Haver Pivoted'!HB59</f>
        <v>1</v>
      </c>
      <c r="R15" s="196">
        <v>0</v>
      </c>
      <c r="S15" s="196">
        <f t="shared" ref="S15:AC15" si="6">R15*S$22/R$22</f>
        <v>0</v>
      </c>
      <c r="T15" s="196">
        <f t="shared" si="6"/>
        <v>0</v>
      </c>
      <c r="U15" s="196">
        <f t="shared" si="6"/>
        <v>0</v>
      </c>
      <c r="V15" s="196">
        <f t="shared" si="6"/>
        <v>0</v>
      </c>
      <c r="W15" s="196">
        <f t="shared" si="6"/>
        <v>0</v>
      </c>
      <c r="X15" s="196">
        <f t="shared" si="6"/>
        <v>0</v>
      </c>
      <c r="Y15" s="196">
        <f t="shared" si="6"/>
        <v>0</v>
      </c>
      <c r="Z15" s="196">
        <f t="shared" si="6"/>
        <v>0</v>
      </c>
      <c r="AA15" s="196">
        <f t="shared" si="6"/>
        <v>0</v>
      </c>
      <c r="AB15" s="196">
        <f t="shared" si="6"/>
        <v>0</v>
      </c>
      <c r="AC15" s="158">
        <f t="shared" si="6"/>
        <v>0</v>
      </c>
    </row>
    <row r="16" spans="2:30" ht="18" customHeight="1" x14ac:dyDescent="0.25">
      <c r="B16" s="188" t="s">
        <v>338</v>
      </c>
      <c r="C16" s="190" t="s">
        <v>339</v>
      </c>
      <c r="D16" s="217">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95.3</v>
      </c>
      <c r="N16" s="169">
        <f>'Haver Pivoted'!GY60</f>
        <v>82.1</v>
      </c>
      <c r="O16" s="169">
        <f>'Haver Pivoted'!GZ60</f>
        <v>50</v>
      </c>
      <c r="P16" s="169">
        <f>'Haver Pivoted'!HA60</f>
        <v>2.4</v>
      </c>
      <c r="Q16" s="164">
        <f>'Haver Pivoted'!HB60</f>
        <v>0.9</v>
      </c>
      <c r="R16" s="196">
        <v>0</v>
      </c>
      <c r="S16" s="196">
        <f t="shared" ref="S16:AC16" si="7">R16*S$22/R$22</f>
        <v>0</v>
      </c>
      <c r="T16" s="196">
        <f t="shared" si="7"/>
        <v>0</v>
      </c>
      <c r="U16" s="196">
        <f t="shared" si="7"/>
        <v>0</v>
      </c>
      <c r="V16" s="196">
        <f t="shared" si="7"/>
        <v>0</v>
      </c>
      <c r="W16" s="196">
        <f t="shared" si="7"/>
        <v>0</v>
      </c>
      <c r="X16" s="196">
        <f t="shared" si="7"/>
        <v>0</v>
      </c>
      <c r="Y16" s="196">
        <f t="shared" si="7"/>
        <v>0</v>
      </c>
      <c r="Z16" s="196">
        <f t="shared" si="7"/>
        <v>0</v>
      </c>
      <c r="AA16" s="196">
        <f t="shared" si="7"/>
        <v>0</v>
      </c>
      <c r="AB16" s="196">
        <f t="shared" si="7"/>
        <v>0</v>
      </c>
      <c r="AC16" s="158">
        <f t="shared" si="7"/>
        <v>0</v>
      </c>
    </row>
    <row r="17" spans="2:30" ht="18" customHeight="1" x14ac:dyDescent="0.25">
      <c r="B17" s="188" t="s">
        <v>340</v>
      </c>
      <c r="C17" s="190" t="s">
        <v>341</v>
      </c>
      <c r="D17" s="217">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286.89999999999998</v>
      </c>
      <c r="N17" s="169">
        <f>'Haver Pivoted'!GY61</f>
        <v>237.2</v>
      </c>
      <c r="O17" s="169">
        <f>'Haver Pivoted'!GZ61</f>
        <v>113.2</v>
      </c>
      <c r="P17" s="169">
        <f>'Haver Pivoted'!HA61</f>
        <v>0</v>
      </c>
      <c r="Q17" s="164">
        <f>'Haver Pivoted'!HB61</f>
        <v>0</v>
      </c>
      <c r="R17" s="196">
        <f t="shared" ref="R17:AC17" si="8">Q17*R$22/Q$22</f>
        <v>0</v>
      </c>
      <c r="S17" s="196">
        <f t="shared" si="8"/>
        <v>0</v>
      </c>
      <c r="T17" s="196">
        <f t="shared" si="8"/>
        <v>0</v>
      </c>
      <c r="U17" s="196">
        <f t="shared" si="8"/>
        <v>0</v>
      </c>
      <c r="V17" s="196">
        <f t="shared" si="8"/>
        <v>0</v>
      </c>
      <c r="W17" s="196">
        <f t="shared" si="8"/>
        <v>0</v>
      </c>
      <c r="X17" s="196">
        <f t="shared" si="8"/>
        <v>0</v>
      </c>
      <c r="Y17" s="196">
        <f t="shared" si="8"/>
        <v>0</v>
      </c>
      <c r="Z17" s="196">
        <f t="shared" si="8"/>
        <v>0</v>
      </c>
      <c r="AA17" s="196">
        <f t="shared" si="8"/>
        <v>0</v>
      </c>
      <c r="AB17" s="196">
        <f t="shared" si="8"/>
        <v>0</v>
      </c>
      <c r="AC17" s="158">
        <f t="shared" si="8"/>
        <v>0</v>
      </c>
    </row>
    <row r="18" spans="2:30" x14ac:dyDescent="0.25">
      <c r="B18" s="200" t="s">
        <v>158</v>
      </c>
      <c r="C18" s="183" t="s">
        <v>342</v>
      </c>
      <c r="D18" s="222">
        <f>'Haver Pivoted'!GO64</f>
        <v>0</v>
      </c>
      <c r="E18" s="226">
        <f>'Haver Pivoted'!GP64</f>
        <v>0</v>
      </c>
      <c r="F18" s="226">
        <f>'Haver Pivoted'!GQ64</f>
        <v>0</v>
      </c>
      <c r="G18" s="226">
        <f>'Haver Pivoted'!GR64</f>
        <v>0</v>
      </c>
      <c r="H18" s="226">
        <f>'Haver Pivoted'!GS64</f>
        <v>0</v>
      </c>
      <c r="I18" s="226">
        <f>'Haver Pivoted'!GT64</f>
        <v>0</v>
      </c>
      <c r="J18" s="226">
        <f>'Haver Pivoted'!GU64</f>
        <v>0</v>
      </c>
      <c r="K18" s="226">
        <f>'Haver Pivoted'!GV64</f>
        <v>106.2</v>
      </c>
      <c r="L18" s="226">
        <f>'Haver Pivoted'!GW64</f>
        <v>35.9</v>
      </c>
      <c r="M18" s="226">
        <f>'Haver Pivoted'!GX64</f>
        <v>1.6</v>
      </c>
      <c r="N18" s="226">
        <f>'Haver Pivoted'!GY64</f>
        <v>0.6</v>
      </c>
      <c r="O18" s="226">
        <f>'Haver Pivoted'!GZ64</f>
        <v>0.1</v>
      </c>
      <c r="P18" s="226">
        <f>'Haver Pivoted'!HA64</f>
        <v>0</v>
      </c>
      <c r="Q18" s="164">
        <f>'Haver Pivoted'!HB64</f>
        <v>0</v>
      </c>
      <c r="R18" s="196"/>
      <c r="S18" s="196"/>
      <c r="T18" s="196"/>
      <c r="U18" s="196"/>
      <c r="V18" s="196"/>
      <c r="W18" s="196"/>
      <c r="X18" s="196"/>
      <c r="Y18" s="196"/>
      <c r="Z18" s="196"/>
      <c r="AA18" s="196"/>
      <c r="AB18" s="196"/>
      <c r="AC18" s="158"/>
    </row>
    <row r="19" spans="2:30" ht="14.45" customHeight="1" x14ac:dyDescent="0.25">
      <c r="B19" s="201" t="s">
        <v>343</v>
      </c>
      <c r="C19" s="209"/>
      <c r="D19" s="159">
        <f t="shared" ref="D19:N19" si="9">D11-D20</f>
        <v>0</v>
      </c>
      <c r="E19" s="160">
        <f t="shared" si="9"/>
        <v>0</v>
      </c>
      <c r="F19" s="160">
        <f t="shared" si="9"/>
        <v>0</v>
      </c>
      <c r="G19" s="160">
        <f t="shared" si="9"/>
        <v>0</v>
      </c>
      <c r="H19" s="160">
        <f t="shared" si="9"/>
        <v>0</v>
      </c>
      <c r="I19" s="160">
        <f t="shared" si="9"/>
        <v>0</v>
      </c>
      <c r="J19" s="160">
        <f t="shared" si="9"/>
        <v>779.80000000000007</v>
      </c>
      <c r="K19" s="160">
        <f t="shared" si="9"/>
        <v>586.29999999999995</v>
      </c>
      <c r="L19" s="160">
        <f t="shared" si="9"/>
        <v>229.4</v>
      </c>
      <c r="M19" s="160">
        <f t="shared" si="9"/>
        <v>530</v>
      </c>
      <c r="N19" s="161">
        <f t="shared" si="9"/>
        <v>435.4</v>
      </c>
      <c r="O19" s="161">
        <f>O11-O20</f>
        <v>236.1</v>
      </c>
      <c r="P19" s="161">
        <f t="shared" ref="P19" si="10">P11-P20</f>
        <v>10.5</v>
      </c>
      <c r="Q19" s="175">
        <f>Q11-Q20</f>
        <v>0.69999999999999929</v>
      </c>
      <c r="R19" s="162">
        <v>0</v>
      </c>
      <c r="S19" s="162">
        <v>0</v>
      </c>
      <c r="T19" s="162">
        <v>0</v>
      </c>
      <c r="U19" s="162">
        <v>0</v>
      </c>
      <c r="V19" s="162">
        <v>0</v>
      </c>
      <c r="W19" s="162">
        <v>0</v>
      </c>
      <c r="X19" s="162">
        <v>0</v>
      </c>
      <c r="Y19" s="162">
        <v>0</v>
      </c>
      <c r="Z19" s="162">
        <v>0</v>
      </c>
      <c r="AA19" s="162">
        <v>0</v>
      </c>
      <c r="AB19" s="162">
        <v>0</v>
      </c>
      <c r="AC19" s="162">
        <v>0</v>
      </c>
    </row>
    <row r="20" spans="2:30" ht="14.45" customHeight="1" x14ac:dyDescent="0.25">
      <c r="B20" s="201" t="s">
        <v>344</v>
      </c>
      <c r="C20" s="209"/>
      <c r="D20" s="159">
        <f t="shared" ref="D20:H20" si="11">D11</f>
        <v>27.1</v>
      </c>
      <c r="E20" s="160">
        <f t="shared" si="11"/>
        <v>28.4</v>
      </c>
      <c r="F20" s="160">
        <f t="shared" si="11"/>
        <v>27.8</v>
      </c>
      <c r="G20" s="160">
        <f t="shared" si="11"/>
        <v>27.4</v>
      </c>
      <c r="H20" s="160">
        <f t="shared" si="11"/>
        <v>26.8</v>
      </c>
      <c r="I20" s="160">
        <f>I11</f>
        <v>39.5</v>
      </c>
      <c r="J20" s="160">
        <f>J11-J13-J12</f>
        <v>259.60000000000002</v>
      </c>
      <c r="K20" s="160">
        <f>K11-K13-K12</f>
        <v>181.49999999999994</v>
      </c>
      <c r="L20" s="160">
        <f>L11-L13-L12</f>
        <v>70.499999999999972</v>
      </c>
      <c r="M20" s="160">
        <f>M11-M13-M12</f>
        <v>35.799999999999955</v>
      </c>
      <c r="N20" s="161">
        <f>N11-N12-N13</f>
        <v>45</v>
      </c>
      <c r="O20" s="161">
        <f>O11-O12-O13</f>
        <v>36.200000000000017</v>
      </c>
      <c r="P20" s="161">
        <f>P11-P12-P13</f>
        <v>27.200000000000003</v>
      </c>
      <c r="Q20" s="164">
        <f>Q11-Q12-Q13</f>
        <v>24.400000000000002</v>
      </c>
      <c r="R20" s="162">
        <f t="shared" ref="R20:AC20" si="12">Q20*R22/Q22</f>
        <v>23.11578947368421</v>
      </c>
      <c r="S20" s="162">
        <f t="shared" si="12"/>
        <v>23.642315789473685</v>
      </c>
      <c r="T20" s="162">
        <f t="shared" si="12"/>
        <v>23.353368421052632</v>
      </c>
      <c r="U20" s="162">
        <f t="shared" si="12"/>
        <v>23.513894736842104</v>
      </c>
      <c r="V20" s="162">
        <f t="shared" si="12"/>
        <v>23.873473684210527</v>
      </c>
      <c r="W20" s="162">
        <f t="shared" si="12"/>
        <v>24.239473684210527</v>
      </c>
      <c r="X20" s="162">
        <f t="shared" si="12"/>
        <v>24.624736842105264</v>
      </c>
      <c r="Y20" s="162">
        <f t="shared" si="12"/>
        <v>25.106315789473687</v>
      </c>
      <c r="Z20" s="162">
        <f t="shared" si="12"/>
        <v>25.504421052631582</v>
      </c>
      <c r="AA20" s="162">
        <f t="shared" si="12"/>
        <v>25.819052631578948</v>
      </c>
      <c r="AB20" s="162">
        <f t="shared" si="12"/>
        <v>26.210736842105263</v>
      </c>
      <c r="AC20" s="163">
        <f t="shared" si="12"/>
        <v>26.58957894736842</v>
      </c>
      <c r="AD20" s="170" t="s">
        <v>345</v>
      </c>
    </row>
    <row r="21" spans="2:30" x14ac:dyDescent="0.25">
      <c r="B21" s="200"/>
      <c r="C21" s="191"/>
      <c r="D21" s="217"/>
      <c r="E21" s="169"/>
      <c r="F21" s="169"/>
      <c r="G21" s="169"/>
      <c r="H21" s="157"/>
      <c r="I21" s="157"/>
      <c r="J21" s="157"/>
      <c r="K21" s="157"/>
      <c r="L21" s="157"/>
      <c r="M21" s="157"/>
      <c r="N21" s="157"/>
      <c r="O21" s="157"/>
      <c r="P21" s="157"/>
      <c r="Q21" s="166"/>
      <c r="R21" s="193"/>
      <c r="S21" s="193"/>
      <c r="T21" s="193"/>
      <c r="U21" s="193"/>
      <c r="V21" s="193"/>
      <c r="W21" s="193"/>
      <c r="X21" s="193"/>
      <c r="Y21" s="193"/>
      <c r="Z21" s="193"/>
      <c r="AA21" s="193"/>
      <c r="AB21" s="193"/>
      <c r="AC21" s="194"/>
    </row>
    <row r="22" spans="2:30" x14ac:dyDescent="0.25">
      <c r="B22" s="168" t="s">
        <v>346</v>
      </c>
      <c r="C22" s="192"/>
      <c r="D22" s="223"/>
      <c r="E22" s="224"/>
      <c r="F22" s="224"/>
      <c r="G22" s="224"/>
      <c r="H22" s="225"/>
      <c r="I22" s="225"/>
      <c r="J22" s="225"/>
      <c r="K22" s="225"/>
      <c r="L22" s="225"/>
      <c r="M22" s="225">
        <f>D28</f>
        <v>6.166666666666667</v>
      </c>
      <c r="N22" s="225">
        <f>D31</f>
        <v>5.7666666666666657</v>
      </c>
      <c r="O22" s="225">
        <f>D34</f>
        <v>5.1333333333333337</v>
      </c>
      <c r="P22" s="225">
        <f>D37</f>
        <v>4.2333333333333334</v>
      </c>
      <c r="Q22" s="167">
        <f>D40</f>
        <v>3.8000000000000003</v>
      </c>
      <c r="R22" s="195">
        <f>D43</f>
        <v>3.6</v>
      </c>
      <c r="S22" s="195">
        <v>3.6819999999999999</v>
      </c>
      <c r="T22" s="195">
        <v>3.637</v>
      </c>
      <c r="U22" s="195">
        <v>3.6619999999999999</v>
      </c>
      <c r="V22" s="195">
        <v>3.718</v>
      </c>
      <c r="W22" s="195">
        <v>3.7749999999999999</v>
      </c>
      <c r="X22" s="195">
        <v>3.835</v>
      </c>
      <c r="Y22" s="195">
        <v>3.91</v>
      </c>
      <c r="Z22" s="195">
        <v>3.972</v>
      </c>
      <c r="AA22" s="195">
        <v>4.0209999999999999</v>
      </c>
      <c r="AB22" s="195">
        <v>4.0819999999999999</v>
      </c>
      <c r="AC22" s="207">
        <v>4.141</v>
      </c>
      <c r="AD22" s="202" t="s">
        <v>347</v>
      </c>
    </row>
    <row r="23" spans="2:30" x14ac:dyDescent="0.25">
      <c r="B23" s="231" t="s">
        <v>987</v>
      </c>
      <c r="C23" s="183"/>
      <c r="D23" s="226"/>
      <c r="E23" s="226"/>
      <c r="F23" s="226"/>
      <c r="G23" s="226"/>
      <c r="H23" s="157"/>
      <c r="I23" s="157"/>
      <c r="J23" s="157"/>
      <c r="K23" s="157"/>
      <c r="L23" s="157"/>
      <c r="M23" s="157"/>
      <c r="N23" s="157"/>
      <c r="O23" s="157"/>
      <c r="P23" s="157"/>
      <c r="Q23" s="230">
        <v>3.91</v>
      </c>
      <c r="R23" s="230">
        <v>3.85</v>
      </c>
      <c r="S23" s="230">
        <v>3.72</v>
      </c>
      <c r="T23" s="230">
        <v>3.65</v>
      </c>
      <c r="U23" s="230">
        <v>3.58</v>
      </c>
      <c r="V23" s="230">
        <v>3.52</v>
      </c>
      <c r="W23" s="230">
        <v>3.5310000000000001</v>
      </c>
      <c r="X23" s="230">
        <v>3.5510000000000002</v>
      </c>
      <c r="Y23" s="230">
        <v>3.6219999999999999</v>
      </c>
      <c r="Z23" s="230">
        <v>3.6850000000000001</v>
      </c>
      <c r="AA23" s="230">
        <v>3.722</v>
      </c>
      <c r="AB23" s="230">
        <v>3.76</v>
      </c>
      <c r="AC23" s="230">
        <v>3.7989999999999999</v>
      </c>
      <c r="AD23" s="202"/>
    </row>
    <row r="24" spans="2:30" x14ac:dyDescent="0.25">
      <c r="M24" s="202"/>
      <c r="N24" s="202"/>
      <c r="O24" s="202"/>
    </row>
    <row r="25" spans="2:30" x14ac:dyDescent="0.25">
      <c r="M25" s="183"/>
      <c r="N25" s="183"/>
      <c r="O25" s="183"/>
    </row>
    <row r="26" spans="2:30" x14ac:dyDescent="0.25">
      <c r="M26" s="183"/>
      <c r="N26" s="183"/>
      <c r="O26" s="183"/>
    </row>
    <row r="27" spans="2:30" ht="30.75" customHeight="1" x14ac:dyDescent="0.25">
      <c r="B27" s="215" t="s">
        <v>348</v>
      </c>
      <c r="C27" s="211" t="s">
        <v>349</v>
      </c>
      <c r="D27" s="216" t="s">
        <v>350</v>
      </c>
      <c r="M27" s="183"/>
      <c r="N27" s="183"/>
      <c r="O27" s="183"/>
    </row>
    <row r="28" spans="2:30" x14ac:dyDescent="0.25">
      <c r="B28" s="218">
        <v>44197</v>
      </c>
      <c r="C28" s="181">
        <v>6.3</v>
      </c>
      <c r="D28" s="219">
        <f>AVERAGE(C28:C30)</f>
        <v>6.166666666666667</v>
      </c>
      <c r="M28" s="183"/>
      <c r="N28" s="183"/>
      <c r="O28" s="183"/>
    </row>
    <row r="29" spans="2:30" x14ac:dyDescent="0.25">
      <c r="B29" s="210">
        <v>44228</v>
      </c>
      <c r="C29" s="183">
        <v>6.2</v>
      </c>
      <c r="D29" s="220"/>
      <c r="M29" s="183"/>
      <c r="N29" s="183"/>
      <c r="O29" s="183"/>
    </row>
    <row r="30" spans="2:30" x14ac:dyDescent="0.25">
      <c r="B30" s="210">
        <v>44256</v>
      </c>
      <c r="C30" s="183">
        <v>6</v>
      </c>
      <c r="D30" s="220"/>
      <c r="M30" s="183"/>
      <c r="N30" s="183"/>
      <c r="O30" s="183"/>
    </row>
    <row r="31" spans="2:30" x14ac:dyDescent="0.25">
      <c r="B31" s="210">
        <v>44287</v>
      </c>
      <c r="C31" s="183">
        <v>6.1</v>
      </c>
      <c r="D31" s="220">
        <f>AVERAGE(C31:C33)</f>
        <v>5.7666666666666657</v>
      </c>
      <c r="M31" s="183"/>
      <c r="N31" s="183"/>
      <c r="O31" s="183"/>
    </row>
    <row r="32" spans="2:30" x14ac:dyDescent="0.25">
      <c r="B32" s="210">
        <v>44317</v>
      </c>
      <c r="C32" s="183">
        <v>5.8</v>
      </c>
      <c r="D32" s="220"/>
      <c r="M32" s="183"/>
      <c r="N32" s="183"/>
      <c r="O32" s="183"/>
    </row>
    <row r="33" spans="2:38" x14ac:dyDescent="0.25">
      <c r="B33" s="210">
        <v>44348</v>
      </c>
      <c r="C33" s="183">
        <v>5.4</v>
      </c>
      <c r="D33" s="220"/>
      <c r="M33" s="183"/>
      <c r="N33" s="183"/>
      <c r="O33" s="183"/>
    </row>
    <row r="34" spans="2:38" x14ac:dyDescent="0.25">
      <c r="B34" s="210">
        <v>44378</v>
      </c>
      <c r="C34" s="183">
        <v>5.4</v>
      </c>
      <c r="D34" s="220">
        <f>AVERAGE(C34:C36)</f>
        <v>5.1333333333333337</v>
      </c>
      <c r="E34" s="183" t="s">
        <v>351</v>
      </c>
      <c r="M34" s="183"/>
      <c r="N34" s="183"/>
      <c r="O34" s="183"/>
    </row>
    <row r="35" spans="2:38" x14ac:dyDescent="0.25">
      <c r="B35" s="210">
        <v>44409</v>
      </c>
      <c r="C35" s="183">
        <v>5.2</v>
      </c>
      <c r="D35" s="220"/>
      <c r="M35" s="183"/>
      <c r="N35" s="183"/>
      <c r="O35" s="183"/>
    </row>
    <row r="36" spans="2:38" x14ac:dyDescent="0.25">
      <c r="B36" s="210">
        <v>44440</v>
      </c>
      <c r="C36" s="183">
        <v>4.8</v>
      </c>
      <c r="D36" s="220"/>
      <c r="M36" s="183"/>
      <c r="N36" s="183"/>
      <c r="O36" s="183"/>
    </row>
    <row r="37" spans="2:38" x14ac:dyDescent="0.25">
      <c r="B37" s="210">
        <v>44470</v>
      </c>
      <c r="C37" s="183">
        <v>4.5999999999999996</v>
      </c>
      <c r="D37" s="220">
        <f>AVERAGE(C37:C39)</f>
        <v>4.2333333333333334</v>
      </c>
      <c r="M37" s="183"/>
      <c r="N37" s="183"/>
      <c r="O37" s="183"/>
    </row>
    <row r="38" spans="2:38" x14ac:dyDescent="0.25">
      <c r="B38" s="210">
        <v>44501</v>
      </c>
      <c r="C38" s="183">
        <v>4.2</v>
      </c>
      <c r="D38" s="220"/>
      <c r="M38" s="183"/>
      <c r="N38" s="183"/>
      <c r="O38" s="183"/>
      <c r="AD38" s="183"/>
      <c r="AE38" s="183"/>
      <c r="AF38" s="183"/>
      <c r="AG38" s="183"/>
      <c r="AH38" s="183"/>
      <c r="AI38" s="183"/>
      <c r="AJ38" s="183"/>
      <c r="AK38" s="183"/>
      <c r="AL38" s="183"/>
    </row>
    <row r="39" spans="2:38" x14ac:dyDescent="0.25">
      <c r="B39" s="210">
        <v>44531</v>
      </c>
      <c r="C39" s="183">
        <v>3.9</v>
      </c>
      <c r="D39" s="220"/>
      <c r="M39" s="183"/>
      <c r="N39" s="183"/>
      <c r="O39" s="183"/>
      <c r="AD39" s="183"/>
      <c r="AE39" s="183"/>
      <c r="AF39" s="183"/>
      <c r="AG39" s="183"/>
      <c r="AH39" s="183"/>
      <c r="AI39" s="183"/>
      <c r="AJ39" s="183"/>
      <c r="AK39" s="183"/>
      <c r="AL39" s="183"/>
    </row>
    <row r="40" spans="2:38" x14ac:dyDescent="0.25">
      <c r="B40" s="212">
        <v>44562</v>
      </c>
      <c r="C40" s="192">
        <v>4</v>
      </c>
      <c r="D40" s="203">
        <f>AVERAGE(C40:C42)</f>
        <v>3.8000000000000003</v>
      </c>
      <c r="M40" s="183"/>
      <c r="N40" s="183"/>
      <c r="O40" s="183"/>
    </row>
    <row r="41" spans="2:38" x14ac:dyDescent="0.25">
      <c r="B41" s="212">
        <v>44593</v>
      </c>
      <c r="C41" s="183">
        <v>3.8</v>
      </c>
    </row>
    <row r="42" spans="2:38" x14ac:dyDescent="0.25">
      <c r="B42" s="176">
        <v>44621</v>
      </c>
      <c r="C42" s="183">
        <v>3.6</v>
      </c>
    </row>
    <row r="43" spans="2:38" x14ac:dyDescent="0.25">
      <c r="B43" s="229">
        <v>44652</v>
      </c>
      <c r="C43" s="183">
        <v>3.6</v>
      </c>
      <c r="D43">
        <f>AVERAGE(C43:C46)</f>
        <v>3.6</v>
      </c>
    </row>
    <row r="44" spans="2:38" x14ac:dyDescent="0.25">
      <c r="B44" s="1070">
        <v>44682</v>
      </c>
    </row>
    <row r="45" spans="2:38" x14ac:dyDescent="0.25">
      <c r="B45" s="1070">
        <v>44713</v>
      </c>
    </row>
    <row r="46" spans="2:38" x14ac:dyDescent="0.25">
      <c r="B46" s="1071">
        <v>7</v>
      </c>
    </row>
  </sheetData>
  <mergeCells count="10">
    <mergeCell ref="B1:AC1"/>
    <mergeCell ref="B2:AC6"/>
    <mergeCell ref="E9:H9"/>
    <mergeCell ref="B8:C10"/>
    <mergeCell ref="I9:L9"/>
    <mergeCell ref="U9:X9"/>
    <mergeCell ref="Y9:AB9"/>
    <mergeCell ref="M9:P9"/>
    <mergeCell ref="R8:AC8"/>
    <mergeCell ref="D8:Q8"/>
  </mergeCells>
  <pageMargins left="0.7" right="0.7" top="0.75" bottom="0.75" header="0.3" footer="0.3"/>
  <pageSetup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930" t="s">
        <v>364</v>
      </c>
      <c r="I1" s="930"/>
      <c r="J1" s="930"/>
      <c r="K1" s="930"/>
      <c r="L1" s="930"/>
      <c r="M1" s="930"/>
      <c r="N1" s="930"/>
      <c r="O1" s="930"/>
      <c r="P1" s="930"/>
      <c r="Q1" s="930"/>
      <c r="R1" s="930"/>
      <c r="S1" s="930"/>
    </row>
    <row r="2" spans="8:22" x14ac:dyDescent="0.25">
      <c r="H2" s="949" t="s">
        <v>365</v>
      </c>
      <c r="I2" s="949"/>
      <c r="J2" s="949"/>
      <c r="K2" s="949"/>
      <c r="L2" s="949"/>
      <c r="M2" s="949"/>
      <c r="N2" s="949"/>
      <c r="O2" s="949"/>
      <c r="P2" s="949"/>
      <c r="Q2" s="949"/>
      <c r="R2" s="949"/>
      <c r="S2" s="949"/>
    </row>
    <row r="3" spans="8:22" x14ac:dyDescent="0.25">
      <c r="H3" s="949"/>
      <c r="I3" s="949"/>
      <c r="J3" s="949"/>
      <c r="K3" s="949"/>
      <c r="L3" s="949"/>
      <c r="M3" s="949"/>
      <c r="N3" s="949"/>
      <c r="O3" s="949"/>
      <c r="P3" s="949"/>
      <c r="Q3" s="949"/>
      <c r="R3" s="949"/>
      <c r="S3" s="949"/>
    </row>
    <row r="4" spans="8:22" x14ac:dyDescent="0.25">
      <c r="H4" s="949"/>
      <c r="I4" s="949"/>
      <c r="J4" s="949"/>
      <c r="K4" s="949"/>
      <c r="L4" s="949"/>
      <c r="M4" s="949"/>
      <c r="N4" s="949"/>
      <c r="O4" s="949"/>
      <c r="P4" s="949"/>
      <c r="Q4" s="949"/>
      <c r="R4" s="949"/>
      <c r="S4" s="949"/>
    </row>
    <row r="5" spans="8:22" ht="54.75" customHeight="1" x14ac:dyDescent="0.25">
      <c r="H5" s="949"/>
      <c r="I5" s="949"/>
      <c r="J5" s="949"/>
      <c r="K5" s="949"/>
      <c r="L5" s="949"/>
      <c r="M5" s="949"/>
      <c r="N5" s="949"/>
      <c r="O5" s="949"/>
      <c r="P5" s="949"/>
      <c r="Q5" s="949"/>
      <c r="R5" s="949"/>
      <c r="S5" s="949"/>
    </row>
    <row r="6" spans="8:22" x14ac:dyDescent="0.25">
      <c r="H6" s="258"/>
      <c r="I6" s="258"/>
      <c r="J6" s="258"/>
      <c r="K6" s="258"/>
      <c r="L6" s="258"/>
      <c r="M6" s="258"/>
      <c r="N6" s="258"/>
      <c r="O6" s="258"/>
      <c r="P6" s="258"/>
      <c r="Q6" s="258"/>
      <c r="R6" s="258"/>
      <c r="S6" s="258"/>
    </row>
    <row r="7" spans="8:22" x14ac:dyDescent="0.25">
      <c r="H7" s="239" t="s">
        <v>366</v>
      </c>
    </row>
    <row r="8" spans="8:22" ht="16.149999999999999" customHeight="1" x14ac:dyDescent="0.25"/>
    <row r="9" spans="8:22" ht="15.75" customHeight="1" x14ac:dyDescent="0.25">
      <c r="L9" s="932">
        <v>2020</v>
      </c>
      <c r="M9" s="933"/>
      <c r="N9" s="933"/>
      <c r="O9" s="266">
        <v>2021</v>
      </c>
      <c r="P9" s="266"/>
      <c r="Q9" s="266"/>
      <c r="R9" s="265"/>
    </row>
    <row r="10" spans="8:22" ht="41.45" customHeight="1" x14ac:dyDescent="0.25">
      <c r="H10" s="270" t="s">
        <v>367</v>
      </c>
      <c r="I10" s="270" t="s">
        <v>368</v>
      </c>
      <c r="J10" s="271" t="s">
        <v>369</v>
      </c>
      <c r="K10" s="169"/>
      <c r="L10" s="262" t="s">
        <v>329</v>
      </c>
      <c r="M10" s="264" t="s">
        <v>238</v>
      </c>
      <c r="N10" s="264" t="s">
        <v>327</v>
      </c>
      <c r="O10" s="264" t="s">
        <v>328</v>
      </c>
      <c r="P10" s="264" t="s">
        <v>329</v>
      </c>
      <c r="Q10" s="264" t="s">
        <v>238</v>
      </c>
      <c r="R10" s="267" t="s">
        <v>327</v>
      </c>
      <c r="S10" s="258" t="s">
        <v>370</v>
      </c>
      <c r="T10" s="169"/>
      <c r="U10" s="169"/>
      <c r="V10" s="169"/>
    </row>
    <row r="11" spans="8:22" x14ac:dyDescent="0.25">
      <c r="H11" s="272">
        <v>43934</v>
      </c>
      <c r="I11" s="226">
        <v>248</v>
      </c>
      <c r="J11" s="182">
        <f>I11</f>
        <v>248</v>
      </c>
      <c r="K11" s="226"/>
      <c r="L11" s="247">
        <f>S11/26*J11</f>
        <v>95.384615384615387</v>
      </c>
      <c r="M11" s="243">
        <f>13/26*J11</f>
        <v>124</v>
      </c>
      <c r="N11" s="243">
        <f>J11-SUM(L11:M11)</f>
        <v>28.615384615384613</v>
      </c>
      <c r="O11" s="243"/>
      <c r="P11" s="243"/>
      <c r="Q11" s="243"/>
      <c r="R11" s="248"/>
      <c r="S11" s="226">
        <v>10</v>
      </c>
      <c r="T11" s="226"/>
      <c r="U11" s="244"/>
      <c r="V11" s="226"/>
    </row>
    <row r="12" spans="8:22" x14ac:dyDescent="0.25">
      <c r="H12" s="245">
        <v>43937</v>
      </c>
      <c r="I12" s="226">
        <v>342</v>
      </c>
      <c r="J12" s="182">
        <f>I12-I11</f>
        <v>94</v>
      </c>
      <c r="K12" s="226"/>
      <c r="L12" s="247">
        <f t="shared" ref="L12:L20" si="0">S12/26*J12</f>
        <v>36.153846153846153</v>
      </c>
      <c r="M12" s="243">
        <f t="shared" ref="M12:M20" si="1">13/26*J12</f>
        <v>47</v>
      </c>
      <c r="N12" s="243">
        <f t="shared" ref="N12:N21" si="2">J12-SUM(L12:M12)</f>
        <v>10.84615384615384</v>
      </c>
      <c r="O12" s="243"/>
      <c r="P12" s="243"/>
      <c r="Q12" s="243"/>
      <c r="R12" s="248"/>
      <c r="S12" s="226">
        <v>10</v>
      </c>
      <c r="T12" s="226"/>
      <c r="U12" s="226"/>
      <c r="V12" s="226"/>
    </row>
    <row r="13" spans="8:22" x14ac:dyDescent="0.25">
      <c r="H13" s="245">
        <v>43952</v>
      </c>
      <c r="I13" s="226">
        <v>518</v>
      </c>
      <c r="J13" s="182">
        <f>I13-I12</f>
        <v>176</v>
      </c>
      <c r="K13" s="226"/>
      <c r="L13" s="247">
        <f t="shared" si="0"/>
        <v>54.15384615384616</v>
      </c>
      <c r="M13" s="243">
        <f t="shared" si="1"/>
        <v>88</v>
      </c>
      <c r="N13" s="243">
        <f t="shared" si="2"/>
        <v>33.84615384615384</v>
      </c>
      <c r="O13" s="243"/>
      <c r="P13" s="243"/>
      <c r="Q13" s="243"/>
      <c r="R13" s="248"/>
      <c r="S13" s="226">
        <v>8</v>
      </c>
      <c r="T13" s="226"/>
      <c r="U13" s="226"/>
      <c r="V13" s="226"/>
    </row>
    <row r="14" spans="8:22" x14ac:dyDescent="0.25">
      <c r="H14" s="245">
        <v>43959</v>
      </c>
      <c r="I14" s="226">
        <v>531</v>
      </c>
      <c r="J14" s="182">
        <f t="shared" ref="J14:J45" si="3">I14-I13</f>
        <v>13</v>
      </c>
      <c r="K14" s="226"/>
      <c r="L14" s="247">
        <f t="shared" si="0"/>
        <v>3.5</v>
      </c>
      <c r="M14" s="243">
        <f t="shared" si="1"/>
        <v>6.5</v>
      </c>
      <c r="N14" s="243">
        <f t="shared" si="2"/>
        <v>3</v>
      </c>
      <c r="O14" s="243"/>
      <c r="P14" s="243"/>
      <c r="Q14" s="243"/>
      <c r="R14" s="248"/>
      <c r="S14" s="226">
        <f t="shared" ref="S14:S20" si="4">S13-1</f>
        <v>7</v>
      </c>
      <c r="T14" s="226"/>
      <c r="U14" s="226"/>
      <c r="V14" s="226"/>
    </row>
    <row r="15" spans="8:22" x14ac:dyDescent="0.25">
      <c r="H15" s="245">
        <v>43967</v>
      </c>
      <c r="I15" s="226">
        <v>513</v>
      </c>
      <c r="J15" s="182">
        <f t="shared" si="3"/>
        <v>-18</v>
      </c>
      <c r="K15" s="226"/>
      <c r="L15" s="247">
        <f t="shared" ref="L15:L17" si="5">S15/26*J15</f>
        <v>-4.1538461538461542</v>
      </c>
      <c r="M15" s="243">
        <f t="shared" ref="M15:M17" si="6">13/26*J15</f>
        <v>-9</v>
      </c>
      <c r="N15" s="243">
        <f t="shared" ref="N15:N17" si="7">J15-SUM(L15:M15)</f>
        <v>-4.8461538461538467</v>
      </c>
      <c r="O15" s="243"/>
      <c r="P15" s="243"/>
      <c r="Q15" s="243"/>
      <c r="R15" s="248"/>
      <c r="S15" s="226">
        <f t="shared" si="4"/>
        <v>6</v>
      </c>
      <c r="T15" s="226"/>
      <c r="U15" s="226"/>
      <c r="V15" s="226"/>
    </row>
    <row r="16" spans="8:22" x14ac:dyDescent="0.25">
      <c r="H16" s="245">
        <v>43974</v>
      </c>
      <c r="I16" s="226">
        <v>511</v>
      </c>
      <c r="J16" s="182">
        <f t="shared" si="3"/>
        <v>-2</v>
      </c>
      <c r="K16" s="226"/>
      <c r="L16" s="247">
        <f t="shared" si="5"/>
        <v>-0.38461538461538464</v>
      </c>
      <c r="M16" s="243">
        <f t="shared" si="6"/>
        <v>-1</v>
      </c>
      <c r="N16" s="243">
        <f t="shared" si="7"/>
        <v>-0.61538461538461542</v>
      </c>
      <c r="O16" s="243"/>
      <c r="P16" s="243"/>
      <c r="Q16" s="243"/>
      <c r="R16" s="248"/>
      <c r="S16" s="226">
        <f t="shared" si="4"/>
        <v>5</v>
      </c>
      <c r="T16" s="226"/>
      <c r="U16" s="226"/>
      <c r="V16" s="226"/>
    </row>
    <row r="17" spans="8:22" x14ac:dyDescent="0.25">
      <c r="H17" s="245">
        <v>43981</v>
      </c>
      <c r="I17" s="226">
        <v>510</v>
      </c>
      <c r="J17" s="182">
        <f t="shared" si="3"/>
        <v>-1</v>
      </c>
      <c r="K17" s="226"/>
      <c r="L17" s="247">
        <f t="shared" si="5"/>
        <v>-0.15384615384615385</v>
      </c>
      <c r="M17" s="243">
        <f t="shared" si="6"/>
        <v>-0.5</v>
      </c>
      <c r="N17" s="243">
        <f t="shared" si="7"/>
        <v>-0.34615384615384615</v>
      </c>
      <c r="O17" s="243"/>
      <c r="P17" s="243"/>
      <c r="Q17" s="243"/>
      <c r="R17" s="248"/>
      <c r="S17" s="226">
        <f t="shared" si="4"/>
        <v>4</v>
      </c>
      <c r="T17" s="226"/>
      <c r="U17" s="226"/>
      <c r="V17" s="226"/>
    </row>
    <row r="18" spans="8:22" x14ac:dyDescent="0.25">
      <c r="H18" s="245">
        <v>43988</v>
      </c>
      <c r="I18" s="226">
        <v>511</v>
      </c>
      <c r="J18" s="182">
        <f t="shared" si="3"/>
        <v>1</v>
      </c>
      <c r="K18" s="226"/>
      <c r="L18" s="247">
        <f t="shared" si="0"/>
        <v>0.11538461538461539</v>
      </c>
      <c r="M18" s="243">
        <f t="shared" si="1"/>
        <v>0.5</v>
      </c>
      <c r="N18" s="243">
        <f t="shared" si="2"/>
        <v>0.38461538461538458</v>
      </c>
      <c r="O18" s="243"/>
      <c r="P18" s="243"/>
      <c r="Q18" s="243"/>
      <c r="R18" s="248"/>
      <c r="S18" s="226">
        <f t="shared" si="4"/>
        <v>3</v>
      </c>
      <c r="T18" s="226"/>
      <c r="U18" s="226"/>
      <c r="V18" s="226"/>
    </row>
    <row r="19" spans="8:22" x14ac:dyDescent="0.25">
      <c r="H19" s="245">
        <v>43994</v>
      </c>
      <c r="I19" s="226">
        <v>512</v>
      </c>
      <c r="J19" s="182">
        <f t="shared" si="3"/>
        <v>1</v>
      </c>
      <c r="K19" s="226"/>
      <c r="L19" s="247">
        <f t="shared" si="0"/>
        <v>7.6923076923076927E-2</v>
      </c>
      <c r="M19" s="243">
        <f t="shared" si="1"/>
        <v>0.5</v>
      </c>
      <c r="N19" s="243">
        <f t="shared" si="2"/>
        <v>0.42307692307692313</v>
      </c>
      <c r="O19" s="243"/>
      <c r="P19" s="243"/>
      <c r="Q19" s="243"/>
      <c r="R19" s="248"/>
      <c r="S19" s="226">
        <f t="shared" si="4"/>
        <v>2</v>
      </c>
      <c r="T19" s="226"/>
      <c r="U19" s="226"/>
      <c r="V19" s="226"/>
    </row>
    <row r="20" spans="8:22" x14ac:dyDescent="0.25">
      <c r="H20" s="245">
        <v>44002</v>
      </c>
      <c r="I20" s="226">
        <v>515</v>
      </c>
      <c r="J20" s="182">
        <f t="shared" si="3"/>
        <v>3</v>
      </c>
      <c r="K20" s="226"/>
      <c r="L20" s="247">
        <f t="shared" si="0"/>
        <v>0.11538461538461539</v>
      </c>
      <c r="M20" s="243">
        <f t="shared" si="1"/>
        <v>1.5</v>
      </c>
      <c r="N20" s="243">
        <f t="shared" si="2"/>
        <v>1.3846153846153846</v>
      </c>
      <c r="O20" s="243"/>
      <c r="P20" s="243"/>
      <c r="Q20" s="243"/>
      <c r="R20" s="248"/>
      <c r="S20" s="226">
        <f t="shared" si="4"/>
        <v>1</v>
      </c>
      <c r="T20" s="226"/>
      <c r="U20" s="226"/>
      <c r="V20" s="226"/>
    </row>
    <row r="21" spans="8:22" x14ac:dyDescent="0.25">
      <c r="H21" s="245">
        <v>44009</v>
      </c>
      <c r="I21" s="226">
        <v>519</v>
      </c>
      <c r="J21" s="182">
        <f t="shared" si="3"/>
        <v>4</v>
      </c>
      <c r="K21" s="226"/>
      <c r="L21" s="247"/>
      <c r="M21" s="243">
        <f>S21/26*J21</f>
        <v>2</v>
      </c>
      <c r="N21" s="243">
        <f t="shared" si="2"/>
        <v>2</v>
      </c>
      <c r="O21" s="243"/>
      <c r="P21" s="243"/>
      <c r="Q21" s="243"/>
      <c r="R21" s="248"/>
      <c r="S21" s="226">
        <v>13</v>
      </c>
      <c r="T21" s="226"/>
      <c r="U21" s="226"/>
      <c r="V21" s="226"/>
    </row>
    <row r="22" spans="8:22" x14ac:dyDescent="0.25">
      <c r="H22" s="245">
        <v>44012</v>
      </c>
      <c r="I22" s="226">
        <v>521</v>
      </c>
      <c r="J22" s="182">
        <f t="shared" si="3"/>
        <v>2</v>
      </c>
      <c r="K22" s="226"/>
      <c r="L22" s="247"/>
      <c r="M22" s="243">
        <f t="shared" ref="M22:M26" si="8">S22/26*J22</f>
        <v>1</v>
      </c>
      <c r="N22" s="243">
        <f>J22-SUM(L22:M22)</f>
        <v>1</v>
      </c>
      <c r="O22" s="243"/>
      <c r="P22" s="243"/>
      <c r="Q22" s="243"/>
      <c r="R22" s="248"/>
      <c r="S22" s="226">
        <v>13</v>
      </c>
      <c r="T22" s="226"/>
      <c r="U22" s="226"/>
      <c r="V22" s="226"/>
    </row>
    <row r="23" spans="8:22" x14ac:dyDescent="0.25">
      <c r="H23" s="245">
        <v>44029</v>
      </c>
      <c r="I23" s="226">
        <v>518</v>
      </c>
      <c r="J23" s="182">
        <f t="shared" si="3"/>
        <v>-3</v>
      </c>
      <c r="K23" s="226"/>
      <c r="L23" s="247"/>
      <c r="M23" s="243">
        <f t="shared" ref="M23" si="9">S23/26*J23</f>
        <v>-1.153846153846154</v>
      </c>
      <c r="N23" s="243">
        <f t="shared" ref="N23" si="10">13/26*J23</f>
        <v>-1.5</v>
      </c>
      <c r="O23" s="243">
        <f t="shared" ref="O23" si="11">J23-N23-M23</f>
        <v>-0.34615384615384603</v>
      </c>
      <c r="P23" s="243"/>
      <c r="Q23" s="243"/>
      <c r="R23" s="248"/>
      <c r="S23" s="226">
        <f>S22-3</f>
        <v>10</v>
      </c>
      <c r="T23" s="226"/>
      <c r="U23" s="226"/>
      <c r="V23" s="226"/>
    </row>
    <row r="24" spans="8:22" x14ac:dyDescent="0.25">
      <c r="H24" s="245">
        <v>44036</v>
      </c>
      <c r="I24" s="226">
        <v>520</v>
      </c>
      <c r="J24" s="182">
        <f t="shared" si="3"/>
        <v>2</v>
      </c>
      <c r="K24" s="226"/>
      <c r="L24" s="247"/>
      <c r="M24" s="243">
        <f t="shared" si="8"/>
        <v>0.69230769230769229</v>
      </c>
      <c r="N24" s="243">
        <f t="shared" ref="N24:N26" si="12">13/26*J24</f>
        <v>1</v>
      </c>
      <c r="O24" s="243">
        <f t="shared" ref="O24:O26" si="13">J24-N24-M24</f>
        <v>0.30769230769230771</v>
      </c>
      <c r="P24" s="243"/>
      <c r="Q24" s="243"/>
      <c r="R24" s="248"/>
      <c r="S24" s="226">
        <f>S23-1</f>
        <v>9</v>
      </c>
      <c r="T24" s="226"/>
      <c r="U24" s="226"/>
      <c r="V24" s="226"/>
    </row>
    <row r="25" spans="8:22" x14ac:dyDescent="0.25">
      <c r="H25" s="245">
        <v>44043</v>
      </c>
      <c r="I25" s="226">
        <v>521</v>
      </c>
      <c r="J25" s="182">
        <f t="shared" si="3"/>
        <v>1</v>
      </c>
      <c r="K25" s="226"/>
      <c r="L25" s="247"/>
      <c r="M25" s="243">
        <f t="shared" si="8"/>
        <v>0.30769230769230771</v>
      </c>
      <c r="N25" s="243">
        <f t="shared" si="12"/>
        <v>0.5</v>
      </c>
      <c r="O25" s="243">
        <f t="shared" si="13"/>
        <v>0.19230769230769229</v>
      </c>
      <c r="P25" s="243"/>
      <c r="Q25" s="243"/>
      <c r="R25" s="248"/>
      <c r="S25" s="226">
        <f>S24-1</f>
        <v>8</v>
      </c>
      <c r="T25" s="226"/>
      <c r="U25" s="226"/>
      <c r="V25" s="226"/>
    </row>
    <row r="26" spans="8:22" x14ac:dyDescent="0.25">
      <c r="H26" s="245">
        <v>44051</v>
      </c>
      <c r="I26" s="226">
        <v>525</v>
      </c>
      <c r="J26" s="182">
        <f t="shared" si="3"/>
        <v>4</v>
      </c>
      <c r="K26" s="226"/>
      <c r="L26" s="247"/>
      <c r="M26" s="243">
        <f t="shared" si="8"/>
        <v>1.0769230769230769</v>
      </c>
      <c r="N26" s="243">
        <f t="shared" si="12"/>
        <v>2</v>
      </c>
      <c r="O26" s="243">
        <f t="shared" si="13"/>
        <v>0.92307692307692313</v>
      </c>
      <c r="P26" s="243"/>
      <c r="Q26" s="243"/>
      <c r="R26" s="248"/>
      <c r="S26" s="226">
        <f>S25-1</f>
        <v>7</v>
      </c>
      <c r="T26" s="226"/>
      <c r="U26" s="226"/>
      <c r="V26" s="226"/>
    </row>
    <row r="27" spans="8:22" x14ac:dyDescent="0.25">
      <c r="H27" s="245">
        <v>44220</v>
      </c>
      <c r="I27" s="226">
        <v>558</v>
      </c>
      <c r="J27" s="182">
        <f t="shared" si="3"/>
        <v>33</v>
      </c>
      <c r="K27" s="226"/>
      <c r="L27" s="247"/>
      <c r="M27" s="243"/>
      <c r="N27" s="243"/>
      <c r="O27" s="243">
        <f>S27/26*J27</f>
        <v>12.692307692307693</v>
      </c>
      <c r="P27" s="243">
        <f>J27/2</f>
        <v>16.5</v>
      </c>
      <c r="Q27" s="243">
        <f>J27-P27-O27</f>
        <v>3.8076923076923066</v>
      </c>
      <c r="R27" s="248"/>
      <c r="S27" s="226">
        <v>10</v>
      </c>
      <c r="T27" s="226">
        <v>10</v>
      </c>
      <c r="U27" s="226"/>
      <c r="V27" s="226"/>
    </row>
    <row r="28" spans="8:22" x14ac:dyDescent="0.25">
      <c r="H28" s="245">
        <v>44227</v>
      </c>
      <c r="I28" s="226">
        <v>596</v>
      </c>
      <c r="J28" s="182">
        <f t="shared" si="3"/>
        <v>38</v>
      </c>
      <c r="K28" s="226"/>
      <c r="L28" s="247"/>
      <c r="M28" s="243"/>
      <c r="N28" s="243"/>
      <c r="O28" s="243">
        <f t="shared" ref="O28:O36" si="14">S28/26*J28</f>
        <v>13.153846153846153</v>
      </c>
      <c r="P28" s="243">
        <f t="shared" ref="P28:P36" si="15">J28/2</f>
        <v>19</v>
      </c>
      <c r="Q28" s="243">
        <f t="shared" ref="Q28:Q36" si="16">J28-P28-O28</f>
        <v>5.8461538461538467</v>
      </c>
      <c r="R28" s="248"/>
      <c r="S28" s="226">
        <f>S27-1</f>
        <v>9</v>
      </c>
      <c r="T28" s="226">
        <f>T27-1</f>
        <v>9</v>
      </c>
      <c r="U28" s="226"/>
      <c r="V28" s="226"/>
    </row>
    <row r="29" spans="8:22" x14ac:dyDescent="0.25">
      <c r="H29" s="245">
        <v>44234</v>
      </c>
      <c r="I29" s="226">
        <v>623</v>
      </c>
      <c r="J29" s="182">
        <f t="shared" si="3"/>
        <v>27</v>
      </c>
      <c r="K29" s="226"/>
      <c r="L29" s="247"/>
      <c r="M29" s="243"/>
      <c r="N29" s="243"/>
      <c r="O29" s="243">
        <f t="shared" si="14"/>
        <v>8.3076923076923084</v>
      </c>
      <c r="P29" s="243">
        <f t="shared" si="15"/>
        <v>13.5</v>
      </c>
      <c r="Q29" s="243">
        <f t="shared" si="16"/>
        <v>5.1923076923076916</v>
      </c>
      <c r="R29" s="248"/>
      <c r="S29" s="226">
        <f t="shared" ref="S29:S36" si="17">S28-1</f>
        <v>8</v>
      </c>
      <c r="T29" s="226">
        <f t="shared" ref="T29:T36" si="18">T28-1</f>
        <v>8</v>
      </c>
      <c r="U29" s="226"/>
      <c r="V29" s="226"/>
    </row>
    <row r="30" spans="8:22" x14ac:dyDescent="0.25">
      <c r="H30" s="245">
        <v>44242</v>
      </c>
      <c r="I30" s="226">
        <v>648</v>
      </c>
      <c r="J30" s="182">
        <f t="shared" si="3"/>
        <v>25</v>
      </c>
      <c r="K30" s="226"/>
      <c r="L30" s="247"/>
      <c r="M30" s="243"/>
      <c r="N30" s="243"/>
      <c r="O30" s="243">
        <f t="shared" si="14"/>
        <v>6.7307692307692308</v>
      </c>
      <c r="P30" s="243">
        <f t="shared" si="15"/>
        <v>12.5</v>
      </c>
      <c r="Q30" s="243">
        <f t="shared" si="16"/>
        <v>5.7692307692307692</v>
      </c>
      <c r="R30" s="248"/>
      <c r="S30" s="226">
        <f t="shared" si="17"/>
        <v>7</v>
      </c>
      <c r="T30" s="226">
        <f t="shared" si="18"/>
        <v>7</v>
      </c>
      <c r="U30" s="226"/>
      <c r="V30" s="226"/>
    </row>
    <row r="31" spans="8:22" x14ac:dyDescent="0.25">
      <c r="H31" s="245">
        <v>44248</v>
      </c>
      <c r="I31" s="226">
        <v>663</v>
      </c>
      <c r="J31" s="182">
        <f t="shared" si="3"/>
        <v>15</v>
      </c>
      <c r="K31" s="226"/>
      <c r="L31" s="247"/>
      <c r="M31" s="243"/>
      <c r="N31" s="243"/>
      <c r="O31" s="243">
        <f t="shared" si="14"/>
        <v>3.4615384615384617</v>
      </c>
      <c r="P31" s="243">
        <f t="shared" si="15"/>
        <v>7.5</v>
      </c>
      <c r="Q31" s="243">
        <f t="shared" si="16"/>
        <v>4.0384615384615383</v>
      </c>
      <c r="R31" s="248"/>
      <c r="S31" s="226">
        <f t="shared" si="17"/>
        <v>6</v>
      </c>
      <c r="T31" s="226">
        <f t="shared" si="18"/>
        <v>6</v>
      </c>
      <c r="U31" s="226"/>
      <c r="V31" s="226"/>
    </row>
    <row r="32" spans="8:22" x14ac:dyDescent="0.25">
      <c r="H32" s="245">
        <v>44255</v>
      </c>
      <c r="I32" s="226">
        <v>679</v>
      </c>
      <c r="J32" s="182">
        <f t="shared" si="3"/>
        <v>16</v>
      </c>
      <c r="K32" s="226"/>
      <c r="L32" s="247"/>
      <c r="M32" s="243"/>
      <c r="N32" s="243"/>
      <c r="O32" s="243">
        <f t="shared" si="14"/>
        <v>3.0769230769230771</v>
      </c>
      <c r="P32" s="243">
        <f t="shared" si="15"/>
        <v>8</v>
      </c>
      <c r="Q32" s="243">
        <f t="shared" si="16"/>
        <v>4.9230769230769234</v>
      </c>
      <c r="R32" s="248"/>
      <c r="S32" s="226">
        <f t="shared" si="17"/>
        <v>5</v>
      </c>
      <c r="T32" s="226">
        <f t="shared" si="18"/>
        <v>5</v>
      </c>
      <c r="U32" s="226"/>
      <c r="V32" s="226"/>
    </row>
    <row r="33" spans="8:22" x14ac:dyDescent="0.25">
      <c r="H33" s="245">
        <v>44262</v>
      </c>
      <c r="I33" s="226">
        <v>687</v>
      </c>
      <c r="J33" s="182">
        <f t="shared" si="3"/>
        <v>8</v>
      </c>
      <c r="K33" s="226"/>
      <c r="L33" s="247"/>
      <c r="M33" s="243"/>
      <c r="N33" s="243"/>
      <c r="O33" s="243">
        <f t="shared" si="14"/>
        <v>1.2307692307692308</v>
      </c>
      <c r="P33" s="243">
        <f t="shared" si="15"/>
        <v>4</v>
      </c>
      <c r="Q33" s="243">
        <f t="shared" si="16"/>
        <v>2.7692307692307692</v>
      </c>
      <c r="R33" s="248"/>
      <c r="S33" s="226">
        <f t="shared" si="17"/>
        <v>4</v>
      </c>
      <c r="T33" s="226">
        <f t="shared" si="18"/>
        <v>4</v>
      </c>
      <c r="U33" s="226"/>
      <c r="V33" s="226"/>
    </row>
    <row r="34" spans="8:22" x14ac:dyDescent="0.25">
      <c r="H34" s="245">
        <v>44269</v>
      </c>
      <c r="I34" s="226">
        <v>704</v>
      </c>
      <c r="J34" s="182">
        <f t="shared" si="3"/>
        <v>17</v>
      </c>
      <c r="K34" s="226"/>
      <c r="L34" s="247"/>
      <c r="M34" s="243"/>
      <c r="N34" s="243"/>
      <c r="O34" s="243">
        <f t="shared" si="14"/>
        <v>1.9615384615384617</v>
      </c>
      <c r="P34" s="243">
        <f t="shared" si="15"/>
        <v>8.5</v>
      </c>
      <c r="Q34" s="243">
        <f t="shared" si="16"/>
        <v>6.5384615384615383</v>
      </c>
      <c r="R34" s="248"/>
      <c r="S34" s="226">
        <f t="shared" si="17"/>
        <v>3</v>
      </c>
      <c r="T34" s="226">
        <f t="shared" si="18"/>
        <v>3</v>
      </c>
      <c r="U34" s="226"/>
      <c r="V34" s="226"/>
    </row>
    <row r="35" spans="8:22" x14ac:dyDescent="0.25">
      <c r="H35" s="245">
        <v>44276</v>
      </c>
      <c r="I35" s="226">
        <v>718</v>
      </c>
      <c r="J35" s="182">
        <f t="shared" si="3"/>
        <v>14</v>
      </c>
      <c r="K35" s="226"/>
      <c r="L35" s="247"/>
      <c r="M35" s="243"/>
      <c r="N35" s="243"/>
      <c r="O35" s="243">
        <f t="shared" si="14"/>
        <v>1.0769230769230771</v>
      </c>
      <c r="P35" s="243">
        <f t="shared" si="15"/>
        <v>7</v>
      </c>
      <c r="Q35" s="243">
        <f t="shared" si="16"/>
        <v>5.9230769230769234</v>
      </c>
      <c r="R35" s="248"/>
      <c r="S35" s="226">
        <f t="shared" si="17"/>
        <v>2</v>
      </c>
      <c r="T35" s="226">
        <f t="shared" si="18"/>
        <v>2</v>
      </c>
      <c r="U35" s="226"/>
      <c r="V35" s="226"/>
    </row>
    <row r="36" spans="8:22" x14ac:dyDescent="0.25">
      <c r="H36" s="245">
        <v>44283</v>
      </c>
      <c r="I36" s="226">
        <v>734</v>
      </c>
      <c r="J36" s="182">
        <f t="shared" si="3"/>
        <v>16</v>
      </c>
      <c r="K36" s="226"/>
      <c r="L36" s="247"/>
      <c r="M36" s="243"/>
      <c r="N36" s="243"/>
      <c r="O36" s="243">
        <f t="shared" si="14"/>
        <v>0.61538461538461542</v>
      </c>
      <c r="P36" s="243">
        <f t="shared" si="15"/>
        <v>8</v>
      </c>
      <c r="Q36" s="243">
        <f t="shared" si="16"/>
        <v>7.384615384615385</v>
      </c>
      <c r="R36" s="248"/>
      <c r="S36" s="226">
        <f t="shared" si="17"/>
        <v>1</v>
      </c>
      <c r="T36" s="226">
        <f t="shared" si="18"/>
        <v>1</v>
      </c>
      <c r="U36" s="226"/>
      <c r="V36" s="226"/>
    </row>
    <row r="37" spans="8:22" x14ac:dyDescent="0.25">
      <c r="H37" s="245">
        <v>44290</v>
      </c>
      <c r="I37" s="226">
        <v>746</v>
      </c>
      <c r="J37" s="182">
        <f t="shared" si="3"/>
        <v>12</v>
      </c>
      <c r="K37" s="226"/>
      <c r="L37" s="247"/>
      <c r="M37" s="243"/>
      <c r="N37" s="243"/>
      <c r="O37" s="243"/>
      <c r="P37" s="243">
        <f>T37/26*J37</f>
        <v>6</v>
      </c>
      <c r="Q37" s="243">
        <f>J37/2</f>
        <v>6</v>
      </c>
      <c r="R37" s="248">
        <f>J37-Q37-P37</f>
        <v>0</v>
      </c>
      <c r="S37" s="226">
        <v>13</v>
      </c>
      <c r="T37" s="226">
        <v>13</v>
      </c>
      <c r="U37" s="226"/>
      <c r="V37" s="226"/>
    </row>
    <row r="38" spans="8:22" x14ac:dyDescent="0.25">
      <c r="H38" s="245">
        <v>44297</v>
      </c>
      <c r="I38" s="226">
        <v>755</v>
      </c>
      <c r="J38" s="182">
        <f t="shared" si="3"/>
        <v>9</v>
      </c>
      <c r="K38" s="226"/>
      <c r="L38" s="247"/>
      <c r="M38" s="243"/>
      <c r="N38" s="243"/>
      <c r="O38" s="243"/>
      <c r="P38" s="243">
        <f t="shared" ref="P38:P45" si="19">T38/26*J38</f>
        <v>4.1538461538461542</v>
      </c>
      <c r="Q38" s="243">
        <f t="shared" ref="Q38:Q45" si="20">J38/2</f>
        <v>4.5</v>
      </c>
      <c r="R38" s="248">
        <f t="shared" ref="R38:R45" si="21">J38-Q38-P38</f>
        <v>0.34615384615384581</v>
      </c>
      <c r="S38" s="226">
        <f>S37-1</f>
        <v>12</v>
      </c>
      <c r="T38" s="226">
        <f>T37-1</f>
        <v>12</v>
      </c>
      <c r="U38" s="226"/>
      <c r="V38" s="226"/>
    </row>
    <row r="39" spans="8:22" x14ac:dyDescent="0.25">
      <c r="H39" s="245">
        <v>44304</v>
      </c>
      <c r="I39" s="226">
        <v>762</v>
      </c>
      <c r="J39" s="182">
        <f t="shared" si="3"/>
        <v>7</v>
      </c>
      <c r="K39" s="226"/>
      <c r="L39" s="247"/>
      <c r="M39" s="243"/>
      <c r="N39" s="243"/>
      <c r="O39" s="243"/>
      <c r="P39" s="243">
        <f t="shared" si="19"/>
        <v>2.9615384615384617</v>
      </c>
      <c r="Q39" s="243">
        <f t="shared" si="20"/>
        <v>3.5</v>
      </c>
      <c r="R39" s="248">
        <f t="shared" si="21"/>
        <v>0.53846153846153832</v>
      </c>
      <c r="S39" s="226">
        <f t="shared" ref="S39:S45" si="22">S38-1</f>
        <v>11</v>
      </c>
      <c r="T39" s="226">
        <f t="shared" ref="T39:T45" si="23">T38-1</f>
        <v>11</v>
      </c>
      <c r="U39" s="226"/>
      <c r="V39" s="226"/>
    </row>
    <row r="40" spans="8:22" x14ac:dyDescent="0.25">
      <c r="H40" s="245">
        <v>44311</v>
      </c>
      <c r="I40" s="226">
        <v>771</v>
      </c>
      <c r="J40" s="182">
        <f t="shared" si="3"/>
        <v>9</v>
      </c>
      <c r="K40" s="226"/>
      <c r="L40" s="247"/>
      <c r="M40" s="243"/>
      <c r="N40" s="243"/>
      <c r="O40" s="243"/>
      <c r="P40" s="243">
        <f t="shared" si="19"/>
        <v>3.4615384615384617</v>
      </c>
      <c r="Q40" s="243">
        <f t="shared" si="20"/>
        <v>4.5</v>
      </c>
      <c r="R40" s="248">
        <f t="shared" si="21"/>
        <v>1.0384615384615383</v>
      </c>
      <c r="S40" s="226">
        <f t="shared" si="22"/>
        <v>10</v>
      </c>
      <c r="T40" s="226">
        <f t="shared" si="23"/>
        <v>10</v>
      </c>
      <c r="U40" s="226"/>
      <c r="V40" s="226"/>
    </row>
    <row r="41" spans="8:22" x14ac:dyDescent="0.25">
      <c r="H41" s="245">
        <v>44318</v>
      </c>
      <c r="I41" s="226">
        <v>780</v>
      </c>
      <c r="J41" s="182">
        <f t="shared" si="3"/>
        <v>9</v>
      </c>
      <c r="K41" s="226"/>
      <c r="L41" s="247"/>
      <c r="M41" s="243"/>
      <c r="N41" s="243"/>
      <c r="O41" s="243"/>
      <c r="P41" s="243">
        <f t="shared" si="19"/>
        <v>3.1153846153846154</v>
      </c>
      <c r="Q41" s="243">
        <f t="shared" si="20"/>
        <v>4.5</v>
      </c>
      <c r="R41" s="248">
        <f t="shared" si="21"/>
        <v>1.3846153846153846</v>
      </c>
      <c r="S41" s="226">
        <f t="shared" si="22"/>
        <v>9</v>
      </c>
      <c r="T41" s="226">
        <f t="shared" si="23"/>
        <v>9</v>
      </c>
      <c r="U41" s="226"/>
      <c r="V41" s="226"/>
    </row>
    <row r="42" spans="8:22" x14ac:dyDescent="0.25">
      <c r="H42" s="245">
        <v>44325</v>
      </c>
      <c r="I42" s="226">
        <v>782</v>
      </c>
      <c r="J42" s="182">
        <f t="shared" si="3"/>
        <v>2</v>
      </c>
      <c r="K42" s="226"/>
      <c r="L42" s="247"/>
      <c r="M42" s="243"/>
      <c r="N42" s="243"/>
      <c r="O42" s="243"/>
      <c r="P42" s="243">
        <f t="shared" si="19"/>
        <v>0.61538461538461542</v>
      </c>
      <c r="Q42" s="243">
        <f t="shared" si="20"/>
        <v>1</v>
      </c>
      <c r="R42" s="248">
        <f t="shared" si="21"/>
        <v>0.38461538461538458</v>
      </c>
      <c r="S42" s="226">
        <f t="shared" si="22"/>
        <v>8</v>
      </c>
      <c r="T42" s="226">
        <f t="shared" si="23"/>
        <v>8</v>
      </c>
      <c r="U42" s="226"/>
      <c r="V42" s="226"/>
    </row>
    <row r="43" spans="8:22" x14ac:dyDescent="0.25">
      <c r="H43" s="245">
        <v>44332</v>
      </c>
      <c r="I43" s="226">
        <v>788</v>
      </c>
      <c r="J43" s="182">
        <f t="shared" si="3"/>
        <v>6</v>
      </c>
      <c r="K43" s="226"/>
      <c r="L43" s="247"/>
      <c r="M43" s="243"/>
      <c r="N43" s="243"/>
      <c r="O43" s="243"/>
      <c r="P43" s="243">
        <f t="shared" si="19"/>
        <v>1.6153846153846154</v>
      </c>
      <c r="Q43" s="243">
        <f t="shared" si="20"/>
        <v>3</v>
      </c>
      <c r="R43" s="248">
        <f t="shared" si="21"/>
        <v>1.3846153846153846</v>
      </c>
      <c r="S43" s="226">
        <f t="shared" si="22"/>
        <v>7</v>
      </c>
      <c r="T43" s="226">
        <f t="shared" si="23"/>
        <v>7</v>
      </c>
      <c r="U43" s="226"/>
      <c r="V43" s="226"/>
    </row>
    <row r="44" spans="8:22" x14ac:dyDescent="0.25">
      <c r="H44" s="245">
        <v>44339</v>
      </c>
      <c r="I44" s="226">
        <v>796</v>
      </c>
      <c r="J44" s="182">
        <f t="shared" si="3"/>
        <v>8</v>
      </c>
      <c r="K44" s="226"/>
      <c r="L44" s="247"/>
      <c r="M44" s="243"/>
      <c r="N44" s="243"/>
      <c r="O44" s="243"/>
      <c r="P44" s="243">
        <f t="shared" si="19"/>
        <v>1.8461538461538463</v>
      </c>
      <c r="Q44" s="243">
        <f t="shared" si="20"/>
        <v>4</v>
      </c>
      <c r="R44" s="248">
        <f t="shared" si="21"/>
        <v>2.1538461538461537</v>
      </c>
      <c r="S44" s="226">
        <f t="shared" si="22"/>
        <v>6</v>
      </c>
      <c r="T44" s="226">
        <f t="shared" si="23"/>
        <v>6</v>
      </c>
      <c r="U44" s="226"/>
      <c r="V44" s="226"/>
    </row>
    <row r="45" spans="8:22" x14ac:dyDescent="0.25">
      <c r="H45" s="246">
        <v>44347</v>
      </c>
      <c r="I45" s="224">
        <v>800</v>
      </c>
      <c r="J45" s="238">
        <f t="shared" si="3"/>
        <v>4</v>
      </c>
      <c r="K45" s="226"/>
      <c r="L45" s="247"/>
      <c r="M45" s="243"/>
      <c r="N45" s="243"/>
      <c r="O45" s="243"/>
      <c r="P45" s="243">
        <f t="shared" si="19"/>
        <v>0.76923076923076927</v>
      </c>
      <c r="Q45" s="243">
        <f t="shared" si="20"/>
        <v>2</v>
      </c>
      <c r="R45" s="248">
        <f t="shared" si="21"/>
        <v>1.2307692307692308</v>
      </c>
      <c r="S45" s="226">
        <f t="shared" si="22"/>
        <v>5</v>
      </c>
      <c r="T45" s="226">
        <f t="shared" si="23"/>
        <v>5</v>
      </c>
      <c r="U45" s="226"/>
      <c r="V45" s="226"/>
    </row>
    <row r="46" spans="8:22" x14ac:dyDescent="0.25">
      <c r="H46" s="226"/>
      <c r="I46" s="226"/>
      <c r="J46" s="226"/>
      <c r="K46" s="226"/>
      <c r="L46" s="247">
        <f>SUM(L11:L45)</f>
        <v>184.80769230769229</v>
      </c>
      <c r="M46" s="243">
        <f t="shared" ref="M46:R46" si="24">SUM(M11:M45)</f>
        <v>261.42307692307696</v>
      </c>
      <c r="N46" s="243">
        <f t="shared" si="24"/>
        <v>77.692307692307693</v>
      </c>
      <c r="O46" s="243">
        <f t="shared" si="24"/>
        <v>53.384615384615394</v>
      </c>
      <c r="P46" s="243">
        <f t="shared" si="24"/>
        <v>129.03846153846155</v>
      </c>
      <c r="Q46" s="243">
        <f t="shared" si="24"/>
        <v>85.192307692307693</v>
      </c>
      <c r="R46" s="248">
        <f t="shared" si="24"/>
        <v>8.4615384615384599</v>
      </c>
      <c r="S46" s="226"/>
      <c r="T46" s="226"/>
      <c r="U46" s="226"/>
      <c r="V46" s="226"/>
    </row>
    <row r="47" spans="8:22" x14ac:dyDescent="0.25">
      <c r="H47" s="226"/>
      <c r="I47" s="226"/>
      <c r="J47" s="226"/>
      <c r="K47" s="226"/>
      <c r="L47" s="249">
        <f>L46*4</f>
        <v>739.23076923076917</v>
      </c>
      <c r="M47" s="250">
        <f t="shared" ref="M47:R47" si="25">M46*4</f>
        <v>1045.6923076923078</v>
      </c>
      <c r="N47" s="250">
        <f t="shared" si="25"/>
        <v>310.76923076923077</v>
      </c>
      <c r="O47" s="250">
        <f t="shared" si="25"/>
        <v>213.53846153846158</v>
      </c>
      <c r="P47" s="250">
        <f t="shared" si="25"/>
        <v>516.15384615384619</v>
      </c>
      <c r="Q47" s="250">
        <f t="shared" si="25"/>
        <v>340.76923076923077</v>
      </c>
      <c r="R47" s="252">
        <f t="shared" si="25"/>
        <v>33.84615384615384</v>
      </c>
      <c r="S47" s="226" t="s">
        <v>371</v>
      </c>
      <c r="T47" s="226"/>
      <c r="U47" s="226"/>
      <c r="V47" s="226"/>
    </row>
    <row r="48" spans="8:22" x14ac:dyDescent="0.25">
      <c r="J48" s="183" t="s">
        <v>372</v>
      </c>
      <c r="L48" s="183">
        <v>634</v>
      </c>
      <c r="M48" s="273">
        <f>K55</f>
        <v>900.7</v>
      </c>
      <c r="N48" s="273">
        <f t="shared" ref="N48:P48" si="26">L55</f>
        <v>270.7</v>
      </c>
      <c r="O48" s="273">
        <f t="shared" si="26"/>
        <v>195.4</v>
      </c>
      <c r="P48" s="273">
        <f t="shared" si="26"/>
        <v>451.9</v>
      </c>
      <c r="Q48" s="273">
        <v>279</v>
      </c>
      <c r="R48" s="273"/>
    </row>
    <row r="50" spans="8:29" x14ac:dyDescent="0.25">
      <c r="H50" s="950" t="s">
        <v>373</v>
      </c>
      <c r="I50" s="951"/>
      <c r="J50" s="956" t="s">
        <v>325</v>
      </c>
      <c r="K50" s="957"/>
      <c r="L50" s="957"/>
      <c r="M50" s="958"/>
      <c r="N50" s="958"/>
      <c r="O50" s="958"/>
      <c r="P50" s="936"/>
      <c r="Q50" s="257"/>
      <c r="R50" s="257"/>
      <c r="S50" s="257"/>
      <c r="T50" s="257"/>
      <c r="U50" s="257"/>
      <c r="V50" s="257"/>
      <c r="W50" s="257"/>
      <c r="X50" s="257"/>
      <c r="Y50" s="257"/>
    </row>
    <row r="51" spans="8:29" x14ac:dyDescent="0.25">
      <c r="H51" s="952"/>
      <c r="I51" s="953"/>
      <c r="J51" s="932">
        <v>2020</v>
      </c>
      <c r="K51" s="933"/>
      <c r="L51" s="933"/>
      <c r="M51" s="932">
        <v>2021</v>
      </c>
      <c r="N51" s="933"/>
      <c r="O51" s="933"/>
      <c r="P51" s="934"/>
      <c r="Q51" s="948"/>
      <c r="R51" s="948"/>
      <c r="S51" s="948"/>
      <c r="T51" s="948"/>
      <c r="U51" s="948"/>
      <c r="V51" s="948"/>
      <c r="W51" s="948"/>
      <c r="X51" s="948"/>
    </row>
    <row r="52" spans="8:29" x14ac:dyDescent="0.25">
      <c r="H52" s="954"/>
      <c r="I52" s="955"/>
      <c r="J52" s="180" t="s">
        <v>329</v>
      </c>
      <c r="K52" s="177" t="s">
        <v>238</v>
      </c>
      <c r="L52" s="177" t="s">
        <v>327</v>
      </c>
      <c r="M52" s="251" t="s">
        <v>328</v>
      </c>
      <c r="N52" s="253" t="s">
        <v>329</v>
      </c>
      <c r="O52" s="253" t="s">
        <v>238</v>
      </c>
      <c r="P52" s="184" t="s">
        <v>327</v>
      </c>
      <c r="Q52" s="226"/>
      <c r="S52" s="183"/>
      <c r="T52" s="183"/>
      <c r="U52" s="226"/>
      <c r="V52" s="183"/>
      <c r="W52" s="183"/>
      <c r="X52" s="183"/>
      <c r="Y52" s="183"/>
      <c r="Z52" s="183"/>
      <c r="AA52" s="183"/>
    </row>
    <row r="53" spans="8:29" ht="32.65" customHeight="1" x14ac:dyDescent="0.25">
      <c r="H53" s="263" t="s">
        <v>374</v>
      </c>
      <c r="I53" s="226" t="s">
        <v>375</v>
      </c>
      <c r="J53" s="268">
        <f>'Haver Pivoted'!GU47</f>
        <v>57.2</v>
      </c>
      <c r="K53" s="269">
        <f>'Haver Pivoted'!GV47</f>
        <v>81.2</v>
      </c>
      <c r="L53" s="269">
        <f>'Haver Pivoted'!GW47</f>
        <v>24.4</v>
      </c>
      <c r="M53" s="227">
        <f>'Haver Pivoted'!GX47</f>
        <v>10.8</v>
      </c>
      <c r="N53" s="227">
        <f>'Haver Pivoted'!GY47</f>
        <v>24.7</v>
      </c>
      <c r="O53" s="174">
        <f>'Haver Pivoted'!GZ47</f>
        <v>14</v>
      </c>
      <c r="P53" s="174">
        <f>'Haver Pivoted'!HA47</f>
        <v>2</v>
      </c>
      <c r="Q53" s="227"/>
      <c r="S53" s="183"/>
      <c r="T53" s="183"/>
      <c r="U53" s="183"/>
      <c r="V53" s="183"/>
      <c r="W53" s="183"/>
      <c r="X53" s="183"/>
      <c r="Y53" s="183"/>
      <c r="Z53" s="183"/>
      <c r="AA53" s="183"/>
    </row>
    <row r="54" spans="8:29" ht="33.75" customHeight="1" x14ac:dyDescent="0.25">
      <c r="H54" s="263" t="s">
        <v>376</v>
      </c>
      <c r="I54" s="157" t="s">
        <v>377</v>
      </c>
      <c r="J54" s="240">
        <f>'Haver Pivoted'!GU49</f>
        <v>576.9</v>
      </c>
      <c r="K54" s="227">
        <f>'Haver Pivoted'!GV49</f>
        <v>819.5</v>
      </c>
      <c r="L54" s="227">
        <f>'Haver Pivoted'!GW49</f>
        <v>246.3</v>
      </c>
      <c r="M54" s="227">
        <f>'Haver Pivoted'!GX49</f>
        <v>184.6</v>
      </c>
      <c r="N54" s="227">
        <f>'Haver Pivoted'!GY49</f>
        <v>427.2</v>
      </c>
      <c r="O54" s="174">
        <f>'Haver Pivoted'!GZ49</f>
        <v>265</v>
      </c>
      <c r="P54" s="174">
        <f>'Haver Pivoted'!HA49</f>
        <v>28.6</v>
      </c>
      <c r="Q54" s="227"/>
      <c r="R54" s="227"/>
    </row>
    <row r="55" spans="8:29" x14ac:dyDescent="0.25">
      <c r="H55" s="255" t="s">
        <v>360</v>
      </c>
      <c r="I55" s="226"/>
      <c r="J55" s="240">
        <f>J54+J53</f>
        <v>634.1</v>
      </c>
      <c r="K55" s="227">
        <f t="shared" ref="K55:M55" si="27">K54+K53</f>
        <v>900.7</v>
      </c>
      <c r="L55" s="227">
        <f t="shared" si="27"/>
        <v>270.7</v>
      </c>
      <c r="M55" s="227">
        <f t="shared" si="27"/>
        <v>195.4</v>
      </c>
      <c r="N55" s="227">
        <f t="shared" ref="N55:P55" si="28">N54+N53</f>
        <v>451.9</v>
      </c>
      <c r="O55" s="174">
        <f t="shared" si="28"/>
        <v>279</v>
      </c>
      <c r="P55" s="174">
        <f t="shared" si="28"/>
        <v>30.6</v>
      </c>
      <c r="Q55" s="227"/>
      <c r="R55" s="227"/>
    </row>
    <row r="56" spans="8:29" x14ac:dyDescent="0.25">
      <c r="H56" s="168" t="s">
        <v>378</v>
      </c>
      <c r="I56" s="224"/>
      <c r="J56" s="259">
        <f t="shared" ref="J56:P56" si="29">J53/J55</f>
        <v>9.0206592020186091E-2</v>
      </c>
      <c r="K56" s="260">
        <f t="shared" si="29"/>
        <v>9.015210391917397E-2</v>
      </c>
      <c r="L56" s="260">
        <f t="shared" si="29"/>
        <v>9.0136682674547469E-2</v>
      </c>
      <c r="M56" s="260">
        <f t="shared" si="29"/>
        <v>5.527123848515865E-2</v>
      </c>
      <c r="N56" s="260">
        <f t="shared" si="29"/>
        <v>5.4658110201371984E-2</v>
      </c>
      <c r="O56" s="261">
        <f t="shared" si="29"/>
        <v>5.0179211469534052E-2</v>
      </c>
      <c r="P56" s="261">
        <f t="shared" si="29"/>
        <v>6.535947712418301E-2</v>
      </c>
      <c r="Q56" s="241"/>
      <c r="R56" s="242"/>
    </row>
    <row r="58" spans="8:29" x14ac:dyDescent="0.25">
      <c r="H58" s="183" t="s">
        <v>896</v>
      </c>
    </row>
    <row r="59" spans="8:29" x14ac:dyDescent="0.25">
      <c r="H59" s="254"/>
      <c r="I59" s="226"/>
      <c r="J59" s="227"/>
      <c r="K59" s="227"/>
      <c r="L59" s="227"/>
      <c r="M59" s="227"/>
      <c r="N59" s="227"/>
      <c r="O59" s="227"/>
      <c r="P59" s="236"/>
      <c r="Q59" s="227"/>
      <c r="R59" s="227"/>
      <c r="S59" s="227"/>
      <c r="T59" s="183"/>
      <c r="U59" s="183"/>
      <c r="V59" s="183"/>
      <c r="W59" s="183"/>
      <c r="X59" s="183"/>
      <c r="Y59" s="183"/>
      <c r="Z59" s="183"/>
      <c r="AA59" s="183"/>
      <c r="AB59" s="183"/>
      <c r="AC59" s="183"/>
    </row>
    <row r="60" spans="8:29" x14ac:dyDescent="0.25">
      <c r="P60" s="227"/>
      <c r="Q60" s="183"/>
      <c r="R60" s="183"/>
      <c r="S60" s="183"/>
      <c r="T60" s="183"/>
      <c r="U60" s="183"/>
      <c r="V60" s="183"/>
      <c r="W60" s="183"/>
      <c r="X60" s="183"/>
      <c r="Y60" s="183"/>
      <c r="Z60" s="183"/>
      <c r="AA60" s="183"/>
      <c r="AB60" s="183"/>
      <c r="AC60" s="183"/>
    </row>
    <row r="61" spans="8:29" x14ac:dyDescent="0.25">
      <c r="P61" s="227"/>
      <c r="Q61" s="237"/>
      <c r="R61" s="237"/>
      <c r="S61" s="237"/>
      <c r="T61" s="237"/>
      <c r="U61" s="237"/>
      <c r="V61" s="237"/>
      <c r="W61" s="237"/>
      <c r="X61" s="237"/>
      <c r="Y61" s="237"/>
      <c r="Z61" s="237"/>
      <c r="AA61" s="237"/>
      <c r="AB61" s="237"/>
      <c r="AC61" s="183"/>
    </row>
    <row r="62" spans="8:29" x14ac:dyDescent="0.25">
      <c r="P62" s="227"/>
      <c r="Q62" s="237"/>
      <c r="R62" s="237"/>
      <c r="S62" s="237"/>
      <c r="T62" s="237"/>
      <c r="U62" s="237"/>
      <c r="V62" s="237"/>
      <c r="W62" s="237"/>
      <c r="X62" s="237"/>
      <c r="Y62" s="237"/>
      <c r="Z62" s="237"/>
      <c r="AA62" s="237"/>
      <c r="AB62" s="237"/>
      <c r="AC62" s="183"/>
    </row>
    <row r="63" spans="8:29" x14ac:dyDescent="0.25">
      <c r="I63" s="183" t="s">
        <v>328</v>
      </c>
      <c r="J63" s="183" t="s">
        <v>329</v>
      </c>
      <c r="K63" s="183" t="s">
        <v>238</v>
      </c>
      <c r="L63" s="183" t="s">
        <v>327</v>
      </c>
      <c r="P63" s="242"/>
      <c r="Q63" s="237"/>
      <c r="R63" s="237"/>
      <c r="S63" s="237"/>
      <c r="T63" s="237"/>
      <c r="U63" s="237"/>
      <c r="V63" s="237"/>
      <c r="W63" s="237"/>
      <c r="X63" s="237"/>
      <c r="Y63" s="237"/>
      <c r="Z63" s="237"/>
      <c r="AA63" s="237"/>
      <c r="AB63" s="237"/>
      <c r="AC63" s="183"/>
    </row>
    <row r="64" spans="8:29" x14ac:dyDescent="0.25">
      <c r="H64" s="183" t="s">
        <v>897</v>
      </c>
      <c r="I64" s="183">
        <v>81.599999999999994</v>
      </c>
      <c r="J64" s="183">
        <v>188.9</v>
      </c>
      <c r="K64" s="183">
        <v>117.2</v>
      </c>
      <c r="L64" s="183" t="e">
        <f>#REF!+#REF!</f>
        <v>#REF!</v>
      </c>
      <c r="P64" s="183"/>
      <c r="Q64" s="183"/>
      <c r="R64" s="183"/>
      <c r="S64" s="183"/>
      <c r="T64" s="183"/>
      <c r="U64" s="183"/>
      <c r="V64" s="183"/>
      <c r="W64" s="183"/>
      <c r="X64" s="183"/>
      <c r="Y64" s="183"/>
      <c r="Z64" s="183"/>
      <c r="AA64" s="183"/>
      <c r="AB64" s="183"/>
      <c r="AC64" s="183"/>
    </row>
    <row r="65" spans="7:29" x14ac:dyDescent="0.25">
      <c r="H65" s="183" t="s">
        <v>534</v>
      </c>
      <c r="I65" s="273">
        <f>M53</f>
        <v>10.8</v>
      </c>
      <c r="J65" s="273">
        <f t="shared" ref="J65:K65" si="30">N53</f>
        <v>24.7</v>
      </c>
      <c r="K65" s="273">
        <f t="shared" si="30"/>
        <v>14</v>
      </c>
      <c r="L65" s="183" t="e">
        <f>#REF!</f>
        <v>#REF!</v>
      </c>
      <c r="P65" s="183"/>
      <c r="Q65" s="183"/>
      <c r="R65" s="183"/>
      <c r="S65" s="183"/>
      <c r="T65" s="183"/>
      <c r="U65" s="183"/>
      <c r="V65" s="183"/>
      <c r="W65" s="183"/>
      <c r="X65" s="183"/>
      <c r="Y65" s="183"/>
      <c r="Z65" s="183"/>
      <c r="AA65" s="183"/>
      <c r="AB65" s="183"/>
      <c r="AC65" s="183"/>
    </row>
    <row r="66" spans="7:29" x14ac:dyDescent="0.25">
      <c r="H66" s="183" t="s">
        <v>898</v>
      </c>
      <c r="I66" s="273">
        <f>I67-SUM(I64:I65)</f>
        <v>103.00000000000001</v>
      </c>
      <c r="J66" s="273">
        <f t="shared" ref="J66:K66" si="31">J67-SUM(J64:J65)</f>
        <v>238.29999999999998</v>
      </c>
      <c r="K66" s="273">
        <f t="shared" si="31"/>
        <v>147.80000000000001</v>
      </c>
      <c r="L66" s="273" t="e">
        <f>1.26*L64</f>
        <v>#REF!</v>
      </c>
      <c r="P66" s="183"/>
      <c r="Q66" s="183"/>
      <c r="R66" s="183"/>
      <c r="S66" s="183"/>
      <c r="T66" s="183"/>
      <c r="U66" s="183"/>
      <c r="V66" s="183"/>
      <c r="W66" s="183"/>
      <c r="X66" s="183"/>
      <c r="Y66" s="183"/>
      <c r="Z66" s="183"/>
      <c r="AA66" s="183"/>
      <c r="AB66" s="183"/>
      <c r="AC66" s="183"/>
    </row>
    <row r="67" spans="7:29" x14ac:dyDescent="0.25">
      <c r="H67" s="183" t="s">
        <v>360</v>
      </c>
      <c r="I67" s="273">
        <f>M55</f>
        <v>195.4</v>
      </c>
      <c r="J67" s="273">
        <f>N55</f>
        <v>451.9</v>
      </c>
      <c r="K67" s="273">
        <f>O55</f>
        <v>279</v>
      </c>
      <c r="L67" s="273" t="e">
        <f>SUM(L64:L66)</f>
        <v>#REF!</v>
      </c>
    </row>
    <row r="68" spans="7:29" x14ac:dyDescent="0.25">
      <c r="G68" s="183" t="s">
        <v>899</v>
      </c>
    </row>
    <row r="69" spans="7:29" x14ac:dyDescent="0.25">
      <c r="H69" s="183" t="s">
        <v>897</v>
      </c>
      <c r="I69" s="256">
        <f>I64/I$67</f>
        <v>0.4176049129989764</v>
      </c>
      <c r="J69" s="256">
        <f t="shared" ref="J69:L69" si="32">J64/J$67</f>
        <v>0.41801283469794204</v>
      </c>
      <c r="K69" s="256">
        <f t="shared" si="32"/>
        <v>0.42007168458781363</v>
      </c>
      <c r="L69" s="256" t="e">
        <f t="shared" si="32"/>
        <v>#REF!</v>
      </c>
    </row>
    <row r="70" spans="7:29" x14ac:dyDescent="0.25">
      <c r="H70" s="183" t="s">
        <v>534</v>
      </c>
      <c r="I70" s="256">
        <f t="shared" ref="I70:L71" si="33">I65/I$67</f>
        <v>5.527123848515865E-2</v>
      </c>
      <c r="J70" s="256">
        <f t="shared" si="33"/>
        <v>5.4658110201371984E-2</v>
      </c>
      <c r="K70" s="256">
        <f t="shared" si="33"/>
        <v>5.0179211469534052E-2</v>
      </c>
      <c r="L70" s="256" t="e">
        <f t="shared" si="33"/>
        <v>#REF!</v>
      </c>
    </row>
    <row r="71" spans="7:29" x14ac:dyDescent="0.25">
      <c r="H71" s="183" t="s">
        <v>898</v>
      </c>
      <c r="I71" s="256">
        <f t="shared" si="33"/>
        <v>0.52712384851586491</v>
      </c>
      <c r="J71" s="256">
        <f t="shared" si="33"/>
        <v>0.52732905510068595</v>
      </c>
      <c r="K71" s="256">
        <f t="shared" si="33"/>
        <v>0.5297491039426524</v>
      </c>
      <c r="L71" s="256" t="e">
        <f t="shared" si="33"/>
        <v>#REF!</v>
      </c>
    </row>
    <row r="73" spans="7:29" x14ac:dyDescent="0.25">
      <c r="H73" s="183" t="s">
        <v>900</v>
      </c>
      <c r="I73" s="183">
        <f>I66/I64</f>
        <v>1.2622549019607845</v>
      </c>
      <c r="J73" s="183">
        <f t="shared" ref="J73:K73" si="34">J66/J64</f>
        <v>1.2615140285865536</v>
      </c>
      <c r="K73" s="183">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52"/>
  <sheetViews>
    <sheetView zoomScale="110" zoomScaleNormal="110" workbookViewId="0">
      <selection activeCell="U21" sqref="U21"/>
    </sheetView>
  </sheetViews>
  <sheetFormatPr defaultColWidth="11.42578125" defaultRowHeight="15" x14ac:dyDescent="0.25"/>
  <cols>
    <col min="2" max="2" width="38.7109375" customWidth="1"/>
    <col min="3" max="9" width="10.42578125" customWidth="1"/>
    <col min="10" max="20" width="7.140625" customWidth="1"/>
    <col min="21" max="21" width="20.42578125" customWidth="1"/>
    <col min="22" max="22" width="11.7109375" customWidth="1"/>
  </cols>
  <sheetData>
    <row r="1" spans="1:22" x14ac:dyDescent="0.25">
      <c r="B1" s="915" t="s">
        <v>152</v>
      </c>
      <c r="C1" s="915"/>
      <c r="D1" s="915"/>
      <c r="E1" s="915"/>
      <c r="F1" s="915"/>
      <c r="G1" s="915"/>
      <c r="H1" s="915"/>
      <c r="I1" s="915"/>
      <c r="J1" s="915"/>
      <c r="K1" s="915"/>
      <c r="L1" s="915"/>
      <c r="M1" s="915"/>
      <c r="N1" s="915"/>
      <c r="O1" s="915"/>
      <c r="P1" s="915"/>
      <c r="Q1" s="915"/>
      <c r="R1" s="915"/>
      <c r="S1" s="915"/>
      <c r="T1" s="915"/>
    </row>
    <row r="2" spans="1:22" x14ac:dyDescent="0.25">
      <c r="B2" s="959" t="s">
        <v>943</v>
      </c>
      <c r="C2" s="959"/>
      <c r="D2" s="959"/>
      <c r="E2" s="959"/>
      <c r="F2" s="959"/>
      <c r="G2" s="959"/>
      <c r="H2" s="959"/>
      <c r="I2" s="959"/>
      <c r="J2" s="959"/>
      <c r="K2" s="959"/>
      <c r="L2" s="959"/>
      <c r="M2" s="959"/>
      <c r="N2" s="959"/>
      <c r="O2" s="959"/>
      <c r="P2" s="959"/>
      <c r="Q2" s="959"/>
      <c r="R2" s="959"/>
      <c r="S2" s="959"/>
      <c r="T2" s="959"/>
    </row>
    <row r="3" spans="1:22" x14ac:dyDescent="0.25">
      <c r="B3" s="959"/>
      <c r="C3" s="959"/>
      <c r="D3" s="959"/>
      <c r="E3" s="959"/>
      <c r="F3" s="959"/>
      <c r="G3" s="959"/>
      <c r="H3" s="959"/>
      <c r="I3" s="959"/>
      <c r="J3" s="959"/>
      <c r="K3" s="959"/>
      <c r="L3" s="959"/>
      <c r="M3" s="959"/>
      <c r="N3" s="959"/>
      <c r="O3" s="959"/>
      <c r="P3" s="959"/>
      <c r="Q3" s="959"/>
      <c r="R3" s="959"/>
      <c r="S3" s="959"/>
      <c r="T3" s="959"/>
    </row>
    <row r="4" spans="1:22" x14ac:dyDescent="0.25">
      <c r="B4" s="959"/>
      <c r="C4" s="959"/>
      <c r="D4" s="959"/>
      <c r="E4" s="959"/>
      <c r="F4" s="959"/>
      <c r="G4" s="959"/>
      <c r="H4" s="959"/>
      <c r="I4" s="959"/>
      <c r="J4" s="959"/>
      <c r="K4" s="959"/>
      <c r="L4" s="959"/>
      <c r="M4" s="959"/>
      <c r="N4" s="959"/>
      <c r="O4" s="959"/>
      <c r="P4" s="959"/>
      <c r="Q4" s="959"/>
      <c r="R4" s="959"/>
      <c r="S4" s="959"/>
      <c r="T4" s="959"/>
    </row>
    <row r="5" spans="1:22" x14ac:dyDescent="0.25">
      <c r="B5" s="959"/>
      <c r="C5" s="959"/>
      <c r="D5" s="959"/>
      <c r="E5" s="959"/>
      <c r="F5" s="959"/>
      <c r="G5" s="959"/>
      <c r="H5" s="959"/>
      <c r="I5" s="959"/>
      <c r="J5" s="959"/>
      <c r="K5" s="959"/>
      <c r="L5" s="959"/>
      <c r="M5" s="959"/>
      <c r="N5" s="959"/>
      <c r="O5" s="959"/>
      <c r="P5" s="959"/>
      <c r="Q5" s="959"/>
      <c r="R5" s="959"/>
      <c r="S5" s="959"/>
      <c r="T5" s="959"/>
    </row>
    <row r="6" spans="1:22" x14ac:dyDescent="0.25">
      <c r="B6" s="959"/>
      <c r="C6" s="959"/>
      <c r="D6" s="959"/>
      <c r="E6" s="959"/>
      <c r="F6" s="959"/>
      <c r="G6" s="959"/>
      <c r="H6" s="959"/>
      <c r="I6" s="959"/>
      <c r="J6" s="959"/>
      <c r="K6" s="959"/>
      <c r="L6" s="959"/>
      <c r="M6" s="959"/>
      <c r="N6" s="959"/>
      <c r="O6" s="959"/>
      <c r="P6" s="959"/>
      <c r="Q6" s="959"/>
      <c r="R6" s="959"/>
      <c r="S6" s="959"/>
      <c r="T6" s="959"/>
    </row>
    <row r="7" spans="1:22" x14ac:dyDescent="0.25">
      <c r="J7" s="146"/>
      <c r="K7" s="146"/>
      <c r="M7" s="146"/>
    </row>
    <row r="9" spans="1:22" ht="14.65" customHeight="1" x14ac:dyDescent="0.25">
      <c r="A9" s="124"/>
      <c r="B9" s="960" t="s">
        <v>352</v>
      </c>
      <c r="C9" s="961"/>
      <c r="D9" s="294">
        <v>2018</v>
      </c>
      <c r="E9" s="966">
        <v>2019</v>
      </c>
      <c r="F9" s="967"/>
      <c r="G9" s="967"/>
      <c r="H9" s="968"/>
      <c r="I9" s="964">
        <v>2020</v>
      </c>
      <c r="J9" s="965"/>
      <c r="K9" s="965"/>
      <c r="L9" s="965"/>
      <c r="M9" s="969">
        <v>2021</v>
      </c>
      <c r="N9" s="970"/>
      <c r="O9" s="970"/>
      <c r="P9" s="971"/>
      <c r="Q9" s="280"/>
      <c r="R9" s="972">
        <v>2022</v>
      </c>
      <c r="S9" s="972"/>
      <c r="T9" s="973"/>
    </row>
    <row r="10" spans="1:22" x14ac:dyDescent="0.25">
      <c r="B10" s="962"/>
      <c r="C10" s="963"/>
      <c r="D10" s="302" t="s">
        <v>327</v>
      </c>
      <c r="E10" s="303" t="s">
        <v>328</v>
      </c>
      <c r="F10" s="281" t="s">
        <v>329</v>
      </c>
      <c r="G10" s="281" t="s">
        <v>238</v>
      </c>
      <c r="H10" s="304" t="s">
        <v>327</v>
      </c>
      <c r="I10" s="303" t="s">
        <v>328</v>
      </c>
      <c r="J10" s="281" t="s">
        <v>329</v>
      </c>
      <c r="K10" s="281" t="s">
        <v>238</v>
      </c>
      <c r="L10" s="281" t="s">
        <v>327</v>
      </c>
      <c r="M10" s="180" t="s">
        <v>328</v>
      </c>
      <c r="N10" s="177" t="s">
        <v>329</v>
      </c>
      <c r="O10" s="177" t="s">
        <v>238</v>
      </c>
      <c r="P10" s="179" t="s">
        <v>327</v>
      </c>
      <c r="Q10" s="281" t="s">
        <v>328</v>
      </c>
      <c r="R10" s="285" t="s">
        <v>329</v>
      </c>
      <c r="S10" s="285" t="s">
        <v>238</v>
      </c>
      <c r="T10" s="289" t="s">
        <v>327</v>
      </c>
    </row>
    <row r="11" spans="1:22" ht="28.9" customHeight="1" x14ac:dyDescent="0.25">
      <c r="A11" s="288"/>
      <c r="B11" s="283" t="s">
        <v>139</v>
      </c>
      <c r="C11" s="299" t="s">
        <v>353</v>
      </c>
      <c r="D11" s="283"/>
      <c r="E11" s="299"/>
      <c r="F11" s="299"/>
      <c r="G11" s="299"/>
      <c r="H11" s="299"/>
      <c r="I11" s="299"/>
      <c r="J11" s="300">
        <f>'Haver Pivoted'!GU48</f>
        <v>160.9</v>
      </c>
      <c r="K11" s="300">
        <f>'Haver Pivoted'!GV48</f>
        <v>58.4</v>
      </c>
      <c r="L11" s="300">
        <f>'Haver Pivoted'!GW48</f>
        <v>34.5</v>
      </c>
      <c r="M11" s="300">
        <f>'Haver Pivoted'!GX48</f>
        <v>42.8</v>
      </c>
      <c r="N11" s="300">
        <f>'Haver Pivoted'!GY48</f>
        <v>26.6</v>
      </c>
      <c r="O11" s="300">
        <f>'Haver Pivoted'!GZ48</f>
        <v>37.4</v>
      </c>
      <c r="P11" s="278">
        <f>'Haver Pivoted'!HA48</f>
        <v>64.400000000000006</v>
      </c>
      <c r="Q11" s="278">
        <f>'Haver Pivoted'!HB48</f>
        <v>53.7</v>
      </c>
      <c r="R11" s="297">
        <f t="shared" ref="R11:S11" si="0">R$14*R15</f>
        <v>50</v>
      </c>
      <c r="S11" s="297">
        <f t="shared" si="0"/>
        <v>0</v>
      </c>
      <c r="T11" s="276"/>
    </row>
    <row r="12" spans="1:22" ht="28.9" customHeight="1" x14ac:dyDescent="0.25">
      <c r="A12" s="288"/>
      <c r="B12" s="284" t="s">
        <v>354</v>
      </c>
      <c r="C12" s="301" t="s">
        <v>355</v>
      </c>
      <c r="D12" s="284"/>
      <c r="E12" s="301"/>
      <c r="F12" s="301"/>
      <c r="G12" s="301"/>
      <c r="H12" s="301"/>
      <c r="I12" s="301"/>
      <c r="J12" s="305">
        <f>'Haver Pivoted'!GU58</f>
        <v>64.400000000000006</v>
      </c>
      <c r="K12" s="305">
        <f>'Haver Pivoted'!GV58</f>
        <v>23.4</v>
      </c>
      <c r="L12" s="305">
        <f>'Haver Pivoted'!GW58</f>
        <v>13.8</v>
      </c>
      <c r="M12" s="305">
        <f>'Haver Pivoted'!GX58</f>
        <v>17.100000000000001</v>
      </c>
      <c r="N12" s="305">
        <f>'Haver Pivoted'!GY58</f>
        <v>10.6</v>
      </c>
      <c r="O12" s="305">
        <f>'Haver Pivoted'!GZ58</f>
        <v>15</v>
      </c>
      <c r="P12" s="279">
        <f>'Haver Pivoted'!HA58</f>
        <v>25.8</v>
      </c>
      <c r="Q12" s="279">
        <f>'Haver Pivoted'!HB58</f>
        <v>21.5</v>
      </c>
      <c r="R12" s="286">
        <f t="shared" ref="R12:S12" si="1">R$14*R16</f>
        <v>20.018621973929235</v>
      </c>
      <c r="S12" s="286">
        <f t="shared" si="1"/>
        <v>0</v>
      </c>
      <c r="T12" s="289"/>
    </row>
    <row r="13" spans="1:22" ht="42" customHeight="1" x14ac:dyDescent="0.25">
      <c r="A13" s="288"/>
      <c r="B13" s="284" t="s">
        <v>356</v>
      </c>
      <c r="C13" s="301" t="s">
        <v>357</v>
      </c>
      <c r="D13" s="284"/>
      <c r="E13" s="301"/>
      <c r="F13" s="301"/>
      <c r="G13" s="301"/>
      <c r="H13" s="301"/>
      <c r="I13" s="301"/>
      <c r="J13" s="305">
        <f>'Haver Pivoted'!GU54</f>
        <v>96.6</v>
      </c>
      <c r="K13" s="305">
        <f>'Haver Pivoted'!GV54</f>
        <v>35.1</v>
      </c>
      <c r="L13" s="305">
        <f>'Haver Pivoted'!GW54</f>
        <v>20.7</v>
      </c>
      <c r="M13" s="305">
        <f>'Haver Pivoted'!GX54</f>
        <v>25.7</v>
      </c>
      <c r="N13" s="305">
        <f>'Haver Pivoted'!GY54</f>
        <v>16</v>
      </c>
      <c r="O13" s="305">
        <f>'Haver Pivoted'!GZ54</f>
        <v>22.4</v>
      </c>
      <c r="P13" s="279">
        <f>'Haver Pivoted'!HA54</f>
        <v>38.700000000000003</v>
      </c>
      <c r="Q13" s="279">
        <f>'Haver Pivoted'!HB54</f>
        <v>32.200000000000003</v>
      </c>
      <c r="R13" s="286">
        <f t="shared" ref="R13:S13" si="2">R$14*R17</f>
        <v>29.981378026070765</v>
      </c>
      <c r="S13" s="286">
        <f t="shared" si="2"/>
        <v>0</v>
      </c>
      <c r="T13" s="289"/>
      <c r="U13" s="296" t="s">
        <v>358</v>
      </c>
      <c r="V13" s="295" t="s">
        <v>359</v>
      </c>
    </row>
    <row r="14" spans="1:22" x14ac:dyDescent="0.25">
      <c r="B14" s="53" t="s">
        <v>360</v>
      </c>
      <c r="C14" s="55"/>
      <c r="D14" s="53"/>
      <c r="E14" s="55"/>
      <c r="F14" s="55"/>
      <c r="G14" s="55"/>
      <c r="H14" s="55"/>
      <c r="I14" s="55"/>
      <c r="J14" s="305">
        <f t="shared" ref="J14:Q14" si="3">J13+J12+J11</f>
        <v>321.89999999999998</v>
      </c>
      <c r="K14" s="305">
        <f t="shared" si="3"/>
        <v>116.9</v>
      </c>
      <c r="L14" s="305">
        <f t="shared" si="3"/>
        <v>69</v>
      </c>
      <c r="M14" s="305">
        <f t="shared" si="3"/>
        <v>85.6</v>
      </c>
      <c r="N14" s="305">
        <f t="shared" si="3"/>
        <v>53.2</v>
      </c>
      <c r="O14" s="305">
        <f t="shared" si="3"/>
        <v>74.8</v>
      </c>
      <c r="P14" s="279">
        <f t="shared" si="3"/>
        <v>128.9</v>
      </c>
      <c r="Q14" s="279">
        <f t="shared" si="3"/>
        <v>107.4</v>
      </c>
      <c r="R14" s="285">
        <v>100</v>
      </c>
      <c r="S14" s="285">
        <v>0</v>
      </c>
      <c r="T14" s="289"/>
      <c r="U14" s="308">
        <v>236</v>
      </c>
      <c r="V14" s="309">
        <f>SUM(J14:S14)/4</f>
        <v>264.42499999999995</v>
      </c>
    </row>
    <row r="15" spans="1:22" x14ac:dyDescent="0.25">
      <c r="B15" s="287" t="s">
        <v>361</v>
      </c>
      <c r="C15" s="57"/>
      <c r="D15" s="287"/>
      <c r="E15" s="57"/>
      <c r="F15" s="57"/>
      <c r="G15" s="57"/>
      <c r="H15" s="57"/>
      <c r="I15" s="57"/>
      <c r="J15" s="124">
        <f t="shared" ref="J15:N17" si="4">J11/J$14</f>
        <v>0.49984467225846541</v>
      </c>
      <c r="K15" s="124">
        <f t="shared" si="4"/>
        <v>0.49957228400342168</v>
      </c>
      <c r="L15" s="124">
        <f t="shared" si="4"/>
        <v>0.5</v>
      </c>
      <c r="M15" s="124">
        <f t="shared" si="4"/>
        <v>0.5</v>
      </c>
      <c r="N15" s="124">
        <f t="shared" si="4"/>
        <v>0.5</v>
      </c>
      <c r="O15" s="124">
        <f>O11/O$14</f>
        <v>0.5</v>
      </c>
      <c r="P15" s="306">
        <f t="shared" ref="P15:Q15" si="5">P11/P$14</f>
        <v>0.49961210240496512</v>
      </c>
      <c r="Q15" s="306">
        <f t="shared" si="5"/>
        <v>0.5</v>
      </c>
      <c r="R15" s="290">
        <f t="shared" ref="R15:R17" si="6">Q15</f>
        <v>0.5</v>
      </c>
      <c r="S15" s="290">
        <f t="shared" ref="S15:S17" si="7">R15</f>
        <v>0.5</v>
      </c>
      <c r="T15" s="289"/>
    </row>
    <row r="16" spans="1:22" x14ac:dyDescent="0.25">
      <c r="B16" s="287" t="s">
        <v>362</v>
      </c>
      <c r="C16" s="57"/>
      <c r="D16" s="287"/>
      <c r="E16" s="57"/>
      <c r="F16" s="57"/>
      <c r="G16" s="57"/>
      <c r="H16" s="57"/>
      <c r="I16" s="57"/>
      <c r="J16" s="124">
        <f t="shared" si="4"/>
        <v>0.20006213109661389</v>
      </c>
      <c r="K16" s="124">
        <f t="shared" si="4"/>
        <v>0.20017108639863129</v>
      </c>
      <c r="L16" s="124">
        <f t="shared" si="4"/>
        <v>0.2</v>
      </c>
      <c r="M16" s="124">
        <f t="shared" si="4"/>
        <v>0.19976635514018695</v>
      </c>
      <c r="N16" s="124">
        <f t="shared" si="4"/>
        <v>0.19924812030075187</v>
      </c>
      <c r="O16" s="124">
        <f t="shared" ref="O16:Q16" si="8">O12/O$14</f>
        <v>0.20053475935828877</v>
      </c>
      <c r="P16" s="306">
        <f t="shared" si="8"/>
        <v>0.20015515903801395</v>
      </c>
      <c r="Q16" s="306">
        <f t="shared" si="8"/>
        <v>0.20018621973929235</v>
      </c>
      <c r="R16" s="290">
        <f t="shared" si="6"/>
        <v>0.20018621973929235</v>
      </c>
      <c r="S16" s="290">
        <f t="shared" si="7"/>
        <v>0.20018621973929235</v>
      </c>
      <c r="T16" s="289"/>
      <c r="U16" s="275"/>
    </row>
    <row r="17" spans="2:21" x14ac:dyDescent="0.25">
      <c r="B17" s="291" t="s">
        <v>363</v>
      </c>
      <c r="C17" s="298"/>
      <c r="D17" s="291"/>
      <c r="E17" s="298"/>
      <c r="F17" s="298"/>
      <c r="G17" s="298"/>
      <c r="H17" s="298"/>
      <c r="I17" s="298"/>
      <c r="J17" s="282">
        <f t="shared" si="4"/>
        <v>0.30009319664492079</v>
      </c>
      <c r="K17" s="282">
        <f t="shared" si="4"/>
        <v>0.30025662959794697</v>
      </c>
      <c r="L17" s="282">
        <f t="shared" si="4"/>
        <v>0.3</v>
      </c>
      <c r="M17" s="282">
        <f t="shared" si="4"/>
        <v>0.30023364485981308</v>
      </c>
      <c r="N17" s="282">
        <f t="shared" si="4"/>
        <v>0.3007518796992481</v>
      </c>
      <c r="O17" s="282">
        <f t="shared" ref="O17:Q17" si="9">O13/O$14</f>
        <v>0.29946524064171121</v>
      </c>
      <c r="P17" s="307">
        <f t="shared" si="9"/>
        <v>0.30023273855702093</v>
      </c>
      <c r="Q17" s="307">
        <f t="shared" si="9"/>
        <v>0.29981378026070765</v>
      </c>
      <c r="R17" s="292">
        <f t="shared" si="6"/>
        <v>0.29981378026070765</v>
      </c>
      <c r="S17" s="292">
        <f t="shared" si="7"/>
        <v>0.29981378026070765</v>
      </c>
      <c r="T17" s="293"/>
    </row>
    <row r="18" spans="2:21" x14ac:dyDescent="0.25">
      <c r="B18" s="57"/>
      <c r="C18" s="57"/>
      <c r="D18" s="57"/>
      <c r="E18" s="57"/>
      <c r="F18" s="57"/>
      <c r="G18" s="57"/>
      <c r="H18" s="57"/>
      <c r="I18" s="57"/>
      <c r="J18" s="124"/>
      <c r="K18" s="124"/>
      <c r="L18" s="124"/>
      <c r="M18" s="124"/>
      <c r="N18" s="124"/>
      <c r="O18" s="124"/>
      <c r="P18" s="124"/>
      <c r="Q18" s="277"/>
      <c r="R18" s="277"/>
      <c r="S18" s="277"/>
      <c r="T18" s="124"/>
      <c r="U18" s="36"/>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7">
    <mergeCell ref="B2:T6"/>
    <mergeCell ref="B1:T1"/>
    <mergeCell ref="B9:C10"/>
    <mergeCell ref="I9:L9"/>
    <mergeCell ref="E9:H9"/>
    <mergeCell ref="M9:P9"/>
    <mergeCell ref="R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97"/>
  <sheetViews>
    <sheetView zoomScale="80" zoomScaleNormal="80" workbookViewId="0">
      <selection activeCell="B24" sqref="B24:AC24"/>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29" width="8.140625" customWidth="1"/>
    <col min="30" max="30" width="29.42578125" customWidth="1"/>
    <col min="31" max="31" width="31.140625" customWidth="1"/>
    <col min="32" max="32" width="114.7109375" customWidth="1"/>
  </cols>
  <sheetData>
    <row r="1" spans="2:34" x14ac:dyDescent="0.25">
      <c r="B1" s="930" t="s">
        <v>192</v>
      </c>
      <c r="C1" s="930"/>
      <c r="D1" s="930"/>
      <c r="E1" s="930"/>
      <c r="F1" s="930"/>
      <c r="G1" s="930"/>
      <c r="H1" s="930"/>
      <c r="I1" s="930"/>
      <c r="J1" s="930"/>
      <c r="K1" s="930"/>
      <c r="L1" s="930"/>
      <c r="M1" s="930"/>
      <c r="N1" s="930"/>
      <c r="O1" s="930"/>
      <c r="P1" s="930"/>
      <c r="Q1" s="930"/>
      <c r="R1" s="930"/>
      <c r="S1" s="930"/>
      <c r="T1" s="930"/>
      <c r="U1" s="930"/>
      <c r="V1" s="930"/>
      <c r="W1" s="930"/>
      <c r="X1" s="930"/>
      <c r="Y1" s="930"/>
      <c r="Z1" s="232"/>
      <c r="AA1" s="232"/>
      <c r="AB1" s="232"/>
      <c r="AC1" s="232"/>
      <c r="AD1" s="145"/>
      <c r="AE1" s="145"/>
    </row>
    <row r="2" spans="2:34" ht="14.25" customHeight="1" x14ac:dyDescent="0.25">
      <c r="B2" s="931" t="s">
        <v>380</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c r="AD2" s="233"/>
      <c r="AE2" s="233"/>
    </row>
    <row r="3" spans="2:34" ht="50.65" customHeight="1"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c r="AD3" s="233"/>
      <c r="AE3" s="233"/>
    </row>
    <row r="4" spans="2:34" ht="5.25" customHeight="1"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c r="AD4" s="233"/>
      <c r="AE4" s="233"/>
    </row>
    <row r="5" spans="2:34" x14ac:dyDescent="0.25">
      <c r="B5" s="357" t="s">
        <v>381</v>
      </c>
    </row>
    <row r="6" spans="2:34" ht="14.65" customHeight="1" x14ac:dyDescent="0.25">
      <c r="B6" s="935" t="s">
        <v>382</v>
      </c>
      <c r="C6" s="936"/>
      <c r="D6" s="945" t="s">
        <v>325</v>
      </c>
      <c r="E6" s="946"/>
      <c r="F6" s="946"/>
      <c r="G6" s="946"/>
      <c r="H6" s="946"/>
      <c r="I6" s="946"/>
      <c r="J6" s="946"/>
      <c r="K6" s="946"/>
      <c r="L6" s="946"/>
      <c r="M6" s="946"/>
      <c r="N6" s="946"/>
      <c r="O6" s="946"/>
      <c r="P6" s="946"/>
      <c r="Q6" s="947"/>
      <c r="R6" s="942" t="s">
        <v>326</v>
      </c>
      <c r="S6" s="943"/>
      <c r="T6" s="943"/>
      <c r="U6" s="943"/>
      <c r="V6" s="943"/>
      <c r="W6" s="943"/>
      <c r="X6" s="943"/>
      <c r="Y6" s="943"/>
      <c r="Z6" s="943"/>
      <c r="AA6" s="943"/>
      <c r="AB6" s="943"/>
      <c r="AC6" s="944"/>
      <c r="AD6" s="982" t="s">
        <v>383</v>
      </c>
      <c r="AE6" s="985" t="s">
        <v>384</v>
      </c>
    </row>
    <row r="7" spans="2:34" ht="24" customHeight="1" x14ac:dyDescent="0.25">
      <c r="B7" s="937"/>
      <c r="C7" s="938"/>
      <c r="D7" s="180">
        <v>2018</v>
      </c>
      <c r="E7" s="976">
        <v>2019</v>
      </c>
      <c r="F7" s="977"/>
      <c r="G7" s="977"/>
      <c r="H7" s="978"/>
      <c r="I7" s="976">
        <v>2020</v>
      </c>
      <c r="J7" s="977"/>
      <c r="K7" s="977"/>
      <c r="L7" s="977"/>
      <c r="M7" s="976">
        <v>2021</v>
      </c>
      <c r="N7" s="977"/>
      <c r="O7" s="977"/>
      <c r="P7" s="978"/>
      <c r="Q7" s="367"/>
      <c r="R7" s="940">
        <v>2022</v>
      </c>
      <c r="S7" s="940"/>
      <c r="T7" s="941"/>
      <c r="U7" s="939">
        <v>2023</v>
      </c>
      <c r="V7" s="940"/>
      <c r="W7" s="940"/>
      <c r="X7" s="940"/>
      <c r="Y7" s="939">
        <v>2024</v>
      </c>
      <c r="Z7" s="940"/>
      <c r="AA7" s="940"/>
      <c r="AB7" s="941"/>
      <c r="AC7" s="185">
        <v>2025</v>
      </c>
      <c r="AD7" s="983"/>
      <c r="AE7" s="986"/>
    </row>
    <row r="8" spans="2:34" ht="14.25" customHeight="1" x14ac:dyDescent="0.25">
      <c r="B8" s="974"/>
      <c r="C8" s="975"/>
      <c r="D8" s="180" t="s">
        <v>327</v>
      </c>
      <c r="E8" s="180" t="s">
        <v>328</v>
      </c>
      <c r="F8" s="177" t="s">
        <v>329</v>
      </c>
      <c r="G8" s="177" t="s">
        <v>238</v>
      </c>
      <c r="H8" s="179" t="s">
        <v>327</v>
      </c>
      <c r="I8" s="177" t="s">
        <v>328</v>
      </c>
      <c r="J8" s="177" t="s">
        <v>329</v>
      </c>
      <c r="K8" s="177" t="s">
        <v>238</v>
      </c>
      <c r="L8" s="177" t="s">
        <v>327</v>
      </c>
      <c r="M8" s="251" t="s">
        <v>328</v>
      </c>
      <c r="N8" s="253" t="s">
        <v>329</v>
      </c>
      <c r="O8" s="253" t="s">
        <v>238</v>
      </c>
      <c r="P8" s="184" t="s">
        <v>327</v>
      </c>
      <c r="Q8" s="173" t="s">
        <v>328</v>
      </c>
      <c r="R8" s="360" t="s">
        <v>329</v>
      </c>
      <c r="S8" s="360" t="s">
        <v>238</v>
      </c>
      <c r="T8" s="360" t="s">
        <v>327</v>
      </c>
      <c r="U8" s="359" t="s">
        <v>328</v>
      </c>
      <c r="V8" s="360" t="s">
        <v>329</v>
      </c>
      <c r="W8" s="360" t="s">
        <v>238</v>
      </c>
      <c r="X8" s="360" t="s">
        <v>327</v>
      </c>
      <c r="Y8" s="359" t="s">
        <v>328</v>
      </c>
      <c r="Z8" s="196" t="s">
        <v>329</v>
      </c>
      <c r="AA8" s="360" t="s">
        <v>238</v>
      </c>
      <c r="AB8" s="383" t="s">
        <v>327</v>
      </c>
      <c r="AC8" s="400" t="s">
        <v>328</v>
      </c>
      <c r="AD8" s="984"/>
      <c r="AE8" s="987"/>
    </row>
    <row r="9" spans="2:34" ht="23.65" customHeight="1" x14ac:dyDescent="0.25">
      <c r="B9" s="375" t="s">
        <v>385</v>
      </c>
      <c r="C9" s="405" t="s">
        <v>386</v>
      </c>
      <c r="D9" s="328">
        <f>'Haver Pivoted'!GO32</f>
        <v>588.9</v>
      </c>
      <c r="E9" s="329">
        <f>'Haver Pivoted'!GP32</f>
        <v>593.79999999999995</v>
      </c>
      <c r="F9" s="329">
        <f>'Haver Pivoted'!GQ32</f>
        <v>610.5</v>
      </c>
      <c r="G9" s="329">
        <f>'Haver Pivoted'!GR32</f>
        <v>610.4</v>
      </c>
      <c r="H9" s="329">
        <f>'Haver Pivoted'!GS32</f>
        <v>622.4</v>
      </c>
      <c r="I9" s="329">
        <f>'Haver Pivoted'!GT32</f>
        <v>640.6</v>
      </c>
      <c r="J9" s="329">
        <f>'Haver Pivoted'!GU32</f>
        <v>1400</v>
      </c>
      <c r="K9" s="329">
        <f>'Haver Pivoted'!GV32</f>
        <v>738.5</v>
      </c>
      <c r="L9" s="329">
        <f>'Haver Pivoted'!GW32</f>
        <v>743</v>
      </c>
      <c r="M9" s="329">
        <f>'Haver Pivoted'!GX32</f>
        <v>781.5</v>
      </c>
      <c r="N9" s="329">
        <f>'Haver Pivoted'!GY32</f>
        <v>1632.2</v>
      </c>
      <c r="O9" s="329">
        <f>'Haver Pivoted'!GZ32</f>
        <v>1057.0999999999999</v>
      </c>
      <c r="P9" s="329">
        <f>'Haver Pivoted'!HA32</f>
        <v>904.2</v>
      </c>
      <c r="Q9" s="312">
        <f>'Haver Pivoted'!HB32</f>
        <v>916.3</v>
      </c>
      <c r="R9" s="214">
        <f>R10+R11</f>
        <v>1379.1235157980059</v>
      </c>
      <c r="S9" s="214">
        <f t="shared" ref="S9:AC9" si="0">S10+S11</f>
        <v>907.64648475492163</v>
      </c>
      <c r="T9" s="214">
        <f t="shared" si="0"/>
        <v>951.37314169577417</v>
      </c>
      <c r="U9" s="214">
        <f t="shared" si="0"/>
        <v>966.85173481557251</v>
      </c>
      <c r="V9" s="214">
        <f t="shared" si="0"/>
        <v>982.63870664784963</v>
      </c>
      <c r="W9" s="214">
        <f t="shared" si="0"/>
        <v>954.71777733286729</v>
      </c>
      <c r="X9" s="214">
        <f t="shared" si="0"/>
        <v>925.10080378941927</v>
      </c>
      <c r="Y9" s="214">
        <f t="shared" si="0"/>
        <v>896.31862127015825</v>
      </c>
      <c r="Z9" s="214">
        <f t="shared" si="0"/>
        <v>873.62817508630121</v>
      </c>
      <c r="AA9" s="214">
        <f t="shared" si="0"/>
        <v>870.0289931014994</v>
      </c>
      <c r="AB9" s="214">
        <f t="shared" si="0"/>
        <v>848.5339321865074</v>
      </c>
      <c r="AC9" s="165">
        <f t="shared" si="0"/>
        <v>845.15974988635435</v>
      </c>
      <c r="AD9" s="333"/>
      <c r="AE9" s="410"/>
    </row>
    <row r="10" spans="2:34" ht="27.6" customHeight="1" x14ac:dyDescent="0.25">
      <c r="B10" s="417" t="s">
        <v>133</v>
      </c>
      <c r="C10" s="169" t="s">
        <v>387</v>
      </c>
      <c r="D10" s="330">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366">
        <f>'Haver Pivoted'!HB40</f>
        <v>578.14700000000005</v>
      </c>
      <c r="R10" s="334">
        <f>Medicaid!R27</f>
        <v>579.39019603110603</v>
      </c>
      <c r="S10" s="334">
        <f>Medicaid!S27</f>
        <v>590.17038164663313</v>
      </c>
      <c r="T10" s="334">
        <f>Medicaid!T27</f>
        <v>600.16136538556918</v>
      </c>
      <c r="U10" s="334">
        <f>Medicaid!U27</f>
        <v>613.23178814890605</v>
      </c>
      <c r="V10" s="334">
        <f>Medicaid!V27</f>
        <v>626.58686094316022</v>
      </c>
      <c r="W10" s="334">
        <f>Medicaid!W27</f>
        <v>596.21007010024732</v>
      </c>
      <c r="X10" s="334">
        <f>Medicaid!X27</f>
        <v>589.37103642680609</v>
      </c>
      <c r="Y10" s="334">
        <f>Medicaid!Y27</f>
        <v>583.08435673682504</v>
      </c>
      <c r="Z10" s="334">
        <f>Medicaid!Z27</f>
        <v>576.86473555342423</v>
      </c>
      <c r="AA10" s="334">
        <f>Medicaid!AA27</f>
        <v>570.7114575795747</v>
      </c>
      <c r="AB10" s="334">
        <f>Medicaid!AB27</f>
        <v>560.51313412938975</v>
      </c>
      <c r="AC10" s="403">
        <f>Medicaid!AC27</f>
        <v>554.53427477168793</v>
      </c>
      <c r="AD10" s="319"/>
      <c r="AE10" s="387"/>
    </row>
    <row r="11" spans="2:34" ht="17.25" customHeight="1" x14ac:dyDescent="0.25">
      <c r="B11" s="200" t="s">
        <v>388</v>
      </c>
      <c r="C11" s="169"/>
      <c r="D11" s="330">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366">
        <f>Q9-Q10</f>
        <v>338.15299999999991</v>
      </c>
      <c r="R11" s="334">
        <f t="shared" ref="R11:AC11" si="3">SUM(R12:R20)</f>
        <v>799.73331976689974</v>
      </c>
      <c r="S11" s="334">
        <f t="shared" si="3"/>
        <v>317.47610310828844</v>
      </c>
      <c r="T11" s="334">
        <f t="shared" si="3"/>
        <v>351.21177631020498</v>
      </c>
      <c r="U11" s="334">
        <f t="shared" si="3"/>
        <v>353.61994666666646</v>
      </c>
      <c r="V11" s="334">
        <f t="shared" si="3"/>
        <v>356.05184570468936</v>
      </c>
      <c r="W11" s="334">
        <f t="shared" si="3"/>
        <v>358.50770723261996</v>
      </c>
      <c r="X11" s="334">
        <f t="shared" si="3"/>
        <v>335.72976736261319</v>
      </c>
      <c r="Y11" s="334">
        <f t="shared" si="3"/>
        <v>313.2342645333332</v>
      </c>
      <c r="Z11" s="334">
        <f t="shared" si="3"/>
        <v>296.76343953287699</v>
      </c>
      <c r="AA11" s="334">
        <f t="shared" si="3"/>
        <v>299.3175355219247</v>
      </c>
      <c r="AB11" s="334">
        <f t="shared" si="3"/>
        <v>288.0207980571177</v>
      </c>
      <c r="AC11" s="403">
        <f t="shared" si="3"/>
        <v>290.62547511466647</v>
      </c>
      <c r="AD11" s="319"/>
      <c r="AE11" s="387"/>
    </row>
    <row r="12" spans="2:34" ht="16.149999999999999" customHeight="1" x14ac:dyDescent="0.25">
      <c r="B12" s="414" t="s">
        <v>149</v>
      </c>
      <c r="C12" s="51" t="s">
        <v>389</v>
      </c>
      <c r="D12" s="331"/>
      <c r="E12" s="51"/>
      <c r="F12" s="51"/>
      <c r="G12" s="51"/>
      <c r="H12" s="68"/>
      <c r="I12" s="68"/>
      <c r="J12" s="68">
        <f>'Haver Pivoted'!GU56</f>
        <v>597.9</v>
      </c>
      <c r="K12" s="68"/>
      <c r="L12" s="68"/>
      <c r="M12" s="68"/>
      <c r="N12" s="68"/>
      <c r="O12" s="71">
        <v>0</v>
      </c>
      <c r="P12" s="71">
        <v>0</v>
      </c>
      <c r="Q12" s="319">
        <v>0</v>
      </c>
      <c r="R12" s="334">
        <v>0</v>
      </c>
      <c r="S12" s="334">
        <v>0</v>
      </c>
      <c r="T12" s="334">
        <v>0</v>
      </c>
      <c r="U12" s="334">
        <v>0</v>
      </c>
      <c r="V12" s="334">
        <v>0</v>
      </c>
      <c r="W12" s="334">
        <v>0</v>
      </c>
      <c r="X12" s="334">
        <v>0</v>
      </c>
      <c r="Y12" s="334">
        <v>0</v>
      </c>
      <c r="Z12" s="334">
        <v>0</v>
      </c>
      <c r="AA12" s="334">
        <v>0</v>
      </c>
      <c r="AB12" s="334">
        <v>0</v>
      </c>
      <c r="AC12" s="403">
        <v>0</v>
      </c>
      <c r="AD12" s="319">
        <f>SUM(I12:Y12)/4</f>
        <v>149.47499999999999</v>
      </c>
      <c r="AE12" s="387">
        <f>AD26</f>
        <v>150</v>
      </c>
    </row>
    <row r="13" spans="2:34" x14ac:dyDescent="0.25">
      <c r="B13" s="414" t="s">
        <v>150</v>
      </c>
      <c r="C13" s="51" t="s">
        <v>390</v>
      </c>
      <c r="D13" s="331"/>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366">
        <f>'Haver Pivoted'!HB57</f>
        <v>72.400000000000006</v>
      </c>
      <c r="R13" s="334">
        <f t="shared" ref="R13:AC13" si="4">R27+R31+R37</f>
        <v>69.123333333333306</v>
      </c>
      <c r="S13" s="334">
        <f t="shared" si="4"/>
        <v>69.123333333333306</v>
      </c>
      <c r="T13" s="334">
        <f t="shared" si="4"/>
        <v>60.929333333333297</v>
      </c>
      <c r="U13" s="334">
        <f t="shared" si="4"/>
        <v>60.929333333333297</v>
      </c>
      <c r="V13" s="334">
        <f t="shared" si="4"/>
        <v>60.929333333333297</v>
      </c>
      <c r="W13" s="334">
        <f t="shared" si="4"/>
        <v>60.929333333333297</v>
      </c>
      <c r="X13" s="334">
        <f t="shared" si="4"/>
        <v>54.244333333333302</v>
      </c>
      <c r="Y13" s="334">
        <f t="shared" si="4"/>
        <v>50.911000000000001</v>
      </c>
      <c r="Z13" s="334">
        <f t="shared" si="4"/>
        <v>31.911000000000001</v>
      </c>
      <c r="AA13" s="334">
        <f t="shared" si="4"/>
        <v>31.911000000000001</v>
      </c>
      <c r="AB13" s="334">
        <f t="shared" si="4"/>
        <v>23.099</v>
      </c>
      <c r="AC13" s="403">
        <f t="shared" si="4"/>
        <v>23.099</v>
      </c>
      <c r="AD13" s="319">
        <f t="shared" ref="AD13:AD19" si="5">SUM(I13:Y13)/4</f>
        <v>220.82983333333328</v>
      </c>
      <c r="AE13" s="387">
        <f>AD27+AD31+AD37</f>
        <v>218.26349999999994</v>
      </c>
    </row>
    <row r="14" spans="2:34" x14ac:dyDescent="0.25">
      <c r="B14" s="414" t="s">
        <v>152</v>
      </c>
      <c r="C14" s="70" t="s">
        <v>355</v>
      </c>
      <c r="D14" s="332"/>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366">
        <f>'Haver Pivoted'!HB58</f>
        <v>21.5</v>
      </c>
      <c r="R14" s="334">
        <f>'Provider Relief'!R12</f>
        <v>20.018621973929235</v>
      </c>
      <c r="S14" s="334">
        <f>'Provider Relief'!S12</f>
        <v>0</v>
      </c>
      <c r="T14" s="334">
        <f>'Provider Relief'!T12</f>
        <v>0</v>
      </c>
      <c r="U14" s="334">
        <f>'Provider Relief'!U12</f>
        <v>0</v>
      </c>
      <c r="V14" s="334">
        <f>'Provider Relief'!V12</f>
        <v>0</v>
      </c>
      <c r="W14" s="334">
        <f>'Provider Relief'!W12</f>
        <v>0</v>
      </c>
      <c r="X14" s="334">
        <f>'Provider Relief'!X12</f>
        <v>0</v>
      </c>
      <c r="Y14" s="334">
        <f>'Provider Relief'!Y12</f>
        <v>0</v>
      </c>
      <c r="Z14" s="334">
        <f>'Provider Relief'!Z12</f>
        <v>0</v>
      </c>
      <c r="AA14" s="334">
        <f>'Provider Relief'!AA12</f>
        <v>0</v>
      </c>
      <c r="AB14" s="334">
        <f>'Provider Relief'!AB12</f>
        <v>0</v>
      </c>
      <c r="AC14" s="403">
        <f>'Provider Relief'!AC12</f>
        <v>0</v>
      </c>
      <c r="AD14" s="319">
        <f>SUM(I14:Y14)/4</f>
        <v>52.904655493482316</v>
      </c>
      <c r="AE14" s="387">
        <f>AD28+AD32+AD38</f>
        <v>34.125000000000007</v>
      </c>
    </row>
    <row r="15" spans="2:34" ht="15.75" customHeight="1" x14ac:dyDescent="0.25">
      <c r="B15" s="414" t="s">
        <v>391</v>
      </c>
      <c r="C15" s="70"/>
      <c r="D15" s="332"/>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319">
        <f>Q30</f>
        <v>9.6666666666666661</v>
      </c>
      <c r="R15" s="334">
        <f t="shared" si="6"/>
        <v>9.6666666666666661</v>
      </c>
      <c r="S15" s="334">
        <f t="shared" si="6"/>
        <v>9.6666666666666661</v>
      </c>
      <c r="T15" s="334">
        <f t="shared" si="6"/>
        <v>9.6666666666666661</v>
      </c>
      <c r="U15" s="334">
        <f t="shared" si="6"/>
        <v>9.6666666666666661</v>
      </c>
      <c r="V15" s="334">
        <f t="shared" si="6"/>
        <v>9.6666666666666661</v>
      </c>
      <c r="W15" s="334">
        <f t="shared" si="6"/>
        <v>9.6666666666666661</v>
      </c>
      <c r="X15" s="334">
        <f t="shared" si="6"/>
        <v>9.6666666666666661</v>
      </c>
      <c r="Y15" s="334">
        <f t="shared" si="6"/>
        <v>0</v>
      </c>
      <c r="Z15" s="334">
        <f t="shared" si="6"/>
        <v>0</v>
      </c>
      <c r="AA15" s="334">
        <f t="shared" si="6"/>
        <v>0</v>
      </c>
      <c r="AB15" s="334">
        <f t="shared" si="6"/>
        <v>0</v>
      </c>
      <c r="AC15" s="403">
        <f t="shared" si="6"/>
        <v>0</v>
      </c>
      <c r="AD15" s="319">
        <f>SUM(I15:Y15)/4</f>
        <v>29.000000000000004</v>
      </c>
      <c r="AE15" s="388">
        <f>AD30</f>
        <v>29.000000000000004</v>
      </c>
      <c r="AF15" s="310" t="s">
        <v>392</v>
      </c>
      <c r="AG15" s="310"/>
      <c r="AH15" s="310"/>
    </row>
    <row r="16" spans="2:34" ht="31.15" customHeight="1" x14ac:dyDescent="0.25">
      <c r="B16" s="414" t="s">
        <v>393</v>
      </c>
      <c r="C16" s="70"/>
      <c r="D16" s="332"/>
      <c r="E16" s="70"/>
      <c r="F16" s="70"/>
      <c r="G16" s="70"/>
      <c r="H16" s="68"/>
      <c r="I16" s="68"/>
      <c r="J16" s="68"/>
      <c r="K16" s="68"/>
      <c r="L16" s="68"/>
      <c r="M16" s="68">
        <f>M34+M33</f>
        <v>12</v>
      </c>
      <c r="N16" s="71">
        <f>N34+N33</f>
        <v>12</v>
      </c>
      <c r="O16" s="71">
        <f>O34+O33</f>
        <v>12</v>
      </c>
      <c r="P16" s="71">
        <f t="shared" ref="P16:AC16" si="7">P34+P33</f>
        <v>12</v>
      </c>
      <c r="Q16" s="319">
        <f t="shared" si="7"/>
        <v>12</v>
      </c>
      <c r="R16" s="334">
        <f t="shared" si="7"/>
        <v>12</v>
      </c>
      <c r="S16" s="334">
        <f t="shared" si="7"/>
        <v>12</v>
      </c>
      <c r="T16" s="334">
        <f t="shared" si="7"/>
        <v>12</v>
      </c>
      <c r="U16" s="334">
        <f t="shared" si="7"/>
        <v>12</v>
      </c>
      <c r="V16" s="334">
        <f t="shared" si="7"/>
        <v>12</v>
      </c>
      <c r="W16" s="334">
        <f t="shared" si="7"/>
        <v>12</v>
      </c>
      <c r="X16" s="334">
        <f t="shared" si="7"/>
        <v>12</v>
      </c>
      <c r="Y16" s="334">
        <f t="shared" si="7"/>
        <v>0</v>
      </c>
      <c r="Z16" s="334">
        <f t="shared" si="7"/>
        <v>0</v>
      </c>
      <c r="AA16" s="334">
        <f t="shared" si="7"/>
        <v>0</v>
      </c>
      <c r="AB16" s="334">
        <f t="shared" si="7"/>
        <v>0</v>
      </c>
      <c r="AC16" s="403">
        <f t="shared" si="7"/>
        <v>0</v>
      </c>
      <c r="AD16" s="319">
        <f>SUM(I16:Y16)/4</f>
        <v>36</v>
      </c>
      <c r="AE16" s="387">
        <f>SUM(AD33:AD34)+AD39</f>
        <v>130.3365</v>
      </c>
      <c r="AF16" s="310" t="s">
        <v>394</v>
      </c>
      <c r="AG16" s="310"/>
      <c r="AH16" s="310"/>
    </row>
    <row r="17" spans="1:34" x14ac:dyDescent="0.25">
      <c r="B17" s="414" t="s">
        <v>395</v>
      </c>
      <c r="C17" s="70"/>
      <c r="D17" s="332"/>
      <c r="E17" s="70"/>
      <c r="F17" s="70"/>
      <c r="G17" s="70"/>
      <c r="H17" s="68"/>
      <c r="I17" s="68"/>
      <c r="J17" s="68"/>
      <c r="K17" s="68"/>
      <c r="L17" s="68"/>
      <c r="M17" s="68"/>
      <c r="N17" s="71">
        <f>N39</f>
        <v>59.256</v>
      </c>
      <c r="O17" s="71">
        <f>O39</f>
        <v>59.256</v>
      </c>
      <c r="P17" s="71">
        <f>P39</f>
        <v>35.671000000000006</v>
      </c>
      <c r="Q17" s="319">
        <f>Q39</f>
        <v>35.671000000000006</v>
      </c>
      <c r="R17" s="334">
        <f t="shared" ref="R17:AC17" si="8">R39</f>
        <v>35.671000000000006</v>
      </c>
      <c r="S17" s="334">
        <f t="shared" si="8"/>
        <v>35.671000000000006</v>
      </c>
      <c r="T17" s="334">
        <f t="shared" si="8"/>
        <v>24.216000000000001</v>
      </c>
      <c r="U17" s="334">
        <f t="shared" si="8"/>
        <v>24.216000000000001</v>
      </c>
      <c r="V17" s="334">
        <f t="shared" si="8"/>
        <v>24.216000000000001</v>
      </c>
      <c r="W17" s="334">
        <f t="shared" si="8"/>
        <v>24.216000000000001</v>
      </c>
      <c r="X17" s="334">
        <f t="shared" si="8"/>
        <v>9.6430000000000007</v>
      </c>
      <c r="Y17" s="334">
        <f t="shared" si="8"/>
        <v>9.6430000000000007</v>
      </c>
      <c r="Z17" s="334">
        <f t="shared" si="8"/>
        <v>9.6430000000000007</v>
      </c>
      <c r="AA17" s="334">
        <f t="shared" si="8"/>
        <v>9.6430000000000007</v>
      </c>
      <c r="AB17" s="334">
        <f t="shared" si="8"/>
        <v>4.5789999999999997</v>
      </c>
      <c r="AC17" s="403">
        <f t="shared" si="8"/>
        <v>4.5789999999999997</v>
      </c>
      <c r="AD17" s="319">
        <f>SUM(I17:Y17)/4</f>
        <v>94.336500000000001</v>
      </c>
      <c r="AE17" s="387"/>
      <c r="AF17" s="310"/>
      <c r="AG17" s="310"/>
      <c r="AH17" s="310"/>
    </row>
    <row r="18" spans="1:34" ht="41.45" customHeight="1" x14ac:dyDescent="0.25">
      <c r="B18" s="395" t="s">
        <v>852</v>
      </c>
      <c r="C18" s="70"/>
      <c r="D18" s="332"/>
      <c r="E18" s="70"/>
      <c r="F18" s="70"/>
      <c r="G18" s="70"/>
      <c r="H18" s="68"/>
      <c r="I18" s="68"/>
      <c r="J18" s="68"/>
      <c r="K18" s="68"/>
      <c r="L18" s="68"/>
      <c r="M18" s="68"/>
      <c r="N18" s="71">
        <v>-40</v>
      </c>
      <c r="O18" s="71">
        <v>-40</v>
      </c>
      <c r="P18" s="71">
        <f>-51</f>
        <v>-51</v>
      </c>
      <c r="Q18" s="319">
        <f>-51</f>
        <v>-51</v>
      </c>
      <c r="R18" s="334">
        <v>-51</v>
      </c>
      <c r="S18" s="334">
        <f>-51</f>
        <v>-51</v>
      </c>
      <c r="T18" s="334">
        <v>0</v>
      </c>
      <c r="U18" s="334">
        <v>0</v>
      </c>
      <c r="V18" s="334">
        <v>0</v>
      </c>
      <c r="W18" s="334">
        <v>0</v>
      </c>
      <c r="X18" s="334">
        <v>-4</v>
      </c>
      <c r="Y18" s="334">
        <v>-4</v>
      </c>
      <c r="Z18" s="334">
        <v>-4</v>
      </c>
      <c r="AA18" s="334">
        <v>-4</v>
      </c>
      <c r="AB18" s="334">
        <v>-4</v>
      </c>
      <c r="AC18" s="403">
        <v>-4</v>
      </c>
      <c r="AD18" s="319"/>
      <c r="AE18" s="387"/>
      <c r="AF18" s="310"/>
      <c r="AG18" s="310"/>
      <c r="AH18" s="310"/>
    </row>
    <row r="19" spans="1:34" ht="15.75" customHeight="1" x14ac:dyDescent="0.25">
      <c r="B19" s="414" t="s">
        <v>396</v>
      </c>
      <c r="C19" s="51" t="s">
        <v>397</v>
      </c>
      <c r="D19" s="332"/>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366">
        <f>'Haver Pivoted'!HB56</f>
        <v>0.6</v>
      </c>
      <c r="R19" s="335">
        <f>4*AE19-SUM(N19:Q19)</f>
        <v>464.5999999999998</v>
      </c>
      <c r="S19" s="335">
        <f t="shared" ref="S19:AC19" si="9">S36</f>
        <v>0</v>
      </c>
      <c r="T19" s="335">
        <f t="shared" si="9"/>
        <v>0</v>
      </c>
      <c r="U19" s="335">
        <f t="shared" si="9"/>
        <v>0</v>
      </c>
      <c r="V19" s="335">
        <f t="shared" si="9"/>
        <v>0</v>
      </c>
      <c r="W19" s="335">
        <f t="shared" si="9"/>
        <v>0</v>
      </c>
      <c r="X19" s="335">
        <f t="shared" si="9"/>
        <v>0</v>
      </c>
      <c r="Y19" s="335">
        <f t="shared" si="9"/>
        <v>0</v>
      </c>
      <c r="Z19" s="335">
        <f t="shared" si="9"/>
        <v>0</v>
      </c>
      <c r="AA19" s="335">
        <f t="shared" si="9"/>
        <v>0</v>
      </c>
      <c r="AB19" s="335">
        <f t="shared" si="9"/>
        <v>0</v>
      </c>
      <c r="AC19" s="402">
        <f t="shared" si="9"/>
        <v>0</v>
      </c>
      <c r="AD19" s="319">
        <f t="shared" si="5"/>
        <v>362.04999999999995</v>
      </c>
      <c r="AE19" s="387">
        <f>AD36</f>
        <v>362.04999999999995</v>
      </c>
      <c r="AF19" s="347"/>
      <c r="AH19" s="310"/>
    </row>
    <row r="20" spans="1:34" ht="15.75" customHeight="1" x14ac:dyDescent="0.25">
      <c r="A20" s="314"/>
      <c r="B20" s="311" t="s">
        <v>398</v>
      </c>
      <c r="C20" s="338"/>
      <c r="D20" s="336">
        <f t="shared" ref="D20:G20" si="10">D11-SUM(D12:D19)</f>
        <v>198.03399999999999</v>
      </c>
      <c r="E20" s="338">
        <f>E11-SUM(E12:E19)</f>
        <v>185.04399999999998</v>
      </c>
      <c r="F20" s="338">
        <f t="shared" si="10"/>
        <v>197.15600000000001</v>
      </c>
      <c r="G20" s="338">
        <f t="shared" si="10"/>
        <v>191.87099999999998</v>
      </c>
      <c r="H20" s="338">
        <f>H11-SUM(H12:H19)</f>
        <v>208.59399999999999</v>
      </c>
      <c r="I20" s="338">
        <f>I11-SUM(I12:I19)</f>
        <v>212.48200000000003</v>
      </c>
      <c r="J20" s="338">
        <f t="shared" ref="J20:L20" si="11">J11-SUM(J12:J19)</f>
        <v>206.81000000000006</v>
      </c>
      <c r="K20" s="338">
        <f t="shared" si="11"/>
        <v>217.58300000000003</v>
      </c>
      <c r="L20" s="338">
        <f t="shared" si="11"/>
        <v>206.16300000000001</v>
      </c>
      <c r="M20" s="338">
        <f>M11-SUM(M12:M19)</f>
        <v>202.48833333333332</v>
      </c>
      <c r="N20" s="338">
        <f>N11-SUM(N12:N19)</f>
        <v>206.44833333333338</v>
      </c>
      <c r="O20" s="338">
        <f>O11-SUM(O12:O19)</f>
        <v>201.7563333333332</v>
      </c>
      <c r="P20" s="338">
        <f>P11-SUM(P12:P19)</f>
        <v>233.82933333333341</v>
      </c>
      <c r="Q20" s="339">
        <f>Q11-SUM(Q12:Q19)</f>
        <v>237.31533333333323</v>
      </c>
      <c r="R20" s="199">
        <f t="shared" ref="R20:AC20" si="12">Q20*(1.04)^0.25</f>
        <v>239.6536977929706</v>
      </c>
      <c r="S20" s="199">
        <f t="shared" si="12"/>
        <v>242.01510310828846</v>
      </c>
      <c r="T20" s="199">
        <f t="shared" si="12"/>
        <v>244.39977631020503</v>
      </c>
      <c r="U20" s="199">
        <f t="shared" si="12"/>
        <v>246.80794666666651</v>
      </c>
      <c r="V20" s="199">
        <f t="shared" si="12"/>
        <v>249.2398457046894</v>
      </c>
      <c r="W20" s="199">
        <f t="shared" si="12"/>
        <v>251.69570723261998</v>
      </c>
      <c r="X20" s="199">
        <f t="shared" si="12"/>
        <v>254.17576736261321</v>
      </c>
      <c r="Y20" s="199">
        <f t="shared" si="12"/>
        <v>256.68026453333317</v>
      </c>
      <c r="Z20" s="199">
        <f t="shared" si="12"/>
        <v>259.20943953287696</v>
      </c>
      <c r="AA20" s="199">
        <f t="shared" si="12"/>
        <v>261.76353552192472</v>
      </c>
      <c r="AB20" s="199">
        <f t="shared" si="12"/>
        <v>264.3427980571177</v>
      </c>
      <c r="AC20" s="199">
        <f t="shared" si="12"/>
        <v>266.94747511466647</v>
      </c>
      <c r="AD20" s="393"/>
      <c r="AE20" s="389"/>
      <c r="AF20" s="310" t="s">
        <v>399</v>
      </c>
      <c r="AG20" s="310"/>
      <c r="AH20" s="310"/>
    </row>
    <row r="21" spans="1:34" ht="15.75" customHeight="1" x14ac:dyDescent="0.25">
      <c r="A21" s="12"/>
      <c r="B21" s="313"/>
      <c r="C21" s="70"/>
      <c r="D21" s="70"/>
      <c r="E21" s="70"/>
      <c r="F21" s="70"/>
      <c r="G21" s="70"/>
      <c r="H21" s="70"/>
      <c r="I21" s="70"/>
      <c r="J21" s="70"/>
      <c r="K21" s="70"/>
      <c r="L21" s="70"/>
      <c r="M21" s="70"/>
      <c r="N21" s="70"/>
      <c r="O21" s="326"/>
      <c r="P21" s="70"/>
      <c r="Q21" s="227"/>
      <c r="R21" s="227"/>
      <c r="S21" s="227"/>
      <c r="T21" s="227"/>
      <c r="U21" s="227"/>
      <c r="V21" s="227"/>
      <c r="W21" s="227"/>
      <c r="X21" s="227"/>
      <c r="Y21" s="227"/>
      <c r="Z21" s="227"/>
      <c r="AA21" s="227"/>
      <c r="AB21" s="227"/>
      <c r="AC21" s="227"/>
      <c r="AD21" s="227"/>
      <c r="AE21" s="317"/>
      <c r="AF21" s="310"/>
      <c r="AG21" s="310"/>
      <c r="AH21" s="310"/>
    </row>
    <row r="22" spans="1:34" x14ac:dyDescent="0.25">
      <c r="C22" s="70"/>
      <c r="D22" s="70"/>
      <c r="E22" s="318"/>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76"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988" t="s">
        <v>401</v>
      </c>
      <c r="C24" s="989"/>
      <c r="D24" s="990"/>
      <c r="E24" s="990"/>
      <c r="F24" s="990"/>
      <c r="G24" s="990"/>
      <c r="H24" s="990"/>
      <c r="I24" s="990"/>
      <c r="J24" s="990"/>
      <c r="K24" s="990"/>
      <c r="L24" s="990"/>
      <c r="M24" s="990"/>
      <c r="N24" s="990"/>
      <c r="O24" s="990"/>
      <c r="P24" s="990"/>
      <c r="Q24" s="990"/>
      <c r="R24" s="990"/>
      <c r="S24" s="990"/>
      <c r="T24" s="990"/>
      <c r="U24" s="990"/>
      <c r="V24" s="990"/>
      <c r="W24" s="990"/>
      <c r="X24" s="990"/>
      <c r="Y24" s="990"/>
      <c r="Z24" s="990"/>
      <c r="AA24" s="990"/>
      <c r="AB24" s="990"/>
      <c r="AC24" s="991"/>
      <c r="AD24" s="391" t="s">
        <v>383</v>
      </c>
      <c r="AE24" s="390"/>
    </row>
    <row r="25" spans="1:34" ht="17.649999999999999" customHeight="1" x14ac:dyDescent="0.25">
      <c r="B25" s="401" t="s">
        <v>402</v>
      </c>
      <c r="C25" s="70"/>
      <c r="D25" s="419"/>
      <c r="E25" s="404"/>
      <c r="F25" s="404"/>
      <c r="G25" s="404"/>
      <c r="H25" s="396"/>
      <c r="I25" s="396"/>
      <c r="J25" s="362">
        <f>SUM(J26:J28)</f>
        <v>692.8</v>
      </c>
      <c r="K25" s="362">
        <f t="shared" ref="K25:P25" si="13">SUM(K26:K28)</f>
        <v>39.200000000000003</v>
      </c>
      <c r="L25" s="362">
        <f t="shared" si="13"/>
        <v>29</v>
      </c>
      <c r="M25" s="362">
        <f t="shared" si="13"/>
        <v>27</v>
      </c>
      <c r="N25" s="362">
        <f t="shared" si="13"/>
        <v>18</v>
      </c>
      <c r="O25" s="362">
        <f t="shared" si="13"/>
        <v>0</v>
      </c>
      <c r="P25" s="420">
        <f t="shared" si="13"/>
        <v>0</v>
      </c>
      <c r="Q25" s="362"/>
      <c r="R25" s="394"/>
      <c r="S25" s="394"/>
      <c r="T25" s="394"/>
      <c r="U25" s="394"/>
      <c r="V25" s="394"/>
      <c r="W25" s="394"/>
      <c r="X25" s="394"/>
      <c r="Y25" s="394"/>
      <c r="Z25" s="394"/>
      <c r="AA25" s="394"/>
      <c r="AB25" s="394"/>
      <c r="AC25" s="361"/>
      <c r="AD25" s="319">
        <f t="shared" ref="AD25:AD39" si="14">SUM(I25:Y25)/4</f>
        <v>201.5</v>
      </c>
      <c r="AE25" s="981" t="s">
        <v>403</v>
      </c>
      <c r="AF25" s="949"/>
    </row>
    <row r="26" spans="1:34" x14ac:dyDescent="0.25">
      <c r="B26" s="315" t="s">
        <v>149</v>
      </c>
      <c r="C26" s="70"/>
      <c r="D26" s="332"/>
      <c r="E26" s="70"/>
      <c r="F26" s="70"/>
      <c r="G26" s="70"/>
      <c r="H26" s="71"/>
      <c r="I26" s="71"/>
      <c r="J26" s="356">
        <f>C46*4</f>
        <v>600</v>
      </c>
      <c r="K26" s="356"/>
      <c r="L26" s="356"/>
      <c r="M26" s="356"/>
      <c r="N26" s="356"/>
      <c r="O26" s="356"/>
      <c r="P26" s="370"/>
      <c r="Q26" s="356"/>
      <c r="R26" s="335"/>
      <c r="S26" s="335"/>
      <c r="T26" s="335"/>
      <c r="U26" s="335"/>
      <c r="V26" s="335"/>
      <c r="W26" s="335"/>
      <c r="X26" s="335"/>
      <c r="Y26" s="335"/>
      <c r="Z26" s="335"/>
      <c r="AA26" s="335"/>
      <c r="AB26" s="335"/>
      <c r="AC26" s="402"/>
      <c r="AD26" s="319">
        <f t="shared" si="14"/>
        <v>150</v>
      </c>
      <c r="AE26" s="356"/>
    </row>
    <row r="27" spans="1:34" ht="15" customHeight="1" x14ac:dyDescent="0.25">
      <c r="B27" s="315" t="s">
        <v>150</v>
      </c>
      <c r="C27" s="70"/>
      <c r="D27" s="332"/>
      <c r="E27" s="70"/>
      <c r="F27" s="70"/>
      <c r="G27" s="70"/>
      <c r="H27" s="71"/>
      <c r="I27" s="71"/>
      <c r="J27" s="356">
        <v>28.4</v>
      </c>
      <c r="K27" s="356">
        <v>15.8</v>
      </c>
      <c r="L27" s="356">
        <v>15.2</v>
      </c>
      <c r="M27" s="356">
        <v>10.9</v>
      </c>
      <c r="N27" s="356">
        <v>18</v>
      </c>
      <c r="O27" s="356"/>
      <c r="P27" s="370"/>
      <c r="Q27" s="356"/>
      <c r="R27" s="335"/>
      <c r="S27" s="335"/>
      <c r="T27" s="335"/>
      <c r="U27" s="335"/>
      <c r="V27" s="335"/>
      <c r="W27" s="335"/>
      <c r="X27" s="335"/>
      <c r="Y27" s="335"/>
      <c r="Z27" s="335"/>
      <c r="AA27" s="335"/>
      <c r="AB27" s="335"/>
      <c r="AC27" s="402"/>
      <c r="AD27" s="319">
        <f t="shared" si="14"/>
        <v>22.075000000000003</v>
      </c>
      <c r="AE27" s="356"/>
    </row>
    <row r="28" spans="1:34" x14ac:dyDescent="0.25">
      <c r="B28" s="315" t="s">
        <v>152</v>
      </c>
      <c r="C28" s="70"/>
      <c r="D28" s="332"/>
      <c r="E28" s="70"/>
      <c r="F28" s="70"/>
      <c r="G28" s="70"/>
      <c r="H28" s="71"/>
      <c r="I28" s="71"/>
      <c r="J28" s="169">
        <v>64.400000000000006</v>
      </c>
      <c r="K28" s="169">
        <v>23.4</v>
      </c>
      <c r="L28" s="169">
        <v>13.8</v>
      </c>
      <c r="M28" s="169">
        <v>16.100000000000001</v>
      </c>
      <c r="N28" s="356"/>
      <c r="O28" s="356"/>
      <c r="P28" s="370"/>
      <c r="Q28" s="356"/>
      <c r="R28" s="335"/>
      <c r="S28" s="335"/>
      <c r="T28" s="335"/>
      <c r="U28" s="335"/>
      <c r="V28" s="335"/>
      <c r="W28" s="335"/>
      <c r="X28" s="335"/>
      <c r="Y28" s="335"/>
      <c r="Z28" s="335"/>
      <c r="AA28" s="335"/>
      <c r="AB28" s="335"/>
      <c r="AC28" s="402"/>
      <c r="AD28" s="319">
        <f t="shared" si="14"/>
        <v>29.425000000000004</v>
      </c>
      <c r="AE28" s="356"/>
    </row>
    <row r="29" spans="1:34" ht="16.5" customHeight="1" x14ac:dyDescent="0.25">
      <c r="B29" s="401" t="s">
        <v>404</v>
      </c>
      <c r="C29" s="70"/>
      <c r="D29" s="332"/>
      <c r="E29" s="70"/>
      <c r="F29" s="70"/>
      <c r="G29" s="70"/>
      <c r="H29" s="71"/>
      <c r="I29" s="71"/>
      <c r="J29" s="71"/>
      <c r="K29" s="71"/>
      <c r="L29" s="71"/>
      <c r="M29" s="356">
        <f>SUM(M30:M34)</f>
        <v>43</v>
      </c>
      <c r="N29" s="356">
        <f t="shared" ref="N29:AC29" si="15">SUM(N30:N34)</f>
        <v>70</v>
      </c>
      <c r="O29" s="356">
        <f t="shared" si="15"/>
        <v>59.999999999999964</v>
      </c>
      <c r="P29" s="370">
        <f t="shared" si="15"/>
        <v>50</v>
      </c>
      <c r="Q29" s="356">
        <f t="shared" si="15"/>
        <v>44.999999999999964</v>
      </c>
      <c r="R29" s="335">
        <f t="shared" si="15"/>
        <v>44.999999999999964</v>
      </c>
      <c r="S29" s="335">
        <f t="shared" si="15"/>
        <v>44.999999999999964</v>
      </c>
      <c r="T29" s="335">
        <f t="shared" si="15"/>
        <v>44.999999999999964</v>
      </c>
      <c r="U29" s="335">
        <f t="shared" si="15"/>
        <v>44.999999999999964</v>
      </c>
      <c r="V29" s="335">
        <f t="shared" si="15"/>
        <v>44.999999999999964</v>
      </c>
      <c r="W29" s="335">
        <f t="shared" si="15"/>
        <v>44.999999999999964</v>
      </c>
      <c r="X29" s="335">
        <f t="shared" si="15"/>
        <v>44.999999999999964</v>
      </c>
      <c r="Y29" s="335">
        <f t="shared" si="15"/>
        <v>19</v>
      </c>
      <c r="Z29" s="335">
        <f t="shared" si="15"/>
        <v>0</v>
      </c>
      <c r="AA29" s="335">
        <f t="shared" si="15"/>
        <v>0</v>
      </c>
      <c r="AB29" s="335">
        <f t="shared" si="15"/>
        <v>0</v>
      </c>
      <c r="AC29" s="402">
        <f t="shared" si="15"/>
        <v>0</v>
      </c>
      <c r="AD29" s="319">
        <f t="shared" si="14"/>
        <v>150.49999999999991</v>
      </c>
      <c r="AE29" s="981" t="s">
        <v>405</v>
      </c>
      <c r="AF29" s="949"/>
    </row>
    <row r="30" spans="1:34" x14ac:dyDescent="0.25">
      <c r="B30" s="315" t="s">
        <v>391</v>
      </c>
      <c r="C30" s="70"/>
      <c r="D30" s="332"/>
      <c r="E30" s="70"/>
      <c r="F30" s="70"/>
      <c r="G30" s="70"/>
      <c r="H30" s="71"/>
      <c r="I30" s="71"/>
      <c r="J30" s="71"/>
      <c r="K30" s="71"/>
      <c r="L30" s="71"/>
      <c r="M30" s="356">
        <f>C49/12*4</f>
        <v>9.6666666666666661</v>
      </c>
      <c r="N30" s="356">
        <f>M30</f>
        <v>9.6666666666666661</v>
      </c>
      <c r="O30" s="356">
        <f t="shared" ref="O30:X30" si="16">N30</f>
        <v>9.6666666666666661</v>
      </c>
      <c r="P30" s="370">
        <f t="shared" si="16"/>
        <v>9.6666666666666661</v>
      </c>
      <c r="Q30" s="356">
        <f t="shared" si="16"/>
        <v>9.6666666666666661</v>
      </c>
      <c r="R30" s="335">
        <f t="shared" si="16"/>
        <v>9.6666666666666661</v>
      </c>
      <c r="S30" s="335">
        <f t="shared" si="16"/>
        <v>9.6666666666666661</v>
      </c>
      <c r="T30" s="335">
        <f t="shared" si="16"/>
        <v>9.6666666666666661</v>
      </c>
      <c r="U30" s="335">
        <f t="shared" si="16"/>
        <v>9.6666666666666661</v>
      </c>
      <c r="V30" s="335">
        <f t="shared" si="16"/>
        <v>9.6666666666666661</v>
      </c>
      <c r="W30" s="335">
        <f t="shared" si="16"/>
        <v>9.6666666666666661</v>
      </c>
      <c r="X30" s="335">
        <f t="shared" si="16"/>
        <v>9.6666666666666661</v>
      </c>
      <c r="Y30" s="334"/>
      <c r="Z30" s="334"/>
      <c r="AA30" s="334"/>
      <c r="AB30" s="334"/>
      <c r="AC30" s="403"/>
      <c r="AD30" s="319">
        <f t="shared" si="14"/>
        <v>29.000000000000004</v>
      </c>
      <c r="AE30" s="981"/>
      <c r="AF30" s="949"/>
    </row>
    <row r="31" spans="1:34" ht="41.45" customHeight="1" x14ac:dyDescent="0.25">
      <c r="B31" s="315" t="s">
        <v>150</v>
      </c>
      <c r="C31" s="70"/>
      <c r="D31" s="332"/>
      <c r="E31" s="70"/>
      <c r="F31" s="70"/>
      <c r="G31" s="70"/>
      <c r="H31" s="71"/>
      <c r="I31" s="71"/>
      <c r="J31" s="71"/>
      <c r="K31" s="71"/>
      <c r="L31" s="71"/>
      <c r="M31" s="363">
        <f>C60/12*4 - 7</f>
        <v>20.333333333333332</v>
      </c>
      <c r="N31" s="363">
        <f>C60/12*4 + 20</f>
        <v>47.333333333333329</v>
      </c>
      <c r="O31" s="363">
        <v>37.3333333333333</v>
      </c>
      <c r="P31" s="421">
        <v>27.333333333333332</v>
      </c>
      <c r="Q31" s="363">
        <v>22.3333333333333</v>
      </c>
      <c r="R31" s="408">
        <v>22.3333333333333</v>
      </c>
      <c r="S31" s="408">
        <v>22.3333333333333</v>
      </c>
      <c r="T31" s="408">
        <v>22.3333333333333</v>
      </c>
      <c r="U31" s="408">
        <v>22.3333333333333</v>
      </c>
      <c r="V31" s="408">
        <v>22.3333333333333</v>
      </c>
      <c r="W31" s="408">
        <v>22.3333333333333</v>
      </c>
      <c r="X31" s="408">
        <v>22.3333333333333</v>
      </c>
      <c r="Y31" s="408">
        <v>19</v>
      </c>
      <c r="Z31" s="408"/>
      <c r="AA31" s="408"/>
      <c r="AB31" s="408"/>
      <c r="AC31" s="409"/>
      <c r="AD31" s="319">
        <f>SUM(I31:Y31)/4</f>
        <v>82.499999999999943</v>
      </c>
      <c r="AE31" s="415" t="s">
        <v>406</v>
      </c>
    </row>
    <row r="32" spans="1:34" x14ac:dyDescent="0.25">
      <c r="B32" s="315" t="s">
        <v>152</v>
      </c>
      <c r="C32" s="70"/>
      <c r="D32" s="332"/>
      <c r="E32" s="70"/>
      <c r="F32" s="70"/>
      <c r="G32" s="70"/>
      <c r="H32" s="71"/>
      <c r="I32" s="71"/>
      <c r="J32" s="71"/>
      <c r="K32" s="71"/>
      <c r="L32" s="71"/>
      <c r="M32" s="356">
        <f>C61/12*4</f>
        <v>1</v>
      </c>
      <c r="N32" s="356">
        <f>C61/12*4</f>
        <v>1</v>
      </c>
      <c r="O32" s="356">
        <f t="shared" ref="O32:X32" si="17">$C$61/12*4</f>
        <v>1</v>
      </c>
      <c r="P32" s="370">
        <f t="shared" si="17"/>
        <v>1</v>
      </c>
      <c r="Q32" s="356">
        <f t="shared" si="17"/>
        <v>1</v>
      </c>
      <c r="R32" s="335">
        <f t="shared" si="17"/>
        <v>1</v>
      </c>
      <c r="S32" s="335">
        <f t="shared" si="17"/>
        <v>1</v>
      </c>
      <c r="T32" s="335">
        <f t="shared" si="17"/>
        <v>1</v>
      </c>
      <c r="U32" s="335">
        <f t="shared" si="17"/>
        <v>1</v>
      </c>
      <c r="V32" s="335">
        <f t="shared" si="17"/>
        <v>1</v>
      </c>
      <c r="W32" s="335">
        <f t="shared" si="17"/>
        <v>1</v>
      </c>
      <c r="X32" s="335">
        <f t="shared" si="17"/>
        <v>1</v>
      </c>
      <c r="Y32" s="334"/>
      <c r="Z32" s="334"/>
      <c r="AA32" s="334"/>
      <c r="AB32" s="334"/>
      <c r="AC32" s="403"/>
      <c r="AD32" s="319">
        <f t="shared" si="14"/>
        <v>3</v>
      </c>
      <c r="AE32" s="71"/>
    </row>
    <row r="33" spans="1:88" ht="13.15" customHeight="1" x14ac:dyDescent="0.25">
      <c r="B33" s="315" t="s">
        <v>407</v>
      </c>
      <c r="C33" s="70"/>
      <c r="D33" s="332"/>
      <c r="E33" s="70"/>
      <c r="F33" s="70"/>
      <c r="G33" s="70"/>
      <c r="H33" s="71"/>
      <c r="I33" s="71"/>
      <c r="J33" s="71"/>
      <c r="K33" s="71"/>
      <c r="L33" s="71"/>
      <c r="M33" s="356">
        <f t="shared" ref="M33:X33" si="18">$C$62/12*4</f>
        <v>11.333333333333334</v>
      </c>
      <c r="N33" s="356">
        <f t="shared" si="18"/>
        <v>11.333333333333334</v>
      </c>
      <c r="O33" s="356">
        <f t="shared" si="18"/>
        <v>11.333333333333334</v>
      </c>
      <c r="P33" s="370">
        <f t="shared" si="18"/>
        <v>11.333333333333334</v>
      </c>
      <c r="Q33" s="356">
        <f t="shared" si="18"/>
        <v>11.333333333333334</v>
      </c>
      <c r="R33" s="335">
        <f t="shared" si="18"/>
        <v>11.333333333333334</v>
      </c>
      <c r="S33" s="335">
        <f t="shared" si="18"/>
        <v>11.333333333333334</v>
      </c>
      <c r="T33" s="335">
        <f t="shared" si="18"/>
        <v>11.333333333333334</v>
      </c>
      <c r="U33" s="335">
        <f t="shared" si="18"/>
        <v>11.333333333333334</v>
      </c>
      <c r="V33" s="335">
        <f t="shared" si="18"/>
        <v>11.333333333333334</v>
      </c>
      <c r="W33" s="335">
        <f t="shared" si="18"/>
        <v>11.333333333333334</v>
      </c>
      <c r="X33" s="335">
        <f t="shared" si="18"/>
        <v>11.333333333333334</v>
      </c>
      <c r="Y33" s="334"/>
      <c r="Z33" s="334"/>
      <c r="AA33" s="334"/>
      <c r="AB33" s="334"/>
      <c r="AC33" s="403"/>
      <c r="AD33" s="319">
        <f t="shared" si="14"/>
        <v>33.999999999999993</v>
      </c>
      <c r="AE33" s="71"/>
    </row>
    <row r="34" spans="1:88" ht="29.25" customHeight="1" x14ac:dyDescent="0.25">
      <c r="B34" s="315" t="s">
        <v>408</v>
      </c>
      <c r="C34" s="70"/>
      <c r="D34" s="332"/>
      <c r="E34" s="70"/>
      <c r="F34" s="70"/>
      <c r="G34" s="70"/>
      <c r="H34" s="71"/>
      <c r="I34" s="71"/>
      <c r="J34" s="71"/>
      <c r="K34" s="71"/>
      <c r="L34" s="71"/>
      <c r="M34" s="356">
        <f t="shared" ref="M34:X34" si="19">$C$63/12*4</f>
        <v>0.66666666666666663</v>
      </c>
      <c r="N34" s="356">
        <f t="shared" si="19"/>
        <v>0.66666666666666663</v>
      </c>
      <c r="O34" s="356">
        <f t="shared" si="19"/>
        <v>0.66666666666666663</v>
      </c>
      <c r="P34" s="370">
        <f t="shared" si="19"/>
        <v>0.66666666666666663</v>
      </c>
      <c r="Q34" s="356">
        <f t="shared" si="19"/>
        <v>0.66666666666666663</v>
      </c>
      <c r="R34" s="335">
        <f t="shared" si="19"/>
        <v>0.66666666666666663</v>
      </c>
      <c r="S34" s="335">
        <f t="shared" si="19"/>
        <v>0.66666666666666663</v>
      </c>
      <c r="T34" s="335">
        <f t="shared" si="19"/>
        <v>0.66666666666666663</v>
      </c>
      <c r="U34" s="335">
        <f t="shared" si="19"/>
        <v>0.66666666666666663</v>
      </c>
      <c r="V34" s="335">
        <f t="shared" si="19"/>
        <v>0.66666666666666663</v>
      </c>
      <c r="W34" s="335">
        <f t="shared" si="19"/>
        <v>0.66666666666666663</v>
      </c>
      <c r="X34" s="335">
        <f t="shared" si="19"/>
        <v>0.66666666666666663</v>
      </c>
      <c r="Y34" s="334"/>
      <c r="Z34" s="334"/>
      <c r="AA34" s="334"/>
      <c r="AB34" s="334"/>
      <c r="AC34" s="403"/>
      <c r="AD34" s="319">
        <f t="shared" si="14"/>
        <v>2</v>
      </c>
      <c r="AE34" s="71"/>
    </row>
    <row r="35" spans="1:88" ht="44.25" customHeight="1" x14ac:dyDescent="0.25">
      <c r="B35" s="401" t="s">
        <v>409</v>
      </c>
      <c r="C35" s="70"/>
      <c r="D35" s="332"/>
      <c r="E35" s="70"/>
      <c r="F35" s="70"/>
      <c r="G35" s="70"/>
      <c r="H35" s="71"/>
      <c r="I35" s="71"/>
      <c r="J35" s="71"/>
      <c r="K35" s="71"/>
      <c r="L35" s="71"/>
      <c r="M35" s="356"/>
      <c r="N35" s="356">
        <f t="shared" ref="N35:AC35" si="20">SUM(N36:N40)</f>
        <v>954.03959999999972</v>
      </c>
      <c r="O35" s="356">
        <f t="shared" si="20"/>
        <v>85.500399999999999</v>
      </c>
      <c r="P35" s="370">
        <f t="shared" si="20"/>
        <v>83.481000000000009</v>
      </c>
      <c r="Q35" s="356">
        <f t="shared" si="20"/>
        <v>662.76099999999997</v>
      </c>
      <c r="R35" s="335">
        <f t="shared" si="20"/>
        <v>83.481000000000009</v>
      </c>
      <c r="S35" s="335">
        <f t="shared" si="20"/>
        <v>83.481000000000009</v>
      </c>
      <c r="T35" s="335">
        <f t="shared" si="20"/>
        <v>62.811999999999998</v>
      </c>
      <c r="U35" s="335">
        <f t="shared" si="20"/>
        <v>62.811999999999998</v>
      </c>
      <c r="V35" s="335">
        <f t="shared" si="20"/>
        <v>62.811999999999998</v>
      </c>
      <c r="W35" s="335">
        <f t="shared" si="20"/>
        <v>62.811999999999998</v>
      </c>
      <c r="X35" s="335">
        <f t="shared" si="20"/>
        <v>41.554000000000002</v>
      </c>
      <c r="Y35" s="335">
        <f t="shared" si="20"/>
        <v>41.554000000000002</v>
      </c>
      <c r="Z35" s="335">
        <f t="shared" si="20"/>
        <v>41.554000000000002</v>
      </c>
      <c r="AA35" s="335">
        <f t="shared" si="20"/>
        <v>41.554000000000002</v>
      </c>
      <c r="AB35" s="335">
        <f t="shared" si="20"/>
        <v>27.678000000000001</v>
      </c>
      <c r="AC35" s="402">
        <f t="shared" si="20"/>
        <v>27.678000000000001</v>
      </c>
      <c r="AD35" s="319">
        <f t="shared" si="14"/>
        <v>571.77499999999986</v>
      </c>
      <c r="AE35" s="981" t="s">
        <v>410</v>
      </c>
      <c r="AF35" s="949"/>
    </row>
    <row r="36" spans="1:88" ht="17.649999999999999" customHeight="1" x14ac:dyDescent="0.25">
      <c r="B36" s="315" t="s">
        <v>396</v>
      </c>
      <c r="C36" s="70"/>
      <c r="D36" s="332"/>
      <c r="E36" s="70"/>
      <c r="F36" s="70"/>
      <c r="G36" s="70"/>
      <c r="H36" s="71"/>
      <c r="I36" s="71"/>
      <c r="J36" s="71"/>
      <c r="K36" s="71"/>
      <c r="L36" s="71"/>
      <c r="M36" s="356"/>
      <c r="N36" s="356">
        <f>0.6*C65*4</f>
        <v>868.91999999999985</v>
      </c>
      <c r="O36" s="356"/>
      <c r="P36" s="370"/>
      <c r="Q36" s="356">
        <f>0.4*C65*4</f>
        <v>579.28</v>
      </c>
      <c r="R36" s="335"/>
      <c r="S36" s="335"/>
      <c r="T36" s="335"/>
      <c r="U36" s="335"/>
      <c r="V36" s="335"/>
      <c r="W36" s="335"/>
      <c r="X36" s="335"/>
      <c r="Y36" s="335"/>
      <c r="Z36" s="335"/>
      <c r="AA36" s="335"/>
      <c r="AB36" s="335"/>
      <c r="AC36" s="402"/>
      <c r="AD36" s="319">
        <f t="shared" si="14"/>
        <v>362.04999999999995</v>
      </c>
      <c r="AE36" s="347" t="s">
        <v>411</v>
      </c>
      <c r="AF36" s="347"/>
    </row>
    <row r="37" spans="1:88" x14ac:dyDescent="0.25">
      <c r="B37" s="315" t="s">
        <v>150</v>
      </c>
      <c r="C37" s="70"/>
      <c r="D37" s="332"/>
      <c r="E37" s="70"/>
      <c r="F37" s="70"/>
      <c r="G37" s="70"/>
      <c r="H37" s="71"/>
      <c r="I37" s="71"/>
      <c r="J37" s="71"/>
      <c r="K37" s="71"/>
      <c r="L37" s="71"/>
      <c r="M37" s="356"/>
      <c r="N37" s="356">
        <f>'ARP Quarterly'!D9</f>
        <v>24.693999999999999</v>
      </c>
      <c r="O37" s="356">
        <f>'ARP Quarterly'!E9</f>
        <v>24.693999999999999</v>
      </c>
      <c r="P37" s="370">
        <f>'ARP Quarterly'!F9</f>
        <v>46.79</v>
      </c>
      <c r="Q37" s="356">
        <f>'ARP Quarterly'!G9</f>
        <v>46.79</v>
      </c>
      <c r="R37" s="335">
        <f>'ARP Quarterly'!H9</f>
        <v>46.79</v>
      </c>
      <c r="S37" s="335">
        <f>'ARP Quarterly'!I9</f>
        <v>46.79</v>
      </c>
      <c r="T37" s="335">
        <f>'ARP Quarterly'!J9</f>
        <v>38.595999999999997</v>
      </c>
      <c r="U37" s="335">
        <f>'ARP Quarterly'!K9</f>
        <v>38.595999999999997</v>
      </c>
      <c r="V37" s="335">
        <f>'ARP Quarterly'!L9</f>
        <v>38.595999999999997</v>
      </c>
      <c r="W37" s="335">
        <f>'ARP Quarterly'!M9</f>
        <v>38.595999999999997</v>
      </c>
      <c r="X37" s="335">
        <f>'ARP Quarterly'!N9</f>
        <v>31.911000000000001</v>
      </c>
      <c r="Y37" s="335">
        <f>'ARP Quarterly'!O9</f>
        <v>31.911000000000001</v>
      </c>
      <c r="Z37" s="335">
        <f>'ARP Quarterly'!P9</f>
        <v>31.911000000000001</v>
      </c>
      <c r="AA37" s="335">
        <f>'ARP Quarterly'!Q9</f>
        <v>31.911000000000001</v>
      </c>
      <c r="AB37" s="335">
        <f>'ARP Quarterly'!R9</f>
        <v>23.099</v>
      </c>
      <c r="AC37" s="402">
        <f>'ARP Quarterly'!S9</f>
        <v>23.099</v>
      </c>
      <c r="AD37" s="319">
        <f t="shared" si="14"/>
        <v>113.68849999999999</v>
      </c>
      <c r="AE37" s="356"/>
    </row>
    <row r="38" spans="1:88" x14ac:dyDescent="0.25">
      <c r="B38" s="315" t="s">
        <v>152</v>
      </c>
      <c r="C38" s="70"/>
      <c r="D38" s="332"/>
      <c r="E38" s="70"/>
      <c r="F38" s="70"/>
      <c r="G38" s="70"/>
      <c r="H38" s="71"/>
      <c r="I38" s="71"/>
      <c r="J38" s="71"/>
      <c r="K38" s="71"/>
      <c r="L38" s="71"/>
      <c r="M38" s="356"/>
      <c r="N38" s="356">
        <f>'ARP Quarterly'!D14</f>
        <v>1.1696</v>
      </c>
      <c r="O38" s="356">
        <f>'ARP Quarterly'!E14</f>
        <v>1.5503999999999998</v>
      </c>
      <c r="P38" s="370">
        <f>'ARP Quarterly'!F14</f>
        <v>1.02</v>
      </c>
      <c r="Q38" s="356">
        <f>'ARP Quarterly'!G14</f>
        <v>1.02</v>
      </c>
      <c r="R38" s="335">
        <f>'ARP Quarterly'!H14</f>
        <v>1.02</v>
      </c>
      <c r="S38" s="335">
        <f>'ARP Quarterly'!I14</f>
        <v>1.02</v>
      </c>
      <c r="T38" s="335">
        <f>'ARP Quarterly'!J14</f>
        <v>0</v>
      </c>
      <c r="U38" s="335">
        <f>'ARP Quarterly'!K14</f>
        <v>0</v>
      </c>
      <c r="V38" s="335">
        <f>'ARP Quarterly'!L14</f>
        <v>0</v>
      </c>
      <c r="W38" s="335">
        <f>'ARP Quarterly'!M14</f>
        <v>0</v>
      </c>
      <c r="X38" s="335">
        <f>'ARP Quarterly'!N14</f>
        <v>0</v>
      </c>
      <c r="Y38" s="335">
        <f>'ARP Quarterly'!O14</f>
        <v>0</v>
      </c>
      <c r="Z38" s="335">
        <f>'ARP Quarterly'!P14</f>
        <v>0</v>
      </c>
      <c r="AA38" s="335">
        <f>'ARP Quarterly'!Q14</f>
        <v>0</v>
      </c>
      <c r="AB38" s="335">
        <f>'ARP Quarterly'!R14</f>
        <v>0</v>
      </c>
      <c r="AC38" s="402">
        <f>'ARP Quarterly'!S14</f>
        <v>0</v>
      </c>
      <c r="AD38" s="319">
        <f t="shared" si="14"/>
        <v>1.6999999999999997</v>
      </c>
      <c r="AE38" s="356"/>
    </row>
    <row r="39" spans="1:88" x14ac:dyDescent="0.25">
      <c r="B39" s="315" t="s">
        <v>412</v>
      </c>
      <c r="C39" s="70"/>
      <c r="D39" s="332"/>
      <c r="E39" s="70"/>
      <c r="F39" s="70"/>
      <c r="G39" s="70"/>
      <c r="H39" s="71"/>
      <c r="I39" s="71"/>
      <c r="J39" s="71"/>
      <c r="K39" s="71"/>
      <c r="L39" s="71"/>
      <c r="M39" s="356"/>
      <c r="N39" s="356">
        <f>'ARP Quarterly'!D10</f>
        <v>59.256</v>
      </c>
      <c r="O39" s="356">
        <f>'ARP Quarterly'!E10</f>
        <v>59.256</v>
      </c>
      <c r="P39" s="370">
        <f>'ARP Quarterly'!F10</f>
        <v>35.671000000000006</v>
      </c>
      <c r="Q39" s="356">
        <f>'ARP Quarterly'!G10</f>
        <v>35.671000000000006</v>
      </c>
      <c r="R39" s="335">
        <f>'ARP Quarterly'!H10</f>
        <v>35.671000000000006</v>
      </c>
      <c r="S39" s="335">
        <f>'ARP Quarterly'!I10</f>
        <v>35.671000000000006</v>
      </c>
      <c r="T39" s="335">
        <f>'ARP Quarterly'!J10</f>
        <v>24.216000000000001</v>
      </c>
      <c r="U39" s="335">
        <f>'ARP Quarterly'!K10</f>
        <v>24.216000000000001</v>
      </c>
      <c r="V39" s="335">
        <f>'ARP Quarterly'!L10</f>
        <v>24.216000000000001</v>
      </c>
      <c r="W39" s="335">
        <f>'ARP Quarterly'!M10</f>
        <v>24.216000000000001</v>
      </c>
      <c r="X39" s="335">
        <f>'ARP Quarterly'!N10</f>
        <v>9.6430000000000007</v>
      </c>
      <c r="Y39" s="335">
        <f>'ARP Quarterly'!O10</f>
        <v>9.6430000000000007</v>
      </c>
      <c r="Z39" s="335">
        <f>'ARP Quarterly'!P10</f>
        <v>9.6430000000000007</v>
      </c>
      <c r="AA39" s="335">
        <f>'ARP Quarterly'!Q10</f>
        <v>9.6430000000000007</v>
      </c>
      <c r="AB39" s="335">
        <f>'ARP Quarterly'!R10</f>
        <v>4.5789999999999997</v>
      </c>
      <c r="AC39" s="402">
        <f>'ARP Quarterly'!S10</f>
        <v>4.5789999999999997</v>
      </c>
      <c r="AD39" s="319">
        <f t="shared" si="14"/>
        <v>94.336500000000001</v>
      </c>
      <c r="AE39" s="356"/>
    </row>
    <row r="40" spans="1:88" x14ac:dyDescent="0.25">
      <c r="A40" s="12"/>
      <c r="B40" s="342"/>
      <c r="C40" s="338"/>
      <c r="D40" s="336"/>
      <c r="E40" s="338"/>
      <c r="F40" s="338"/>
      <c r="G40" s="338"/>
      <c r="H40" s="344"/>
      <c r="I40" s="344"/>
      <c r="J40" s="344"/>
      <c r="K40" s="344"/>
      <c r="L40" s="344"/>
      <c r="M40" s="364"/>
      <c r="N40" s="364"/>
      <c r="O40" s="364"/>
      <c r="P40" s="392"/>
      <c r="Q40" s="364"/>
      <c r="R40" s="348"/>
      <c r="S40" s="348"/>
      <c r="T40" s="348"/>
      <c r="U40" s="348"/>
      <c r="V40" s="348"/>
      <c r="W40" s="348"/>
      <c r="X40" s="348"/>
      <c r="Y40" s="348"/>
      <c r="Z40" s="348"/>
      <c r="AA40" s="348"/>
      <c r="AB40" s="348"/>
      <c r="AC40" s="355"/>
      <c r="AD40" s="392"/>
      <c r="AE40" s="356"/>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313"/>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313"/>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57"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411" t="s">
        <v>414</v>
      </c>
      <c r="C44" s="412" t="s">
        <v>415</v>
      </c>
      <c r="D44" s="413" t="s">
        <v>416</v>
      </c>
      <c r="E44" s="384" t="s">
        <v>417</v>
      </c>
      <c r="F44" s="71"/>
      <c r="G44" s="71"/>
      <c r="H44" s="71"/>
      <c r="I44" s="71"/>
      <c r="J44" s="71"/>
      <c r="K44" s="71"/>
      <c r="L44" s="71"/>
      <c r="M44" s="71"/>
      <c r="N44" s="71"/>
      <c r="O44" s="71"/>
      <c r="P44" s="71"/>
      <c r="Q44" s="71"/>
      <c r="R44" s="71"/>
      <c r="S44" s="71"/>
      <c r="T44" s="71"/>
      <c r="U44" s="71"/>
      <c r="V44" s="71"/>
      <c r="W44" s="71"/>
    </row>
    <row r="45" spans="1:88" ht="18.75" customHeight="1" x14ac:dyDescent="0.25">
      <c r="B45" s="418" t="s">
        <v>418</v>
      </c>
      <c r="C45" s="345">
        <f>SUM(C46:C51)</f>
        <v>898.11599999999999</v>
      </c>
      <c r="D45" s="71">
        <f>SUM(D46:D50)</f>
        <v>203.64166666666668</v>
      </c>
      <c r="E45" s="174">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417" t="s">
        <v>149</v>
      </c>
      <c r="C46" s="345">
        <f>C55</f>
        <v>150</v>
      </c>
      <c r="D46" s="71">
        <f>SUM(H12:M12)/4</f>
        <v>149.47499999999999</v>
      </c>
      <c r="E46" s="319">
        <f>C46-D46</f>
        <v>0.52500000000000568</v>
      </c>
      <c r="F46" s="71"/>
      <c r="G46" s="71"/>
      <c r="H46" s="71"/>
      <c r="I46" s="327"/>
      <c r="J46" s="327"/>
      <c r="K46" s="327"/>
      <c r="L46" s="327"/>
      <c r="M46" s="327"/>
      <c r="N46" s="327"/>
      <c r="O46" s="327"/>
      <c r="P46" s="327"/>
      <c r="Q46" s="71"/>
      <c r="R46" s="71"/>
      <c r="S46" s="71"/>
      <c r="T46" s="71"/>
      <c r="U46" s="71"/>
      <c r="V46" s="71"/>
      <c r="W46" s="71"/>
    </row>
    <row r="47" spans="1:88" x14ac:dyDescent="0.25">
      <c r="B47" s="417" t="s">
        <v>150</v>
      </c>
      <c r="C47" s="423">
        <f>C56+C60+C66</f>
        <v>273.16899999999998</v>
      </c>
      <c r="D47" s="71">
        <f>SUM(H13:M13)/4</f>
        <v>22.075000000000003</v>
      </c>
      <c r="E47" s="319">
        <f>C47-D47</f>
        <v>251.09399999999999</v>
      </c>
      <c r="F47" s="71"/>
      <c r="G47" s="71"/>
      <c r="H47" s="71"/>
      <c r="I47" s="327"/>
      <c r="J47" s="327"/>
      <c r="K47" s="327"/>
      <c r="L47" s="327"/>
      <c r="M47" s="327"/>
      <c r="N47" s="327"/>
      <c r="O47" s="327"/>
      <c r="P47" s="327"/>
      <c r="Q47" s="71"/>
      <c r="R47" s="71"/>
      <c r="S47" s="71"/>
      <c r="T47" s="71"/>
      <c r="U47" s="71"/>
      <c r="V47" s="71"/>
      <c r="W47" s="71"/>
    </row>
    <row r="48" spans="1:88" x14ac:dyDescent="0.25">
      <c r="B48" s="417" t="s">
        <v>152</v>
      </c>
      <c r="C48" s="217">
        <f>C57+C67+C61</f>
        <v>38.5</v>
      </c>
      <c r="D48" s="71">
        <f>SUM(H14:M14)/4</f>
        <v>29.675000000000004</v>
      </c>
      <c r="E48" s="319">
        <f>C48-D48</f>
        <v>8.8249999999999957</v>
      </c>
      <c r="F48" s="71"/>
      <c r="G48" s="71"/>
      <c r="H48" s="71"/>
      <c r="I48" s="327"/>
      <c r="J48" s="327"/>
      <c r="K48" s="327"/>
      <c r="L48" s="327"/>
      <c r="M48" s="327"/>
      <c r="N48" s="327"/>
      <c r="O48" s="327"/>
      <c r="P48" s="327"/>
      <c r="Q48" s="980"/>
      <c r="R48" s="980"/>
      <c r="S48" s="980"/>
      <c r="T48" s="980"/>
      <c r="U48" s="980"/>
      <c r="V48" s="980"/>
      <c r="W48" s="980"/>
      <c r="X48" s="980"/>
      <c r="Y48" s="980"/>
      <c r="Z48" s="980"/>
      <c r="AA48" s="980"/>
      <c r="AB48" s="980"/>
      <c r="AC48" s="980"/>
      <c r="AD48" s="980"/>
      <c r="AE48" s="980"/>
      <c r="AF48" s="980"/>
      <c r="AG48" s="980"/>
      <c r="AH48" s="980"/>
    </row>
    <row r="49" spans="1:34" ht="17.25" customHeight="1" x14ac:dyDescent="0.25">
      <c r="B49" s="417" t="s">
        <v>419</v>
      </c>
      <c r="C49" s="217">
        <f>C59</f>
        <v>29</v>
      </c>
      <c r="D49" s="71">
        <f>SUM(H15:M15)/4</f>
        <v>2.4166666666666665</v>
      </c>
      <c r="E49" s="319">
        <f>C49-D49</f>
        <v>26.583333333333332</v>
      </c>
      <c r="F49" s="71"/>
      <c r="G49" s="71"/>
      <c r="H49" s="71"/>
      <c r="I49" s="327"/>
      <c r="J49" s="327"/>
      <c r="K49" s="327"/>
      <c r="L49" s="327"/>
      <c r="M49" s="327"/>
      <c r="N49" s="327"/>
      <c r="O49" s="327"/>
      <c r="P49" s="327"/>
      <c r="Q49" s="948"/>
      <c r="R49" s="948"/>
      <c r="S49" s="948"/>
      <c r="T49" s="948"/>
      <c r="U49" s="948"/>
      <c r="V49" s="948"/>
      <c r="W49" s="948"/>
      <c r="X49" s="948"/>
      <c r="Y49" s="948"/>
      <c r="Z49" s="226"/>
      <c r="AA49" s="226"/>
      <c r="AB49" s="226"/>
      <c r="AC49" s="226"/>
      <c r="AD49" s="948"/>
      <c r="AE49" s="948"/>
      <c r="AF49" s="948"/>
      <c r="AG49" s="948"/>
      <c r="AH49" s="226"/>
    </row>
    <row r="50" spans="1:34" ht="15.75" customHeight="1" x14ac:dyDescent="0.25">
      <c r="B50" s="417" t="s">
        <v>396</v>
      </c>
      <c r="C50" s="217">
        <f>C65</f>
        <v>362.04999999999995</v>
      </c>
      <c r="D50" s="71">
        <v>0</v>
      </c>
      <c r="E50" s="319">
        <f>C50-D50</f>
        <v>362.04999999999995</v>
      </c>
      <c r="F50" s="71"/>
      <c r="G50" s="71"/>
      <c r="H50" s="71"/>
      <c r="I50" s="327"/>
      <c r="J50" s="327"/>
      <c r="K50" s="327"/>
      <c r="L50" s="327"/>
      <c r="M50" s="327"/>
      <c r="N50" s="327"/>
      <c r="O50" s="327"/>
      <c r="P50" s="327"/>
      <c r="Q50" s="226"/>
      <c r="R50" s="226"/>
      <c r="S50" s="226"/>
      <c r="T50" s="226"/>
      <c r="U50" s="226"/>
      <c r="V50" s="226"/>
      <c r="W50" s="226"/>
      <c r="X50" s="226"/>
      <c r="Y50" s="226"/>
      <c r="Z50" s="226"/>
      <c r="AA50" s="226"/>
      <c r="AB50" s="226"/>
      <c r="AC50" s="226"/>
      <c r="AD50" s="226"/>
      <c r="AE50" s="226"/>
      <c r="AF50" s="226"/>
      <c r="AG50" s="226"/>
      <c r="AH50" s="226"/>
    </row>
    <row r="51" spans="1:34" ht="15" customHeight="1" x14ac:dyDescent="0.25">
      <c r="B51" s="416" t="s">
        <v>420</v>
      </c>
      <c r="C51" s="345">
        <f>C68+C69+C62+C63</f>
        <v>45.396999999999998</v>
      </c>
      <c r="D51" s="71"/>
      <c r="E51" s="319"/>
      <c r="F51" s="71"/>
      <c r="G51" s="71"/>
      <c r="H51" s="71"/>
      <c r="I51" s="327"/>
      <c r="J51" s="327"/>
      <c r="K51" s="327"/>
      <c r="L51" s="327"/>
      <c r="M51" s="327"/>
      <c r="N51" s="327"/>
      <c r="O51" s="327"/>
      <c r="P51" s="327"/>
      <c r="Q51" s="71"/>
      <c r="R51" s="71"/>
      <c r="S51" s="71"/>
      <c r="T51" s="71"/>
      <c r="U51" s="71"/>
      <c r="V51" s="71"/>
      <c r="W51" s="71"/>
    </row>
    <row r="52" spans="1:34" ht="5.25" customHeight="1" x14ac:dyDescent="0.25">
      <c r="B52" s="416"/>
      <c r="C52" s="345"/>
      <c r="D52" s="71"/>
      <c r="E52" s="319"/>
      <c r="F52" s="71"/>
      <c r="G52" s="71"/>
      <c r="H52" s="71"/>
      <c r="I52" s="327"/>
      <c r="J52" s="327"/>
      <c r="K52" s="327"/>
      <c r="L52" s="327"/>
      <c r="M52" s="327"/>
      <c r="N52" s="327"/>
      <c r="O52" s="327"/>
      <c r="P52" s="327"/>
      <c r="Q52" s="71"/>
      <c r="R52" s="71"/>
      <c r="S52" s="71"/>
      <c r="T52" s="71"/>
      <c r="U52" s="71"/>
      <c r="V52" s="71"/>
      <c r="W52" s="71"/>
    </row>
    <row r="53" spans="1:34" ht="18.75" customHeight="1" x14ac:dyDescent="0.25">
      <c r="B53" s="418" t="s">
        <v>421</v>
      </c>
      <c r="C53" s="217">
        <f>C54+C58+C64</f>
        <v>898.11599999999999</v>
      </c>
      <c r="D53" s="71"/>
      <c r="E53" s="319"/>
      <c r="F53" s="71"/>
      <c r="G53" s="71"/>
      <c r="H53" s="71"/>
      <c r="I53" s="327"/>
      <c r="J53" s="327"/>
      <c r="K53" s="327"/>
      <c r="L53" s="327"/>
      <c r="M53" s="327"/>
      <c r="N53" s="327"/>
      <c r="O53" s="327"/>
      <c r="P53" s="327"/>
      <c r="Q53" s="71"/>
      <c r="R53" s="71"/>
      <c r="S53" s="71"/>
      <c r="T53" s="71"/>
      <c r="U53" s="71"/>
      <c r="V53" s="71"/>
      <c r="W53" s="71"/>
    </row>
    <row r="54" spans="1:34" ht="16.149999999999999" customHeight="1" x14ac:dyDescent="0.25">
      <c r="B54" s="401" t="s">
        <v>402</v>
      </c>
      <c r="C54" s="217">
        <f>SUM(C55:C57)</f>
        <v>199</v>
      </c>
      <c r="D54" s="71"/>
      <c r="E54" s="319"/>
      <c r="F54" s="71"/>
      <c r="G54" s="71"/>
      <c r="H54" s="71"/>
      <c r="I54" s="327"/>
      <c r="J54" s="327"/>
      <c r="K54" s="327"/>
      <c r="L54" s="327"/>
      <c r="M54" s="327"/>
      <c r="N54" s="327"/>
      <c r="O54" s="327"/>
      <c r="P54" s="327"/>
      <c r="Q54" s="71"/>
      <c r="R54" s="71"/>
      <c r="S54" s="71"/>
      <c r="T54" s="71"/>
      <c r="U54" s="71"/>
      <c r="V54" s="71"/>
      <c r="W54" s="71"/>
    </row>
    <row r="55" spans="1:34" ht="20.65" customHeight="1" x14ac:dyDescent="0.25">
      <c r="B55" s="315" t="s">
        <v>149</v>
      </c>
      <c r="C55" s="217">
        <v>150</v>
      </c>
      <c r="D55" s="71"/>
      <c r="E55" s="319"/>
      <c r="F55" s="71"/>
      <c r="G55" s="71"/>
      <c r="H55" s="71"/>
      <c r="I55" s="327"/>
      <c r="J55" s="327"/>
      <c r="K55" s="327"/>
      <c r="L55" s="327"/>
      <c r="M55" s="327"/>
      <c r="N55" s="327"/>
      <c r="O55" s="327"/>
      <c r="P55" s="327"/>
      <c r="Q55" s="71"/>
      <c r="R55" s="71"/>
      <c r="S55" s="71"/>
      <c r="T55" s="71"/>
      <c r="U55" s="71"/>
      <c r="V55" s="71"/>
      <c r="W55" s="71"/>
    </row>
    <row r="56" spans="1:34" ht="16.5" customHeight="1" x14ac:dyDescent="0.25">
      <c r="B56" s="315" t="s">
        <v>150</v>
      </c>
      <c r="C56" s="423">
        <v>22</v>
      </c>
      <c r="D56" s="169"/>
      <c r="E56" s="319"/>
      <c r="F56" s="71"/>
      <c r="G56" s="71"/>
      <c r="H56" s="71"/>
      <c r="I56" s="327"/>
      <c r="J56" s="327"/>
      <c r="K56" s="327"/>
      <c r="L56" s="327"/>
      <c r="M56" s="327"/>
      <c r="N56" s="327"/>
      <c r="O56" s="327"/>
      <c r="P56" s="327"/>
      <c r="Q56" s="71"/>
      <c r="R56" s="71"/>
      <c r="S56" s="71"/>
      <c r="T56" s="71"/>
      <c r="U56" s="71"/>
      <c r="V56" s="71"/>
      <c r="W56" s="71"/>
    </row>
    <row r="57" spans="1:34" x14ac:dyDescent="0.25">
      <c r="B57" s="315" t="s">
        <v>152</v>
      </c>
      <c r="C57" s="217">
        <v>27</v>
      </c>
      <c r="D57" s="71"/>
      <c r="E57" s="319"/>
      <c r="F57" s="70"/>
      <c r="G57" s="71"/>
      <c r="H57" s="71"/>
      <c r="I57" s="327"/>
      <c r="J57" s="327"/>
      <c r="K57" s="327"/>
      <c r="L57" s="327"/>
      <c r="M57" s="327"/>
      <c r="N57" s="327"/>
      <c r="P57" s="327"/>
      <c r="Q57" s="71"/>
      <c r="R57" s="71"/>
      <c r="S57" s="71"/>
      <c r="T57" s="71"/>
      <c r="U57" s="71"/>
      <c r="V57" s="71"/>
      <c r="W57" s="71"/>
    </row>
    <row r="58" spans="1:34" ht="15" customHeight="1" x14ac:dyDescent="0.25">
      <c r="B58" s="401" t="s">
        <v>404</v>
      </c>
      <c r="C58" s="217">
        <f>SUM(C59:C63)</f>
        <v>150</v>
      </c>
      <c r="D58" s="71"/>
      <c r="E58" s="319"/>
      <c r="F58" s="71"/>
      <c r="G58" s="71"/>
      <c r="H58" s="71"/>
      <c r="I58" s="71"/>
      <c r="J58" s="71"/>
      <c r="K58" s="71"/>
      <c r="L58" s="71"/>
      <c r="M58" s="71"/>
      <c r="N58" s="71"/>
      <c r="P58" s="71"/>
      <c r="Q58" s="71"/>
      <c r="R58" s="71"/>
      <c r="S58" s="71"/>
      <c r="T58" s="71"/>
      <c r="U58" s="71"/>
      <c r="V58" s="71"/>
      <c r="W58" s="71"/>
    </row>
    <row r="59" spans="1:34" ht="17.25" customHeight="1" x14ac:dyDescent="0.25">
      <c r="B59" s="315" t="s">
        <v>391</v>
      </c>
      <c r="C59" s="217">
        <f>'Response and Relief Act Score'!F7</f>
        <v>29</v>
      </c>
      <c r="D59" s="71"/>
      <c r="E59" s="319"/>
      <c r="F59" s="71"/>
      <c r="G59" s="71"/>
      <c r="H59" s="71"/>
      <c r="I59" s="71"/>
    </row>
    <row r="60" spans="1:34" x14ac:dyDescent="0.25">
      <c r="B60" s="315" t="s">
        <v>150</v>
      </c>
      <c r="C60" s="217">
        <f>'Response and Relief Act Score'!F5</f>
        <v>82</v>
      </c>
      <c r="D60" s="71"/>
      <c r="E60" s="319"/>
      <c r="F60" s="71"/>
      <c r="G60" s="71"/>
      <c r="H60" s="71"/>
      <c r="I60" s="71"/>
      <c r="J60" s="71"/>
      <c r="K60" s="71"/>
      <c r="L60" s="71"/>
      <c r="M60" s="71"/>
      <c r="N60" s="71"/>
      <c r="P60" s="71"/>
      <c r="Q60" s="71"/>
      <c r="R60" s="71"/>
      <c r="S60" s="71"/>
      <c r="T60" s="71"/>
      <c r="U60" s="71"/>
      <c r="V60" s="71"/>
      <c r="W60" s="71"/>
    </row>
    <row r="61" spans="1:34" x14ac:dyDescent="0.25">
      <c r="B61" s="315" t="s">
        <v>152</v>
      </c>
      <c r="C61" s="217">
        <f>'Response and Relief Act Score'!F6</f>
        <v>3</v>
      </c>
      <c r="D61" s="71"/>
      <c r="E61" s="319"/>
      <c r="F61" s="71"/>
      <c r="G61" s="71"/>
      <c r="H61" s="71"/>
      <c r="I61" s="71"/>
      <c r="J61" s="71"/>
      <c r="K61" s="71"/>
      <c r="L61" s="71"/>
      <c r="M61" s="71"/>
      <c r="N61" s="71"/>
      <c r="P61" s="71"/>
      <c r="Q61" s="71"/>
      <c r="R61" s="71"/>
      <c r="S61" s="71"/>
      <c r="T61" s="71"/>
      <c r="U61" s="71"/>
      <c r="V61" s="71"/>
      <c r="W61" s="71"/>
    </row>
    <row r="62" spans="1:34" ht="29.25" customHeight="1" x14ac:dyDescent="0.25">
      <c r="B62" s="315" t="s">
        <v>407</v>
      </c>
      <c r="C62" s="217">
        <f>'Response and Relief Act Score'!F9</f>
        <v>34</v>
      </c>
      <c r="D62" s="71"/>
      <c r="E62" s="319"/>
      <c r="F62" s="71"/>
      <c r="G62" s="71"/>
      <c r="H62" s="71"/>
      <c r="I62" s="358"/>
      <c r="J62" s="71"/>
      <c r="K62" s="71"/>
      <c r="L62" s="71"/>
      <c r="M62" s="71"/>
      <c r="N62" s="71"/>
      <c r="O62" s="327"/>
      <c r="P62" s="71"/>
      <c r="Q62" s="71"/>
      <c r="R62" s="71"/>
      <c r="S62" s="71"/>
      <c r="T62" s="71"/>
      <c r="U62" s="71"/>
      <c r="V62" s="71"/>
      <c r="W62" s="71"/>
    </row>
    <row r="63" spans="1:34" ht="12.75" customHeight="1" x14ac:dyDescent="0.25">
      <c r="B63" s="315" t="s">
        <v>408</v>
      </c>
      <c r="C63" s="217">
        <f>'Response and Relief Act Score'!F8</f>
        <v>2</v>
      </c>
      <c r="D63" s="71"/>
      <c r="E63" s="319"/>
      <c r="F63" s="71"/>
      <c r="G63" s="71"/>
      <c r="H63" s="71"/>
      <c r="I63" s="71"/>
      <c r="J63" s="71"/>
      <c r="K63" s="71"/>
      <c r="L63" s="71"/>
      <c r="M63" s="71"/>
      <c r="N63" s="71"/>
      <c r="O63" s="71"/>
      <c r="P63" s="71"/>
      <c r="Q63" s="71"/>
      <c r="R63" s="71"/>
      <c r="S63" s="71"/>
      <c r="T63" s="71"/>
      <c r="U63" s="71"/>
      <c r="V63" s="71"/>
      <c r="W63" s="71"/>
    </row>
    <row r="64" spans="1:34" x14ac:dyDescent="0.25">
      <c r="A64" s="341"/>
      <c r="B64" s="337" t="s">
        <v>409</v>
      </c>
      <c r="C64" s="345">
        <f>SUM(C65:C69)</f>
        <v>549.11599999999999</v>
      </c>
      <c r="D64" s="71"/>
      <c r="E64" s="319"/>
      <c r="F64" s="71"/>
      <c r="G64" s="71"/>
      <c r="H64" s="71"/>
      <c r="I64" s="71"/>
      <c r="J64" s="71"/>
      <c r="K64" s="71"/>
      <c r="L64" s="71"/>
      <c r="M64" s="71"/>
      <c r="N64" s="71"/>
      <c r="P64" s="71"/>
      <c r="Q64" s="71"/>
      <c r="R64" s="71"/>
      <c r="S64" s="71"/>
      <c r="T64" s="71"/>
      <c r="U64" s="71"/>
      <c r="V64" s="71"/>
      <c r="W64" s="71"/>
    </row>
    <row r="65" spans="1:31" ht="16.149999999999999" customHeight="1" x14ac:dyDescent="0.25">
      <c r="A65" s="341"/>
      <c r="B65" s="340" t="s">
        <v>396</v>
      </c>
      <c r="C65" s="345">
        <f>'ARP Score'!AJ16</f>
        <v>362.04999999999995</v>
      </c>
      <c r="D65" s="71"/>
      <c r="E65" s="319"/>
      <c r="F65" s="71"/>
      <c r="G65" s="71"/>
      <c r="H65" s="71"/>
      <c r="I65" s="71"/>
      <c r="J65" s="71"/>
      <c r="K65" s="71"/>
      <c r="L65" s="71"/>
      <c r="M65" s="71"/>
      <c r="N65" s="71"/>
      <c r="O65" s="71"/>
      <c r="P65" s="71"/>
      <c r="Q65" s="71"/>
      <c r="R65" s="71"/>
      <c r="S65" s="71"/>
      <c r="T65" s="71"/>
      <c r="U65" s="71"/>
      <c r="V65" s="71"/>
      <c r="W65" s="71"/>
    </row>
    <row r="66" spans="1:31" ht="15" customHeight="1" x14ac:dyDescent="0.25">
      <c r="A66" s="979"/>
      <c r="B66" s="340" t="s">
        <v>150</v>
      </c>
      <c r="C66" s="345">
        <f>'ARP Score'!AL16</f>
        <v>169.16899999999998</v>
      </c>
      <c r="D66" s="71"/>
      <c r="E66" s="319"/>
      <c r="F66" s="71"/>
      <c r="G66" s="71"/>
      <c r="H66" s="71"/>
      <c r="I66" s="71"/>
      <c r="J66" s="71"/>
      <c r="K66" s="71"/>
      <c r="L66" s="71"/>
      <c r="M66" s="71"/>
      <c r="N66" s="71"/>
      <c r="O66" s="71"/>
      <c r="P66" s="71"/>
      <c r="Q66" s="343"/>
      <c r="R66" s="71"/>
      <c r="S66" s="71"/>
      <c r="T66" s="71"/>
      <c r="U66" s="71"/>
      <c r="V66" s="71"/>
      <c r="W66" s="71"/>
    </row>
    <row r="67" spans="1:31" x14ac:dyDescent="0.25">
      <c r="A67" s="979"/>
      <c r="B67" s="340" t="s">
        <v>152</v>
      </c>
      <c r="C67" s="345">
        <f>'ARP Score'!AK16</f>
        <v>8.5</v>
      </c>
      <c r="D67" s="71"/>
      <c r="E67" s="319"/>
      <c r="F67" s="71"/>
      <c r="G67" s="71"/>
      <c r="H67" s="71"/>
      <c r="I67" s="71"/>
      <c r="J67" s="71"/>
      <c r="K67" s="71"/>
      <c r="L67" s="71"/>
      <c r="M67" s="71"/>
      <c r="N67" s="71"/>
      <c r="O67" s="71"/>
      <c r="P67" s="71"/>
      <c r="Q67" s="71"/>
      <c r="R67" s="71"/>
      <c r="S67" s="71"/>
      <c r="T67" s="71"/>
      <c r="U67" s="71"/>
      <c r="V67" s="71"/>
      <c r="W67" s="71"/>
    </row>
    <row r="68" spans="1:31" ht="17.25" customHeight="1" x14ac:dyDescent="0.25">
      <c r="A68" s="341"/>
      <c r="B68" s="340" t="s">
        <v>412</v>
      </c>
      <c r="C68" s="345">
        <f>'ARP Score'!AM16</f>
        <v>0.79700000000000004</v>
      </c>
      <c r="D68" s="71"/>
      <c r="E68" s="319"/>
      <c r="F68" s="71"/>
      <c r="G68" s="71"/>
      <c r="H68" s="71"/>
      <c r="I68" s="71"/>
      <c r="J68" s="71"/>
      <c r="K68" s="71"/>
      <c r="L68" s="71"/>
      <c r="M68" s="71"/>
      <c r="N68" s="71"/>
      <c r="O68" s="71"/>
      <c r="P68" s="71"/>
      <c r="Q68" s="71"/>
      <c r="R68" s="71"/>
      <c r="S68" s="71"/>
      <c r="T68" s="71"/>
      <c r="U68" s="71"/>
      <c r="V68" s="71"/>
      <c r="W68" s="71"/>
    </row>
    <row r="69" spans="1:31" ht="17.25" customHeight="1" x14ac:dyDescent="0.25">
      <c r="A69" s="341"/>
      <c r="B69" s="342" t="s">
        <v>422</v>
      </c>
      <c r="C69" s="346">
        <f>'ARP Score'!AN16</f>
        <v>8.6</v>
      </c>
      <c r="D69" s="344"/>
      <c r="E69" s="320"/>
      <c r="F69" s="71"/>
      <c r="G69" s="71"/>
      <c r="H69" s="71"/>
      <c r="I69" s="71"/>
      <c r="J69" s="71"/>
      <c r="K69" s="71"/>
      <c r="L69" s="71"/>
      <c r="M69" s="71"/>
      <c r="N69" s="71"/>
      <c r="O69" s="71"/>
      <c r="P69" s="71"/>
      <c r="Q69" s="71"/>
      <c r="R69" s="71"/>
      <c r="S69" s="71"/>
      <c r="T69" s="71"/>
      <c r="U69" s="71"/>
      <c r="V69" s="71"/>
      <c r="W69" s="71"/>
    </row>
    <row r="70" spans="1:31" ht="17.25" customHeight="1" x14ac:dyDescent="0.25">
      <c r="B70" s="340"/>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316"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935" t="s">
        <v>424</v>
      </c>
      <c r="C72" s="936"/>
      <c r="D72" s="945" t="s">
        <v>325</v>
      </c>
      <c r="E72" s="946"/>
      <c r="F72" s="946"/>
      <c r="G72" s="946"/>
      <c r="H72" s="946"/>
      <c r="I72" s="946"/>
      <c r="J72" s="946"/>
      <c r="K72" s="946"/>
      <c r="L72" s="946"/>
      <c r="M72" s="946"/>
      <c r="N72" s="946"/>
      <c r="O72" s="946"/>
      <c r="P72" s="946"/>
      <c r="Q72" s="946"/>
      <c r="R72" s="943" t="s">
        <v>326</v>
      </c>
      <c r="S72" s="943"/>
      <c r="T72" s="943"/>
      <c r="U72" s="943"/>
      <c r="V72" s="943"/>
      <c r="W72" s="943"/>
      <c r="X72" s="943"/>
      <c r="Y72" s="943"/>
      <c r="Z72" s="943"/>
      <c r="AA72" s="943"/>
      <c r="AB72" s="943"/>
      <c r="AC72" s="944"/>
      <c r="AD72" s="145"/>
      <c r="AE72" s="145"/>
    </row>
    <row r="73" spans="1:31" x14ac:dyDescent="0.25">
      <c r="B73" s="937"/>
      <c r="C73" s="938"/>
      <c r="D73" s="178">
        <v>2018</v>
      </c>
      <c r="E73" s="932">
        <v>2019</v>
      </c>
      <c r="F73" s="933"/>
      <c r="G73" s="933"/>
      <c r="H73" s="934"/>
      <c r="I73" s="932">
        <v>2020</v>
      </c>
      <c r="J73" s="933"/>
      <c r="K73" s="933"/>
      <c r="L73" s="933"/>
      <c r="M73" s="932">
        <v>2021</v>
      </c>
      <c r="N73" s="933"/>
      <c r="O73" s="933"/>
      <c r="P73" s="933"/>
      <c r="Q73" s="172"/>
      <c r="R73" s="940">
        <v>2022</v>
      </c>
      <c r="S73" s="940"/>
      <c r="T73" s="941"/>
      <c r="U73" s="939">
        <v>2023</v>
      </c>
      <c r="V73" s="940"/>
      <c r="W73" s="940"/>
      <c r="X73" s="940"/>
      <c r="Y73" s="939">
        <v>2024</v>
      </c>
      <c r="Z73" s="940"/>
      <c r="AA73" s="940"/>
      <c r="AB73" s="941"/>
      <c r="AC73" s="185">
        <v>2025</v>
      </c>
      <c r="AD73" s="226"/>
      <c r="AE73" s="226"/>
    </row>
    <row r="74" spans="1:31" x14ac:dyDescent="0.25">
      <c r="B74" s="974"/>
      <c r="C74" s="975"/>
      <c r="D74" s="180" t="s">
        <v>327</v>
      </c>
      <c r="E74" s="180" t="s">
        <v>328</v>
      </c>
      <c r="F74" s="177" t="s">
        <v>329</v>
      </c>
      <c r="G74" s="177" t="s">
        <v>238</v>
      </c>
      <c r="H74" s="179" t="s">
        <v>327</v>
      </c>
      <c r="I74" s="177" t="s">
        <v>328</v>
      </c>
      <c r="J74" s="177" t="s">
        <v>329</v>
      </c>
      <c r="K74" s="177" t="s">
        <v>238</v>
      </c>
      <c r="L74" s="177" t="s">
        <v>327</v>
      </c>
      <c r="M74" s="180" t="s">
        <v>328</v>
      </c>
      <c r="N74" s="177" t="s">
        <v>329</v>
      </c>
      <c r="O74" s="177" t="s">
        <v>238</v>
      </c>
      <c r="P74" s="177" t="s">
        <v>327</v>
      </c>
      <c r="Q74" s="173" t="s">
        <v>328</v>
      </c>
      <c r="R74" s="360" t="s">
        <v>329</v>
      </c>
      <c r="S74" s="360" t="s">
        <v>238</v>
      </c>
      <c r="T74" s="360" t="s">
        <v>327</v>
      </c>
      <c r="U74" s="359" t="s">
        <v>328</v>
      </c>
      <c r="V74" s="360" t="s">
        <v>329</v>
      </c>
      <c r="W74" s="360" t="s">
        <v>238</v>
      </c>
      <c r="X74" s="360" t="s">
        <v>327</v>
      </c>
      <c r="Y74" s="359" t="s">
        <v>328</v>
      </c>
      <c r="Z74" s="196" t="s">
        <v>329</v>
      </c>
      <c r="AA74" s="360" t="s">
        <v>238</v>
      </c>
      <c r="AB74" s="383" t="s">
        <v>327</v>
      </c>
      <c r="AC74" s="400" t="s">
        <v>328</v>
      </c>
      <c r="AD74" s="226"/>
      <c r="AE74" s="226"/>
    </row>
    <row r="75" spans="1:31" ht="29.25" customHeight="1" x14ac:dyDescent="0.25">
      <c r="B75" s="386" t="s">
        <v>425</v>
      </c>
      <c r="C75" s="407"/>
      <c r="D75" s="422"/>
      <c r="E75" s="407"/>
      <c r="F75" s="407"/>
      <c r="G75" s="407"/>
      <c r="H75" s="365">
        <f t="shared" ref="H75:O75" si="21">SUM(H77:H84)</f>
        <v>208.59399999999999</v>
      </c>
      <c r="I75" s="365">
        <f t="shared" si="21"/>
        <v>212.48200000000003</v>
      </c>
      <c r="J75" s="365">
        <f t="shared" si="21"/>
        <v>334.61</v>
      </c>
      <c r="K75" s="365">
        <f t="shared" si="21"/>
        <v>301.78300000000002</v>
      </c>
      <c r="L75" s="365">
        <f t="shared" si="21"/>
        <v>280.16300000000001</v>
      </c>
      <c r="M75" s="365">
        <f t="shared" si="21"/>
        <v>310.15499999999997</v>
      </c>
      <c r="N75" s="365">
        <f t="shared" si="21"/>
        <v>346.31500000000005</v>
      </c>
      <c r="O75" s="365">
        <f t="shared" si="21"/>
        <v>359.12299999999988</v>
      </c>
      <c r="P75" s="365">
        <f>SUM(P77:P85)</f>
        <v>393.11685200000005</v>
      </c>
      <c r="Q75" s="369">
        <f>SUM(Q77:Q85)</f>
        <v>428.87827479999993</v>
      </c>
      <c r="R75" s="321">
        <f t="shared" ref="R75:AC75" si="22">SUM(R77:R85)</f>
        <v>446.83458076689982</v>
      </c>
      <c r="S75" s="321">
        <f t="shared" si="22"/>
        <v>443.16378910828843</v>
      </c>
      <c r="T75" s="321">
        <f t="shared" si="22"/>
        <v>449.456681310205</v>
      </c>
      <c r="U75" s="321">
        <f t="shared" si="22"/>
        <v>444.1136258666665</v>
      </c>
      <c r="V75" s="321">
        <f t="shared" si="22"/>
        <v>448.41748970468939</v>
      </c>
      <c r="W75" s="321">
        <f t="shared" si="22"/>
        <v>447.24836323261991</v>
      </c>
      <c r="X75" s="321">
        <f t="shared" si="22"/>
        <v>446.31815136261321</v>
      </c>
      <c r="Y75" s="321">
        <f t="shared" si="22"/>
        <v>434.91237653333314</v>
      </c>
      <c r="Z75" s="321">
        <f t="shared" si="22"/>
        <v>415.05454853287694</v>
      </c>
      <c r="AA75" s="321">
        <f t="shared" si="22"/>
        <v>419.51886552192474</v>
      </c>
      <c r="AB75" s="321">
        <f t="shared" si="22"/>
        <v>423.20412375711771</v>
      </c>
      <c r="AC75" s="322">
        <f t="shared" si="22"/>
        <v>406.37747211466649</v>
      </c>
      <c r="AD75" s="368"/>
      <c r="AE75" s="368"/>
    </row>
    <row r="76" spans="1:31" ht="19.149999999999999" customHeight="1" x14ac:dyDescent="0.25">
      <c r="B76" s="418" t="s">
        <v>426</v>
      </c>
      <c r="C76" s="374"/>
      <c r="D76" s="406"/>
      <c r="E76" s="374"/>
      <c r="F76" s="374"/>
      <c r="G76" s="374"/>
      <c r="H76" s="368"/>
      <c r="I76" s="368"/>
      <c r="J76" s="368"/>
      <c r="K76" s="368"/>
      <c r="L76" s="368"/>
      <c r="M76" s="368"/>
      <c r="N76" s="368"/>
      <c r="O76" s="368"/>
      <c r="P76" s="368"/>
      <c r="Q76" s="369"/>
      <c r="R76" s="377"/>
      <c r="S76" s="377"/>
      <c r="T76" s="377"/>
      <c r="U76" s="377"/>
      <c r="V76" s="377"/>
      <c r="W76" s="377"/>
      <c r="X76" s="377"/>
      <c r="Y76" s="377"/>
      <c r="Z76" s="377"/>
      <c r="AA76" s="377"/>
      <c r="AB76" s="377"/>
      <c r="AC76" s="378"/>
      <c r="AD76" s="368"/>
      <c r="AE76" s="368"/>
    </row>
    <row r="77" spans="1:31" x14ac:dyDescent="0.25">
      <c r="B77" s="414" t="s">
        <v>152</v>
      </c>
      <c r="C77" s="70"/>
      <c r="D77" s="332"/>
      <c r="E77" s="70"/>
      <c r="F77" s="70"/>
      <c r="G77" s="70"/>
      <c r="H77" s="356"/>
      <c r="I77" s="356"/>
      <c r="J77" s="356">
        <f t="shared" ref="J77:AC77" si="23">J14</f>
        <v>64.400000000000006</v>
      </c>
      <c r="K77" s="356">
        <f t="shared" si="23"/>
        <v>23.4</v>
      </c>
      <c r="L77" s="356">
        <f t="shared" si="23"/>
        <v>13.8</v>
      </c>
      <c r="M77" s="356">
        <f t="shared" si="23"/>
        <v>17.100000000000001</v>
      </c>
      <c r="N77" s="356">
        <f t="shared" si="23"/>
        <v>10.6</v>
      </c>
      <c r="O77" s="356">
        <f t="shared" si="23"/>
        <v>15</v>
      </c>
      <c r="P77" s="356">
        <f t="shared" si="23"/>
        <v>25.8</v>
      </c>
      <c r="Q77" s="370">
        <f t="shared" si="23"/>
        <v>21.5</v>
      </c>
      <c r="R77" s="372">
        <f t="shared" si="23"/>
        <v>20.018621973929235</v>
      </c>
      <c r="S77" s="372">
        <f t="shared" si="23"/>
        <v>0</v>
      </c>
      <c r="T77" s="372">
        <f t="shared" si="23"/>
        <v>0</v>
      </c>
      <c r="U77" s="372">
        <f t="shared" si="23"/>
        <v>0</v>
      </c>
      <c r="V77" s="372">
        <f t="shared" si="23"/>
        <v>0</v>
      </c>
      <c r="W77" s="372">
        <f t="shared" si="23"/>
        <v>0</v>
      </c>
      <c r="X77" s="372">
        <f t="shared" si="23"/>
        <v>0</v>
      </c>
      <c r="Y77" s="372">
        <f t="shared" si="23"/>
        <v>0</v>
      </c>
      <c r="Z77" s="372">
        <f t="shared" si="23"/>
        <v>0</v>
      </c>
      <c r="AA77" s="372">
        <f t="shared" si="23"/>
        <v>0</v>
      </c>
      <c r="AB77" s="372">
        <f t="shared" si="23"/>
        <v>0</v>
      </c>
      <c r="AC77" s="382">
        <f t="shared" si="23"/>
        <v>0</v>
      </c>
      <c r="AD77" s="356"/>
      <c r="AE77" s="356"/>
    </row>
    <row r="78" spans="1:31" x14ac:dyDescent="0.25">
      <c r="B78" s="414" t="s">
        <v>391</v>
      </c>
      <c r="C78" s="70"/>
      <c r="D78" s="332"/>
      <c r="E78" s="70"/>
      <c r="F78" s="70"/>
      <c r="G78" s="70"/>
      <c r="H78" s="356"/>
      <c r="I78" s="356"/>
      <c r="J78" s="356"/>
      <c r="K78" s="356"/>
      <c r="L78" s="356"/>
      <c r="M78" s="356">
        <f>M30</f>
        <v>9.6666666666666661</v>
      </c>
      <c r="N78" s="356">
        <f t="shared" ref="N78:AC78" si="24">N30</f>
        <v>9.6666666666666661</v>
      </c>
      <c r="O78" s="356">
        <f t="shared" si="24"/>
        <v>9.6666666666666661</v>
      </c>
      <c r="P78" s="356">
        <f t="shared" si="24"/>
        <v>9.6666666666666661</v>
      </c>
      <c r="Q78" s="370">
        <f>Q30</f>
        <v>9.6666666666666661</v>
      </c>
      <c r="R78" s="372">
        <f t="shared" si="24"/>
        <v>9.6666666666666661</v>
      </c>
      <c r="S78" s="372">
        <f t="shared" si="24"/>
        <v>9.6666666666666661</v>
      </c>
      <c r="T78" s="372">
        <f t="shared" si="24"/>
        <v>9.6666666666666661</v>
      </c>
      <c r="U78" s="372">
        <f t="shared" si="24"/>
        <v>9.6666666666666661</v>
      </c>
      <c r="V78" s="372">
        <f t="shared" si="24"/>
        <v>9.6666666666666661</v>
      </c>
      <c r="W78" s="372">
        <f t="shared" si="24"/>
        <v>9.6666666666666661</v>
      </c>
      <c r="X78" s="372">
        <f t="shared" si="24"/>
        <v>9.6666666666666661</v>
      </c>
      <c r="Y78" s="372">
        <f t="shared" si="24"/>
        <v>0</v>
      </c>
      <c r="Z78" s="372">
        <f t="shared" si="24"/>
        <v>0</v>
      </c>
      <c r="AA78" s="372">
        <f t="shared" si="24"/>
        <v>0</v>
      </c>
      <c r="AB78" s="372">
        <f t="shared" si="24"/>
        <v>0</v>
      </c>
      <c r="AC78" s="382">
        <f t="shared" si="24"/>
        <v>0</v>
      </c>
      <c r="AD78" s="356"/>
      <c r="AE78" s="356"/>
    </row>
    <row r="79" spans="1:31" x14ac:dyDescent="0.25">
      <c r="B79" s="414" t="s">
        <v>427</v>
      </c>
      <c r="C79" s="70"/>
      <c r="D79" s="332"/>
      <c r="E79" s="70"/>
      <c r="F79" s="70"/>
      <c r="G79" s="70"/>
      <c r="H79" s="356"/>
      <c r="I79" s="356"/>
      <c r="J79" s="356"/>
      <c r="K79" s="356"/>
      <c r="L79" s="356"/>
      <c r="M79" s="356">
        <f t="shared" ref="M79:AC79" si="25">M16</f>
        <v>12</v>
      </c>
      <c r="N79" s="356">
        <f t="shared" si="25"/>
        <v>12</v>
      </c>
      <c r="O79" s="356">
        <f t="shared" si="25"/>
        <v>12</v>
      </c>
      <c r="P79" s="356">
        <f t="shared" si="25"/>
        <v>12</v>
      </c>
      <c r="Q79" s="370">
        <f>Q16</f>
        <v>12</v>
      </c>
      <c r="R79" s="372">
        <f t="shared" si="25"/>
        <v>12</v>
      </c>
      <c r="S79" s="372">
        <f t="shared" si="25"/>
        <v>12</v>
      </c>
      <c r="T79" s="372">
        <f t="shared" si="25"/>
        <v>12</v>
      </c>
      <c r="U79" s="372">
        <f t="shared" si="25"/>
        <v>12</v>
      </c>
      <c r="V79" s="372">
        <f t="shared" si="25"/>
        <v>12</v>
      </c>
      <c r="W79" s="372">
        <f t="shared" si="25"/>
        <v>12</v>
      </c>
      <c r="X79" s="372">
        <f t="shared" si="25"/>
        <v>12</v>
      </c>
      <c r="Y79" s="372">
        <f t="shared" si="25"/>
        <v>0</v>
      </c>
      <c r="Z79" s="372">
        <f t="shared" si="25"/>
        <v>0</v>
      </c>
      <c r="AA79" s="372">
        <f t="shared" si="25"/>
        <v>0</v>
      </c>
      <c r="AB79" s="372">
        <f t="shared" si="25"/>
        <v>0</v>
      </c>
      <c r="AC79" s="382">
        <f t="shared" si="25"/>
        <v>0</v>
      </c>
      <c r="AD79" s="356"/>
      <c r="AE79" s="356"/>
    </row>
    <row r="80" spans="1:31" x14ac:dyDescent="0.25">
      <c r="B80" s="414" t="s">
        <v>428</v>
      </c>
      <c r="C80" s="70"/>
      <c r="D80" s="332"/>
      <c r="E80" s="70"/>
      <c r="F80" s="70"/>
      <c r="G80" s="70"/>
      <c r="H80" s="51">
        <f t="shared" ref="H80:AC80" si="26">H20</f>
        <v>208.59399999999999</v>
      </c>
      <c r="I80" s="51">
        <f>I20</f>
        <v>212.48200000000003</v>
      </c>
      <c r="J80" s="51">
        <f t="shared" si="26"/>
        <v>206.81000000000006</v>
      </c>
      <c r="K80" s="51">
        <f t="shared" si="26"/>
        <v>217.58300000000003</v>
      </c>
      <c r="L80" s="51">
        <f t="shared" si="26"/>
        <v>206.16300000000001</v>
      </c>
      <c r="M80" s="51">
        <f t="shared" si="26"/>
        <v>202.48833333333332</v>
      </c>
      <c r="N80" s="51">
        <f t="shared" si="26"/>
        <v>206.44833333333338</v>
      </c>
      <c r="O80" s="51">
        <f>O20</f>
        <v>201.7563333333332</v>
      </c>
      <c r="P80" s="51">
        <f>P20</f>
        <v>233.82933333333341</v>
      </c>
      <c r="Q80" s="371">
        <f>Q20</f>
        <v>237.31533333333323</v>
      </c>
      <c r="R80" s="379">
        <f t="shared" si="26"/>
        <v>239.6536977929706</v>
      </c>
      <c r="S80" s="379">
        <f t="shared" si="26"/>
        <v>242.01510310828846</v>
      </c>
      <c r="T80" s="379">
        <f t="shared" si="26"/>
        <v>244.39977631020503</v>
      </c>
      <c r="U80" s="379">
        <f t="shared" si="26"/>
        <v>246.80794666666651</v>
      </c>
      <c r="V80" s="379">
        <f t="shared" si="26"/>
        <v>249.2398457046894</v>
      </c>
      <c r="W80" s="379">
        <f t="shared" si="26"/>
        <v>251.69570723261998</v>
      </c>
      <c r="X80" s="379">
        <f t="shared" si="26"/>
        <v>254.17576736261321</v>
      </c>
      <c r="Y80" s="379">
        <f t="shared" si="26"/>
        <v>256.68026453333317</v>
      </c>
      <c r="Z80" s="379">
        <f t="shared" si="26"/>
        <v>259.20943953287696</v>
      </c>
      <c r="AA80" s="379">
        <f t="shared" si="26"/>
        <v>261.76353552192472</v>
      </c>
      <c r="AB80" s="379">
        <f t="shared" si="26"/>
        <v>264.3427980571177</v>
      </c>
      <c r="AC80" s="380">
        <f t="shared" si="26"/>
        <v>266.94747511466647</v>
      </c>
      <c r="AD80" s="51"/>
      <c r="AE80" s="51"/>
    </row>
    <row r="81" spans="2:31" ht="14.65" customHeight="1" x14ac:dyDescent="0.25">
      <c r="B81" s="381" t="s">
        <v>429</v>
      </c>
      <c r="C81" s="70"/>
      <c r="D81" s="332"/>
      <c r="E81" s="70"/>
      <c r="F81" s="70"/>
      <c r="G81" s="70"/>
      <c r="H81" s="356"/>
      <c r="I81" s="356"/>
      <c r="J81" s="356"/>
      <c r="K81" s="356"/>
      <c r="L81" s="356"/>
      <c r="M81" s="356"/>
      <c r="N81" s="356"/>
      <c r="O81" s="356"/>
      <c r="P81" s="356"/>
      <c r="Q81" s="370"/>
      <c r="R81" s="372"/>
      <c r="S81" s="372"/>
      <c r="T81" s="372"/>
      <c r="U81" s="372"/>
      <c r="V81" s="372"/>
      <c r="W81" s="372"/>
      <c r="X81" s="372"/>
      <c r="Y81" s="372"/>
      <c r="Z81" s="372"/>
      <c r="AA81" s="372"/>
      <c r="AB81" s="372"/>
      <c r="AC81" s="382"/>
      <c r="AD81" s="356"/>
      <c r="AE81" s="356"/>
    </row>
    <row r="82" spans="2:31" ht="14.65" customHeight="1" x14ac:dyDescent="0.25">
      <c r="B82" s="414" t="s">
        <v>150</v>
      </c>
      <c r="C82" s="70"/>
      <c r="D82" s="332"/>
      <c r="E82" s="70"/>
      <c r="F82" s="70"/>
      <c r="G82" s="70"/>
      <c r="H82" s="356"/>
      <c r="I82" s="356"/>
      <c r="J82" s="356">
        <f>J13</f>
        <v>28.4</v>
      </c>
      <c r="K82" s="356">
        <f t="shared" ref="K82:Q82" si="27">K13</f>
        <v>15.8</v>
      </c>
      <c r="L82" s="356">
        <f t="shared" si="27"/>
        <v>15.2</v>
      </c>
      <c r="M82" s="356">
        <f t="shared" si="27"/>
        <v>28.9</v>
      </c>
      <c r="N82" s="356">
        <f t="shared" si="27"/>
        <v>67.599999999999994</v>
      </c>
      <c r="O82" s="356">
        <f t="shared" si="27"/>
        <v>80.7</v>
      </c>
      <c r="P82" s="356">
        <f t="shared" si="27"/>
        <v>87.2</v>
      </c>
      <c r="Q82" s="370">
        <f t="shared" si="27"/>
        <v>72.400000000000006</v>
      </c>
      <c r="R82" s="372">
        <f>R27+R31+'ARP Quarterly'!H28</f>
        <v>46.145562333333302</v>
      </c>
      <c r="S82" s="372">
        <f>S27+S31+'ARP Quarterly'!I28</f>
        <v>50.186151333333306</v>
      </c>
      <c r="T82" s="372">
        <f>T27+T31+'ARP Quarterly'!J28</f>
        <v>52.851310333333302</v>
      </c>
      <c r="U82" s="372">
        <f>U27+U31+'ARP Quarterly'!K28</f>
        <v>55.516469333333305</v>
      </c>
      <c r="V82" s="372">
        <f>V27+V31+'ARP Quarterly'!L28</f>
        <v>58.594257333333303</v>
      </c>
      <c r="W82" s="372">
        <f>W27+W31+'ARP Quarterly'!M28</f>
        <v>61.672045333333294</v>
      </c>
      <c r="X82" s="372">
        <f>X27+X31+'ARP Quarterly'!N28</f>
        <v>63.261773333333295</v>
      </c>
      <c r="Y82" s="372">
        <f>Y27+Y31+'ARP Quarterly'!O28</f>
        <v>61.518167999999996</v>
      </c>
      <c r="Z82" s="372">
        <f>Z27+Z31+'ARP Quarterly'!P28</f>
        <v>44.428388999999996</v>
      </c>
      <c r="AA82" s="372">
        <f>AA27+AA31+'ARP Quarterly'!Q28</f>
        <v>46.338610000000003</v>
      </c>
      <c r="AB82" s="372">
        <f>AB27+AB31+'ARP Quarterly'!R28</f>
        <v>47.279744500000007</v>
      </c>
      <c r="AC82" s="382">
        <f>AC27+AC31+'ARP Quarterly'!S28</f>
        <v>46.283419000000009</v>
      </c>
      <c r="AD82" s="356"/>
      <c r="AE82" s="356"/>
    </row>
    <row r="83" spans="2:31" x14ac:dyDescent="0.25">
      <c r="B83" s="414" t="s">
        <v>149</v>
      </c>
      <c r="C83" s="51"/>
      <c r="D83" s="331"/>
      <c r="E83" s="51"/>
      <c r="F83" s="51"/>
      <c r="G83" s="51"/>
      <c r="H83" s="356"/>
      <c r="I83" s="356"/>
      <c r="J83" s="356">
        <v>35</v>
      </c>
      <c r="K83" s="356">
        <v>45</v>
      </c>
      <c r="L83" s="356">
        <v>45</v>
      </c>
      <c r="M83" s="356">
        <v>40</v>
      </c>
      <c r="N83" s="356">
        <v>40</v>
      </c>
      <c r="O83" s="356">
        <v>40</v>
      </c>
      <c r="P83" s="356">
        <v>40</v>
      </c>
      <c r="Q83" s="370">
        <v>50</v>
      </c>
      <c r="R83" s="372">
        <v>50</v>
      </c>
      <c r="S83" s="372">
        <v>50</v>
      </c>
      <c r="T83" s="372">
        <v>50</v>
      </c>
      <c r="U83" s="372">
        <v>40</v>
      </c>
      <c r="V83" s="372">
        <v>30</v>
      </c>
      <c r="W83" s="372">
        <v>20</v>
      </c>
      <c r="X83" s="372">
        <v>15</v>
      </c>
      <c r="Y83" s="372">
        <v>10</v>
      </c>
      <c r="Z83" s="372"/>
      <c r="AA83" s="372"/>
      <c r="AB83" s="372"/>
      <c r="AC83" s="382"/>
      <c r="AD83" s="119">
        <f>SUM(O83:AC83)</f>
        <v>395</v>
      </c>
    </row>
    <row r="84" spans="2:31" ht="28.5" customHeight="1" x14ac:dyDescent="0.25">
      <c r="B84" s="311" t="s">
        <v>430</v>
      </c>
      <c r="C84" s="338"/>
      <c r="D84" s="336"/>
      <c r="E84" s="338"/>
      <c r="F84" s="338"/>
      <c r="G84" s="338"/>
      <c r="H84" s="364"/>
      <c r="I84" s="364"/>
      <c r="J84" s="364"/>
      <c r="K84" s="364"/>
      <c r="L84" s="364"/>
      <c r="M84" s="364"/>
      <c r="N84" s="364">
        <f>'ARP Quarterly'!D47</f>
        <v>0</v>
      </c>
      <c r="O84" s="364">
        <f>'ARP Quarterly'!E47</f>
        <v>0</v>
      </c>
      <c r="P84" s="364">
        <f>'ARP Quarterly'!F47</f>
        <v>34.620851999999999</v>
      </c>
      <c r="Q84" s="392">
        <f>'ARP Quarterly'!G47</f>
        <v>50.996274799999995</v>
      </c>
      <c r="R84" s="398">
        <f>'ARP Quarterly'!H47</f>
        <v>69.350031999999999</v>
      </c>
      <c r="S84" s="398">
        <f>'ARP Quarterly'!I47</f>
        <v>79.295867999999999</v>
      </c>
      <c r="T84" s="398">
        <f>'ARP Quarterly'!J47</f>
        <v>80.538927999999999</v>
      </c>
      <c r="U84" s="398">
        <f>'ARP Quarterly'!K47</f>
        <v>80.122543199999996</v>
      </c>
      <c r="V84" s="398">
        <f>'ARP Quarterly'!L47</f>
        <v>88.916719999999998</v>
      </c>
      <c r="W84" s="398">
        <f>'ARP Quarterly'!M47</f>
        <v>92.213943999999998</v>
      </c>
      <c r="X84" s="398">
        <f>'ARP Quarterly'!N47</f>
        <v>92.213943999999998</v>
      </c>
      <c r="Y84" s="398">
        <f>'ARP Quarterly'!O47</f>
        <v>94.213943999999998</v>
      </c>
      <c r="Z84" s="398">
        <f>'ARP Quarterly'!P47</f>
        <v>98.916719999999998</v>
      </c>
      <c r="AA84" s="398">
        <f>'ARP Quarterly'!Q47</f>
        <v>98.916719999999998</v>
      </c>
      <c r="AB84" s="398">
        <f>'ARP Quarterly'!R47</f>
        <v>99.081581199999988</v>
      </c>
      <c r="AC84" s="399">
        <f>'ARP Quarterly'!S47</f>
        <v>93.146578000000005</v>
      </c>
      <c r="AD84" s="373"/>
    </row>
    <row r="85" spans="2:31" ht="55.15" customHeight="1" x14ac:dyDescent="0.25">
      <c r="B85" s="323" t="s">
        <v>910</v>
      </c>
      <c r="C85" s="324"/>
      <c r="D85" s="324"/>
      <c r="E85" s="324"/>
      <c r="F85" s="324"/>
      <c r="G85" s="324"/>
      <c r="H85" s="324"/>
      <c r="I85" s="324"/>
      <c r="J85" s="324"/>
      <c r="K85" s="324"/>
      <c r="L85" s="324"/>
      <c r="M85" s="324"/>
      <c r="N85" s="324"/>
      <c r="O85" s="324"/>
      <c r="P85" s="324">
        <v>-50</v>
      </c>
      <c r="Q85" s="324">
        <v>-25</v>
      </c>
      <c r="R85" s="324"/>
      <c r="S85" s="324"/>
      <c r="T85" s="324"/>
      <c r="U85" s="324"/>
      <c r="V85" s="324"/>
      <c r="W85" s="324"/>
      <c r="X85" s="324"/>
      <c r="Y85" s="324">
        <v>12.5</v>
      </c>
      <c r="Z85" s="324">
        <v>12.5</v>
      </c>
      <c r="AA85" s="324">
        <v>12.5</v>
      </c>
      <c r="AB85" s="324">
        <v>12.5</v>
      </c>
      <c r="AC85" s="325"/>
    </row>
    <row r="86" spans="2:31" ht="12.75" customHeight="1" x14ac:dyDescent="0.25">
      <c r="I86" s="397"/>
      <c r="J86" s="397"/>
      <c r="K86" s="397"/>
      <c r="L86" s="397"/>
      <c r="M86" s="397"/>
      <c r="N86" s="397"/>
      <c r="O86" s="397"/>
      <c r="P86" s="397"/>
      <c r="Q86" s="397"/>
      <c r="R86" s="397"/>
      <c r="S86" s="397"/>
      <c r="T86" s="397"/>
      <c r="U86" s="397"/>
      <c r="V86" s="397"/>
      <c r="W86" s="397"/>
      <c r="X86" s="397"/>
      <c r="Y86" s="397"/>
      <c r="Z86" s="397"/>
      <c r="AA86" s="397"/>
      <c r="AB86" s="397"/>
      <c r="AC86" s="397"/>
      <c r="AD86" s="190"/>
      <c r="AE86" s="190"/>
    </row>
    <row r="87" spans="2:31" ht="12.75" customHeight="1" x14ac:dyDescent="0.25">
      <c r="I87" s="397"/>
      <c r="J87" s="397"/>
      <c r="K87" s="397"/>
      <c r="L87" s="397"/>
      <c r="M87" s="397"/>
      <c r="N87" s="397"/>
      <c r="O87" s="397"/>
      <c r="P87" s="397"/>
      <c r="Q87" s="397"/>
      <c r="R87" s="397"/>
      <c r="S87" s="397"/>
      <c r="T87" s="397"/>
      <c r="U87" s="397"/>
      <c r="V87" s="397"/>
      <c r="W87" s="397"/>
      <c r="X87" s="397"/>
      <c r="Y87" s="397"/>
      <c r="Z87" s="397"/>
      <c r="AA87" s="397"/>
      <c r="AB87" s="397"/>
      <c r="AC87" s="397"/>
      <c r="AD87" s="190"/>
      <c r="AE87" s="190"/>
    </row>
    <row r="89" spans="2:31" x14ac:dyDescent="0.25">
      <c r="B89" s="930" t="s">
        <v>134</v>
      </c>
      <c r="C89" s="930"/>
      <c r="D89" s="930"/>
      <c r="E89" s="930"/>
      <c r="F89" s="930"/>
      <c r="G89" s="930"/>
      <c r="H89" s="930"/>
      <c r="I89" s="930"/>
      <c r="J89" s="930"/>
      <c r="K89" s="930"/>
      <c r="L89" s="930"/>
      <c r="M89" s="930"/>
      <c r="N89" s="930"/>
      <c r="O89" s="930"/>
      <c r="P89" s="930"/>
      <c r="Q89" s="930"/>
      <c r="R89" s="930"/>
      <c r="S89" s="930"/>
      <c r="T89" s="930"/>
      <c r="U89" s="930"/>
      <c r="V89" s="930"/>
      <c r="W89" s="930"/>
      <c r="X89" s="930"/>
      <c r="Y89" s="930"/>
      <c r="Z89" s="232"/>
      <c r="AA89" s="232"/>
      <c r="AB89" s="232"/>
      <c r="AC89" s="232"/>
      <c r="AD89" s="145"/>
      <c r="AE89" s="145"/>
    </row>
    <row r="90" spans="2:31" ht="19.149999999999999" customHeight="1" x14ac:dyDescent="0.25">
      <c r="B90" s="931" t="s">
        <v>431</v>
      </c>
      <c r="C90" s="931"/>
      <c r="D90" s="931"/>
      <c r="E90" s="931"/>
      <c r="F90" s="931"/>
      <c r="G90" s="931"/>
      <c r="H90" s="931"/>
      <c r="I90" s="931"/>
      <c r="J90" s="931"/>
      <c r="K90" s="931"/>
      <c r="L90" s="931"/>
      <c r="M90" s="931"/>
      <c r="N90" s="931"/>
      <c r="O90" s="931"/>
      <c r="P90" s="931"/>
      <c r="Q90" s="931"/>
      <c r="R90" s="931"/>
      <c r="S90" s="931"/>
      <c r="T90" s="931"/>
      <c r="U90" s="931"/>
      <c r="V90" s="931"/>
      <c r="W90" s="931"/>
      <c r="X90" s="931"/>
      <c r="Y90" s="931"/>
      <c r="Z90" s="931"/>
      <c r="AA90" s="931"/>
      <c r="AB90" s="931"/>
      <c r="AC90" s="931"/>
      <c r="AD90" s="233"/>
      <c r="AE90" s="233"/>
    </row>
    <row r="91" spans="2:31" ht="11.65" customHeight="1" x14ac:dyDescent="0.25">
      <c r="B91" s="190"/>
      <c r="C91" s="190"/>
      <c r="D91" s="190"/>
      <c r="E91" s="190"/>
      <c r="F91" s="190"/>
      <c r="G91" s="190"/>
      <c r="H91" s="190"/>
      <c r="I91" s="190"/>
      <c r="J91" s="190"/>
      <c r="K91" s="190"/>
      <c r="L91" s="190"/>
      <c r="M91" s="190"/>
      <c r="V91" s="226"/>
      <c r="W91" s="226"/>
      <c r="X91" s="226"/>
      <c r="Y91" s="226"/>
      <c r="Z91" s="226"/>
      <c r="AA91" s="226"/>
      <c r="AB91" s="226"/>
      <c r="AC91" s="226"/>
      <c r="AD91" s="226"/>
      <c r="AE91" s="226"/>
    </row>
    <row r="92" spans="2:31" ht="14.65" customHeight="1" x14ac:dyDescent="0.25">
      <c r="B92" s="935" t="s">
        <v>324</v>
      </c>
      <c r="C92" s="936"/>
      <c r="D92" s="945" t="s">
        <v>325</v>
      </c>
      <c r="E92" s="946"/>
      <c r="F92" s="946"/>
      <c r="G92" s="946"/>
      <c r="H92" s="946"/>
      <c r="I92" s="946"/>
      <c r="J92" s="946"/>
      <c r="K92" s="946"/>
      <c r="L92" s="946"/>
      <c r="M92" s="946"/>
      <c r="N92" s="946"/>
      <c r="O92" s="946"/>
      <c r="P92" s="946"/>
      <c r="Q92" s="947"/>
      <c r="R92" s="942" t="s">
        <v>326</v>
      </c>
      <c r="S92" s="943"/>
      <c r="T92" s="943"/>
      <c r="U92" s="943"/>
      <c r="V92" s="943"/>
      <c r="W92" s="943"/>
      <c r="X92" s="943"/>
      <c r="Y92" s="943"/>
      <c r="Z92" s="943"/>
      <c r="AA92" s="943"/>
      <c r="AB92" s="943"/>
      <c r="AC92" s="944"/>
      <c r="AD92" s="145"/>
      <c r="AE92" s="145"/>
    </row>
    <row r="93" spans="2:31" x14ac:dyDescent="0.25">
      <c r="B93" s="937"/>
      <c r="C93" s="938"/>
      <c r="D93" s="178">
        <v>2018</v>
      </c>
      <c r="E93" s="932">
        <v>2019</v>
      </c>
      <c r="F93" s="933"/>
      <c r="G93" s="933"/>
      <c r="H93" s="934"/>
      <c r="I93" s="932">
        <v>2020</v>
      </c>
      <c r="J93" s="933"/>
      <c r="K93" s="933"/>
      <c r="L93" s="933"/>
      <c r="M93" s="932">
        <v>2021</v>
      </c>
      <c r="N93" s="933"/>
      <c r="O93" s="933"/>
      <c r="P93" s="934"/>
      <c r="Q93" s="172"/>
      <c r="R93" s="940">
        <v>2022</v>
      </c>
      <c r="S93" s="940"/>
      <c r="T93" s="941"/>
      <c r="U93" s="939">
        <v>2023</v>
      </c>
      <c r="V93" s="940"/>
      <c r="W93" s="940"/>
      <c r="X93" s="940"/>
      <c r="Y93" s="939">
        <v>2024</v>
      </c>
      <c r="Z93" s="940"/>
      <c r="AA93" s="940"/>
      <c r="AB93" s="941"/>
      <c r="AC93" s="185">
        <v>2025</v>
      </c>
      <c r="AD93" s="226"/>
      <c r="AE93" s="226"/>
    </row>
    <row r="94" spans="2:31" x14ac:dyDescent="0.25">
      <c r="B94" s="974"/>
      <c r="C94" s="975"/>
      <c r="D94" s="180" t="s">
        <v>327</v>
      </c>
      <c r="E94" s="180" t="s">
        <v>328</v>
      </c>
      <c r="F94" s="177" t="s">
        <v>329</v>
      </c>
      <c r="G94" s="177" t="s">
        <v>238</v>
      </c>
      <c r="H94" s="179" t="s">
        <v>327</v>
      </c>
      <c r="I94" s="177" t="s">
        <v>328</v>
      </c>
      <c r="J94" s="177" t="s">
        <v>329</v>
      </c>
      <c r="K94" s="177" t="s">
        <v>238</v>
      </c>
      <c r="L94" s="177" t="s">
        <v>327</v>
      </c>
      <c r="M94" s="180" t="s">
        <v>328</v>
      </c>
      <c r="N94" s="177" t="s">
        <v>329</v>
      </c>
      <c r="O94" s="177" t="s">
        <v>238</v>
      </c>
      <c r="P94" s="179" t="s">
        <v>327</v>
      </c>
      <c r="Q94" s="173" t="s">
        <v>328</v>
      </c>
      <c r="R94" s="360" t="s">
        <v>329</v>
      </c>
      <c r="S94" s="360" t="s">
        <v>238</v>
      </c>
      <c r="T94" s="360" t="s">
        <v>327</v>
      </c>
      <c r="U94" s="359" t="s">
        <v>328</v>
      </c>
      <c r="V94" s="360" t="s">
        <v>329</v>
      </c>
      <c r="W94" s="360" t="s">
        <v>238</v>
      </c>
      <c r="X94" s="360" t="s">
        <v>327</v>
      </c>
      <c r="Y94" s="359" t="s">
        <v>328</v>
      </c>
      <c r="Z94" s="196" t="s">
        <v>329</v>
      </c>
      <c r="AA94" s="360" t="s">
        <v>238</v>
      </c>
      <c r="AB94" s="383" t="s">
        <v>327</v>
      </c>
      <c r="AC94" s="400" t="s">
        <v>328</v>
      </c>
      <c r="AD94" s="226"/>
      <c r="AE94" s="226"/>
    </row>
    <row r="95" spans="2:31" ht="14.45" customHeight="1" x14ac:dyDescent="0.25">
      <c r="B95" s="385" t="s">
        <v>432</v>
      </c>
      <c r="C95" s="349" t="s">
        <v>433</v>
      </c>
      <c r="D95" s="350"/>
      <c r="E95" s="349"/>
      <c r="F95" s="349"/>
      <c r="G95" s="349"/>
      <c r="H95" s="351">
        <f>'Haver Pivoted'!GS41</f>
        <v>70.894000000000005</v>
      </c>
      <c r="I95" s="351">
        <f>'Haver Pivoted'!GT41</f>
        <v>72.774000000000001</v>
      </c>
      <c r="J95" s="351">
        <f>'Haver Pivoted'!GU41</f>
        <v>75.275000000000006</v>
      </c>
      <c r="K95" s="351">
        <f>'Haver Pivoted'!GV41</f>
        <v>78.766999999999996</v>
      </c>
      <c r="L95" s="351">
        <f>'Haver Pivoted'!GW41</f>
        <v>76.995000000000005</v>
      </c>
      <c r="M95" s="351">
        <f>'Haver Pivoted'!GX41</f>
        <v>75.03</v>
      </c>
      <c r="N95" s="351">
        <f>'Haver Pivoted'!GY41</f>
        <v>77.703999999999994</v>
      </c>
      <c r="O95" s="351">
        <f>'Haver Pivoted'!GZ41</f>
        <v>72.766999999999996</v>
      </c>
      <c r="P95" s="352">
        <f>'Haver Pivoted'!HA41</f>
        <v>74.768000000000001</v>
      </c>
      <c r="Q95" s="352">
        <f>'Haver Pivoted'!HB41</f>
        <v>76.48</v>
      </c>
      <c r="R95" s="353">
        <f t="shared" ref="R95:AC95" si="28">AVERAGE($H$95:$N$95)</f>
        <v>75.34842857142857</v>
      </c>
      <c r="S95" s="353">
        <f t="shared" si="28"/>
        <v>75.34842857142857</v>
      </c>
      <c r="T95" s="353">
        <f t="shared" si="28"/>
        <v>75.34842857142857</v>
      </c>
      <c r="U95" s="353">
        <f t="shared" si="28"/>
        <v>75.34842857142857</v>
      </c>
      <c r="V95" s="353">
        <f t="shared" si="28"/>
        <v>75.34842857142857</v>
      </c>
      <c r="W95" s="353">
        <f t="shared" si="28"/>
        <v>75.34842857142857</v>
      </c>
      <c r="X95" s="353">
        <f t="shared" si="28"/>
        <v>75.34842857142857</v>
      </c>
      <c r="Y95" s="353">
        <f t="shared" si="28"/>
        <v>75.34842857142857</v>
      </c>
      <c r="Z95" s="353">
        <f t="shared" si="28"/>
        <v>75.34842857142857</v>
      </c>
      <c r="AA95" s="353">
        <f t="shared" si="28"/>
        <v>75.34842857142857</v>
      </c>
      <c r="AB95" s="353">
        <f t="shared" si="28"/>
        <v>75.34842857142857</v>
      </c>
      <c r="AC95" s="354">
        <f t="shared" si="28"/>
        <v>75.34842857142857</v>
      </c>
      <c r="AD95" s="160"/>
      <c r="AE95" s="160"/>
    </row>
    <row r="97" ht="11.25" customHeight="1" x14ac:dyDescent="0.2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R6:AC6"/>
    <mergeCell ref="R7:T7"/>
    <mergeCell ref="D6:Q6"/>
    <mergeCell ref="A66:A67"/>
    <mergeCell ref="Q48:AH48"/>
    <mergeCell ref="Q49:S49"/>
    <mergeCell ref="T49:Y49"/>
    <mergeCell ref="AD49:AG49"/>
    <mergeCell ref="B92:C94"/>
    <mergeCell ref="I93:L93"/>
    <mergeCell ref="B2:AC4"/>
    <mergeCell ref="B90:AC90"/>
    <mergeCell ref="Y73:AB73"/>
    <mergeCell ref="B72:C74"/>
    <mergeCell ref="I73:L73"/>
    <mergeCell ref="U73:X73"/>
    <mergeCell ref="B89:Y89"/>
    <mergeCell ref="U93:X93"/>
    <mergeCell ref="E93:H93"/>
    <mergeCell ref="Y93:AB93"/>
    <mergeCell ref="E73:H73"/>
    <mergeCell ref="M93:P93"/>
    <mergeCell ref="M7:P7"/>
    <mergeCell ref="M73:P73"/>
    <mergeCell ref="R93:T93"/>
    <mergeCell ref="D92:Q92"/>
    <mergeCell ref="R92:AC92"/>
    <mergeCell ref="D72:Q72"/>
    <mergeCell ref="R72:AC72"/>
    <mergeCell ref="R73:T7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62"/>
  <sheetViews>
    <sheetView topLeftCell="A13" zoomScale="90" zoomScaleNormal="90" workbookViewId="0">
      <selection activeCell="R11" sqref="R11"/>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930" t="s">
        <v>434</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2:39" ht="14.25" customHeight="1" x14ac:dyDescent="0.25">
      <c r="B2" s="949" t="s">
        <v>435</v>
      </c>
      <c r="C2" s="949"/>
      <c r="D2" s="949"/>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2:39" ht="9" customHeight="1" x14ac:dyDescent="0.25">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2:39" ht="27" customHeight="1" x14ac:dyDescent="0.25">
      <c r="B4" s="949"/>
      <c r="C4" s="949"/>
      <c r="D4" s="949"/>
      <c r="E4" s="949"/>
      <c r="F4" s="949"/>
      <c r="G4" s="949"/>
      <c r="H4" s="949"/>
      <c r="I4" s="949"/>
      <c r="J4" s="949"/>
      <c r="K4" s="949"/>
      <c r="L4" s="949"/>
      <c r="M4" s="949"/>
      <c r="N4" s="949"/>
      <c r="O4" s="949"/>
      <c r="P4" s="949"/>
      <c r="Q4" s="949"/>
      <c r="R4" s="949"/>
      <c r="S4" s="949"/>
      <c r="T4" s="949"/>
      <c r="U4" s="949"/>
      <c r="V4" s="949"/>
      <c r="W4" s="949"/>
      <c r="X4" s="949"/>
      <c r="Y4" s="949"/>
      <c r="Z4" s="949"/>
      <c r="AA4" s="949"/>
      <c r="AB4" s="949"/>
      <c r="AC4" s="949"/>
      <c r="AE4" s="441"/>
      <c r="AF4" s="441"/>
      <c r="AG4" s="441"/>
      <c r="AH4" s="441"/>
      <c r="AI4" s="441"/>
      <c r="AJ4" s="441"/>
      <c r="AK4" s="441"/>
      <c r="AL4" s="441"/>
      <c r="AM4" s="441"/>
    </row>
    <row r="5" spans="2:39" x14ac:dyDescent="0.25">
      <c r="B5" s="254"/>
      <c r="AC5" s="202"/>
      <c r="AD5" s="202"/>
      <c r="AE5" s="202"/>
      <c r="AF5" s="202"/>
    </row>
    <row r="6" spans="2:39" ht="14.65" customHeight="1" x14ac:dyDescent="0.25">
      <c r="B6" s="935" t="s">
        <v>324</v>
      </c>
      <c r="C6" s="936"/>
      <c r="D6" s="945" t="s">
        <v>325</v>
      </c>
      <c r="E6" s="946"/>
      <c r="F6" s="946"/>
      <c r="G6" s="946"/>
      <c r="H6" s="946"/>
      <c r="I6" s="946"/>
      <c r="J6" s="946"/>
      <c r="K6" s="946"/>
      <c r="L6" s="946"/>
      <c r="M6" s="946"/>
      <c r="N6" s="946"/>
      <c r="O6" s="946"/>
      <c r="P6" s="946"/>
      <c r="Q6" s="947"/>
      <c r="R6" s="942" t="s">
        <v>326</v>
      </c>
      <c r="S6" s="943"/>
      <c r="T6" s="943"/>
      <c r="U6" s="943"/>
      <c r="V6" s="943"/>
      <c r="W6" s="943"/>
      <c r="X6" s="943"/>
      <c r="Y6" s="943"/>
      <c r="Z6" s="943"/>
      <c r="AA6" s="943"/>
      <c r="AB6" s="943"/>
      <c r="AC6" s="944"/>
    </row>
    <row r="7" spans="2:39" ht="14.65" customHeight="1" x14ac:dyDescent="0.25">
      <c r="B7" s="937"/>
      <c r="C7" s="938"/>
      <c r="D7" s="178">
        <v>2018</v>
      </c>
      <c r="E7" s="932">
        <v>2019</v>
      </c>
      <c r="F7" s="933"/>
      <c r="G7" s="933"/>
      <c r="H7" s="934"/>
      <c r="I7" s="932">
        <v>2020</v>
      </c>
      <c r="J7" s="933"/>
      <c r="K7" s="933"/>
      <c r="L7" s="933"/>
      <c r="M7" s="932">
        <v>2021</v>
      </c>
      <c r="N7" s="933"/>
      <c r="O7" s="933"/>
      <c r="P7" s="934"/>
      <c r="Q7" s="172"/>
      <c r="R7" s="940">
        <v>2022</v>
      </c>
      <c r="S7" s="940"/>
      <c r="T7" s="941"/>
      <c r="U7" s="939">
        <v>2023</v>
      </c>
      <c r="V7" s="940"/>
      <c r="W7" s="940"/>
      <c r="X7" s="940"/>
      <c r="Y7" s="939">
        <v>2024</v>
      </c>
      <c r="Z7" s="940"/>
      <c r="AA7" s="940"/>
      <c r="AB7" s="941"/>
      <c r="AC7" s="185">
        <v>2025</v>
      </c>
    </row>
    <row r="8" spans="2:39" x14ac:dyDescent="0.25">
      <c r="B8" s="974"/>
      <c r="C8" s="975"/>
      <c r="D8" s="180" t="s">
        <v>327</v>
      </c>
      <c r="E8" s="180" t="s">
        <v>328</v>
      </c>
      <c r="F8" s="177" t="s">
        <v>329</v>
      </c>
      <c r="G8" s="177" t="s">
        <v>238</v>
      </c>
      <c r="H8" s="179" t="s">
        <v>327</v>
      </c>
      <c r="I8" s="177" t="s">
        <v>328</v>
      </c>
      <c r="J8" s="177" t="s">
        <v>329</v>
      </c>
      <c r="K8" s="177" t="s">
        <v>238</v>
      </c>
      <c r="L8" s="177" t="s">
        <v>327</v>
      </c>
      <c r="M8" s="180" t="s">
        <v>328</v>
      </c>
      <c r="N8" s="177" t="s">
        <v>329</v>
      </c>
      <c r="O8" s="177" t="s">
        <v>238</v>
      </c>
      <c r="P8" s="184" t="s">
        <v>327</v>
      </c>
      <c r="Q8" s="173" t="s">
        <v>328</v>
      </c>
      <c r="R8" s="360" t="s">
        <v>329</v>
      </c>
      <c r="S8" s="360" t="s">
        <v>238</v>
      </c>
      <c r="T8" s="360" t="s">
        <v>327</v>
      </c>
      <c r="U8" s="359" t="s">
        <v>328</v>
      </c>
      <c r="V8" s="360" t="s">
        <v>329</v>
      </c>
      <c r="W8" s="360" t="s">
        <v>238</v>
      </c>
      <c r="X8" s="360" t="s">
        <v>327</v>
      </c>
      <c r="Y8" s="359" t="s">
        <v>328</v>
      </c>
      <c r="Z8" s="196" t="s">
        <v>329</v>
      </c>
      <c r="AA8" s="360" t="s">
        <v>238</v>
      </c>
      <c r="AB8" s="383" t="s">
        <v>327</v>
      </c>
      <c r="AC8" s="400" t="s">
        <v>328</v>
      </c>
    </row>
    <row r="9" spans="2:39" ht="18" customHeight="1" x14ac:dyDescent="0.25">
      <c r="B9" s="470" t="s">
        <v>988</v>
      </c>
      <c r="C9" s="258"/>
      <c r="D9" s="240"/>
      <c r="E9" s="227"/>
      <c r="F9" s="227"/>
      <c r="G9" s="227"/>
      <c r="H9" s="227"/>
      <c r="I9" s="227"/>
      <c r="J9" s="227"/>
      <c r="K9" s="227"/>
      <c r="L9" s="227"/>
      <c r="M9" s="227"/>
      <c r="N9" s="227"/>
      <c r="O9" s="227"/>
      <c r="P9" s="227"/>
      <c r="Q9" s="471">
        <v>1575</v>
      </c>
      <c r="R9" s="471">
        <v>1591.4</v>
      </c>
      <c r="S9" s="471">
        <v>1607.9</v>
      </c>
      <c r="T9" s="471">
        <v>1622.9</v>
      </c>
      <c r="U9" s="471">
        <v>1639</v>
      </c>
      <c r="V9" s="471">
        <v>1653.9</v>
      </c>
      <c r="W9" s="471">
        <v>1667.4</v>
      </c>
      <c r="X9" s="471">
        <v>1679.6</v>
      </c>
      <c r="Y9" s="471">
        <v>1693.3</v>
      </c>
      <c r="Z9" s="471">
        <v>1706.4</v>
      </c>
      <c r="AA9" s="471">
        <v>1719.6</v>
      </c>
      <c r="AB9" s="471">
        <v>1732.8</v>
      </c>
      <c r="AC9" s="471">
        <v>1743.7</v>
      </c>
    </row>
    <row r="10" spans="2:39" ht="17.25" customHeight="1" x14ac:dyDescent="0.25">
      <c r="B10" s="469" t="s">
        <v>989</v>
      </c>
      <c r="C10" s="191"/>
      <c r="D10" s="200"/>
      <c r="E10" s="191"/>
      <c r="F10" s="191"/>
      <c r="G10" s="191"/>
      <c r="H10" s="157"/>
      <c r="I10" s="157"/>
      <c r="J10" s="157"/>
      <c r="K10" s="157"/>
      <c r="L10" s="157"/>
      <c r="M10" s="157"/>
      <c r="N10" s="157"/>
      <c r="O10" s="157"/>
      <c r="P10" s="157"/>
      <c r="Q10" s="472">
        <v>2.298</v>
      </c>
      <c r="R10" s="472">
        <v>4.2320000000000002</v>
      </c>
      <c r="S10" s="472">
        <v>4.1929999999999996</v>
      </c>
      <c r="T10" s="472">
        <v>3.786</v>
      </c>
      <c r="U10" s="472">
        <v>4.0339999999999998</v>
      </c>
      <c r="V10" s="472">
        <v>3.6819999999999999</v>
      </c>
      <c r="W10" s="472">
        <v>3.3159999999999998</v>
      </c>
      <c r="X10" s="472">
        <v>2.9569999999999999</v>
      </c>
      <c r="Y10" s="472">
        <v>3.2949999999999999</v>
      </c>
      <c r="Z10" s="472">
        <v>3.1269999999999998</v>
      </c>
      <c r="AA10" s="472">
        <v>3.125</v>
      </c>
      <c r="AB10" s="472">
        <v>3.113</v>
      </c>
      <c r="AC10" s="472">
        <v>2.5430000000000001</v>
      </c>
    </row>
    <row r="11" spans="2:39" ht="28.9" customHeight="1" x14ac:dyDescent="0.25">
      <c r="B11" s="201" t="s">
        <v>436</v>
      </c>
      <c r="C11" s="209"/>
      <c r="D11" s="201"/>
      <c r="E11" s="209"/>
      <c r="F11" s="209"/>
      <c r="G11" s="209"/>
      <c r="H11" s="269">
        <f>'Haver Pivoted'!GS23</f>
        <v>1441.7</v>
      </c>
      <c r="I11" s="269">
        <f>'Haver Pivoted'!GT23</f>
        <v>1454.7</v>
      </c>
      <c r="J11" s="269">
        <f>'Haver Pivoted'!GU23</f>
        <v>1525</v>
      </c>
      <c r="K11" s="269">
        <f>'Haver Pivoted'!GV23</f>
        <v>1515.1</v>
      </c>
      <c r="L11" s="269">
        <f>'Haver Pivoted'!GW23</f>
        <v>1512.3</v>
      </c>
      <c r="M11" s="269">
        <f>'Haver Pivoted'!GX23</f>
        <v>1568.6</v>
      </c>
      <c r="N11" s="269">
        <f>'Haver Pivoted'!GY23</f>
        <v>1563.3</v>
      </c>
      <c r="O11" s="269">
        <f>'Haver Pivoted'!GZ23</f>
        <v>1562</v>
      </c>
      <c r="P11" s="227">
        <f>'Haver Pivoted'!HA23</f>
        <v>1566.2</v>
      </c>
      <c r="Q11" s="333">
        <f>'Haver Pivoted'!HB23</f>
        <v>1570</v>
      </c>
      <c r="R11" s="162">
        <f>R9</f>
        <v>1591.4</v>
      </c>
      <c r="S11" s="162">
        <f t="shared" ref="S11:AC11" si="0">S9</f>
        <v>1607.9</v>
      </c>
      <c r="T11" s="162">
        <f t="shared" si="0"/>
        <v>1622.9</v>
      </c>
      <c r="U11" s="162">
        <f t="shared" si="0"/>
        <v>1639</v>
      </c>
      <c r="V11" s="162">
        <f t="shared" si="0"/>
        <v>1653.9</v>
      </c>
      <c r="W11" s="162">
        <f t="shared" si="0"/>
        <v>1667.4</v>
      </c>
      <c r="X11" s="162">
        <f t="shared" si="0"/>
        <v>1679.6</v>
      </c>
      <c r="Y11" s="162">
        <f t="shared" si="0"/>
        <v>1693.3</v>
      </c>
      <c r="Z11" s="162">
        <f t="shared" si="0"/>
        <v>1706.4</v>
      </c>
      <c r="AA11" s="162">
        <f t="shared" si="0"/>
        <v>1719.6</v>
      </c>
      <c r="AB11" s="162">
        <f t="shared" si="0"/>
        <v>1732.8</v>
      </c>
      <c r="AC11" s="162">
        <f t="shared" si="0"/>
        <v>1743.7</v>
      </c>
      <c r="AD11" s="170" t="s">
        <v>437</v>
      </c>
    </row>
    <row r="12" spans="2:39" x14ac:dyDescent="0.25">
      <c r="B12" s="428" t="s">
        <v>438</v>
      </c>
      <c r="C12" s="429"/>
      <c r="D12" s="428"/>
      <c r="E12" s="429"/>
      <c r="F12" s="429"/>
      <c r="G12" s="429"/>
      <c r="H12" s="473">
        <f t="shared" ref="H12:AC12" si="1">H11+H48</f>
        <v>1721.1880000000001</v>
      </c>
      <c r="I12" s="473">
        <f t="shared" si="1"/>
        <v>1739.9560000000001</v>
      </c>
      <c r="J12" s="473">
        <f t="shared" si="1"/>
        <v>1934.885</v>
      </c>
      <c r="K12" s="473">
        <f t="shared" si="1"/>
        <v>1895.6499999999999</v>
      </c>
      <c r="L12" s="473">
        <f t="shared" si="1"/>
        <v>1869.4580000000001</v>
      </c>
      <c r="M12" s="473">
        <f t="shared" si="1"/>
        <v>1953.7849999999999</v>
      </c>
      <c r="N12" s="473">
        <f t="shared" si="1"/>
        <v>1987.319</v>
      </c>
      <c r="O12" s="473">
        <f t="shared" si="1"/>
        <v>1993.8899999999999</v>
      </c>
      <c r="P12" s="473">
        <f t="shared" si="1"/>
        <v>2034.084852</v>
      </c>
      <c r="Q12" s="473">
        <f t="shared" si="1"/>
        <v>2075.3582747999999</v>
      </c>
      <c r="R12" s="199">
        <f t="shared" si="1"/>
        <v>2113.5830093383283</v>
      </c>
      <c r="S12" s="199">
        <f t="shared" si="1"/>
        <v>2126.4122176797173</v>
      </c>
      <c r="T12" s="199">
        <f t="shared" si="1"/>
        <v>2147.7051098816337</v>
      </c>
      <c r="U12" s="199">
        <f t="shared" si="1"/>
        <v>2158.462054438095</v>
      </c>
      <c r="V12" s="199">
        <f t="shared" si="1"/>
        <v>2177.6659182761182</v>
      </c>
      <c r="W12" s="199">
        <f t="shared" si="1"/>
        <v>2189.9967918040484</v>
      </c>
      <c r="X12" s="199">
        <f t="shared" si="1"/>
        <v>2201.2665799340416</v>
      </c>
      <c r="Y12" s="199">
        <f t="shared" si="1"/>
        <v>2203.5608051047616</v>
      </c>
      <c r="Z12" s="199">
        <f t="shared" si="1"/>
        <v>2196.8029771043057</v>
      </c>
      <c r="AA12" s="199">
        <f t="shared" si="1"/>
        <v>2214.4672940933533</v>
      </c>
      <c r="AB12" s="199">
        <f t="shared" si="1"/>
        <v>2231.3525523285462</v>
      </c>
      <c r="AC12" s="438">
        <f t="shared" si="1"/>
        <v>2225.4259006860952</v>
      </c>
      <c r="AD12" s="183" t="s">
        <v>439</v>
      </c>
    </row>
    <row r="13" spans="2:39" x14ac:dyDescent="0.25">
      <c r="B13" s="191"/>
      <c r="C13" s="191"/>
      <c r="D13" s="191"/>
      <c r="E13" s="191"/>
      <c r="F13" s="191"/>
      <c r="G13" s="191"/>
      <c r="H13" s="227"/>
      <c r="I13" s="227"/>
      <c r="J13" s="227"/>
      <c r="K13" s="227"/>
      <c r="L13" s="227"/>
      <c r="M13" s="227"/>
      <c r="N13" s="227"/>
      <c r="O13" s="227"/>
      <c r="P13" s="426"/>
      <c r="Q13" s="426"/>
      <c r="R13" s="426"/>
      <c r="S13" s="426"/>
      <c r="T13" s="426"/>
      <c r="U13" s="426"/>
      <c r="V13" s="426"/>
      <c r="W13" s="426"/>
      <c r="X13" s="426"/>
      <c r="Y13" s="426"/>
      <c r="Z13" s="426"/>
      <c r="AA13" s="426"/>
      <c r="AB13" s="426"/>
      <c r="AC13" s="426"/>
    </row>
    <row r="14" spans="2:39" ht="21.75" customHeight="1" x14ac:dyDescent="0.25">
      <c r="B14" s="930" t="s">
        <v>165</v>
      </c>
      <c r="C14" s="930"/>
      <c r="D14" s="930"/>
      <c r="E14" s="930"/>
      <c r="F14" s="930"/>
      <c r="G14" s="930"/>
      <c r="H14" s="930"/>
      <c r="I14" s="930"/>
      <c r="J14" s="930"/>
      <c r="K14" s="930"/>
      <c r="L14" s="930"/>
      <c r="M14" s="930"/>
      <c r="N14" s="930"/>
      <c r="O14" s="930"/>
      <c r="P14" s="930"/>
      <c r="Q14" s="930"/>
      <c r="R14" s="930"/>
      <c r="S14" s="930"/>
      <c r="T14" s="930"/>
      <c r="U14" s="930"/>
      <c r="V14" s="930"/>
      <c r="W14" s="930"/>
      <c r="X14" s="930"/>
      <c r="Y14" s="930"/>
      <c r="Z14" s="930"/>
      <c r="AA14" s="930"/>
      <c r="AB14" s="930"/>
      <c r="AC14" s="930"/>
      <c r="AE14" s="468"/>
    </row>
    <row r="15" spans="2:39" ht="14.25" customHeight="1" x14ac:dyDescent="0.25">
      <c r="B15" s="931" t="s">
        <v>440</v>
      </c>
      <c r="C15" s="931"/>
      <c r="D15" s="931"/>
      <c r="E15" s="931"/>
      <c r="F15" s="931"/>
      <c r="G15" s="931"/>
      <c r="H15" s="931"/>
      <c r="I15" s="931"/>
      <c r="J15" s="931"/>
      <c r="K15" s="931"/>
      <c r="L15" s="931"/>
      <c r="M15" s="931"/>
      <c r="N15" s="931"/>
      <c r="O15" s="931"/>
      <c r="P15" s="931"/>
      <c r="Q15" s="931"/>
      <c r="R15" s="931"/>
      <c r="S15" s="931"/>
      <c r="T15" s="931"/>
      <c r="U15" s="931"/>
      <c r="V15" s="931"/>
      <c r="W15" s="931"/>
      <c r="X15" s="931"/>
      <c r="Y15" s="931"/>
      <c r="Z15" s="931"/>
      <c r="AA15" s="931"/>
      <c r="AB15" s="931"/>
      <c r="AC15" s="931"/>
      <c r="AE15" s="468"/>
    </row>
    <row r="16" spans="2:39" x14ac:dyDescent="0.25">
      <c r="B16" s="931"/>
      <c r="C16" s="931"/>
      <c r="D16" s="931"/>
      <c r="E16" s="931"/>
      <c r="F16" s="931"/>
      <c r="G16" s="931"/>
      <c r="H16" s="931"/>
      <c r="I16" s="931"/>
      <c r="J16" s="931"/>
      <c r="K16" s="931"/>
      <c r="L16" s="931"/>
      <c r="M16" s="931"/>
      <c r="N16" s="931"/>
      <c r="O16" s="931"/>
      <c r="P16" s="931"/>
      <c r="Q16" s="931"/>
      <c r="R16" s="931"/>
      <c r="S16" s="931"/>
      <c r="T16" s="931"/>
      <c r="U16" s="931"/>
      <c r="V16" s="931"/>
      <c r="W16" s="931"/>
      <c r="X16" s="931"/>
      <c r="Y16" s="931"/>
      <c r="Z16" s="931"/>
      <c r="AA16" s="931"/>
      <c r="AB16" s="931"/>
      <c r="AC16" s="931"/>
    </row>
    <row r="17" spans="2:31" x14ac:dyDescent="0.25">
      <c r="B17" s="931"/>
      <c r="C17" s="931"/>
      <c r="D17" s="931"/>
      <c r="E17" s="931"/>
      <c r="F17" s="931"/>
      <c r="G17" s="931"/>
      <c r="H17" s="931"/>
      <c r="I17" s="931"/>
      <c r="J17" s="931"/>
      <c r="K17" s="931"/>
      <c r="L17" s="931"/>
      <c r="M17" s="931"/>
      <c r="N17" s="931"/>
      <c r="O17" s="931"/>
      <c r="P17" s="931"/>
      <c r="Q17" s="931"/>
      <c r="R17" s="931"/>
      <c r="S17" s="931"/>
      <c r="T17" s="931"/>
      <c r="U17" s="931"/>
      <c r="V17" s="931"/>
      <c r="W17" s="931"/>
      <c r="X17" s="931"/>
      <c r="Y17" s="931"/>
      <c r="Z17" s="931"/>
      <c r="AA17" s="931"/>
      <c r="AB17" s="931"/>
      <c r="AC17" s="931"/>
    </row>
    <row r="19" spans="2:31" x14ac:dyDescent="0.25">
      <c r="B19" s="935" t="s">
        <v>324</v>
      </c>
      <c r="C19" s="936"/>
      <c r="D19" s="945" t="s">
        <v>325</v>
      </c>
      <c r="E19" s="946"/>
      <c r="F19" s="946"/>
      <c r="G19" s="946"/>
      <c r="H19" s="946"/>
      <c r="I19" s="946"/>
      <c r="J19" s="946"/>
      <c r="K19" s="946"/>
      <c r="L19" s="946"/>
      <c r="M19" s="946"/>
      <c r="N19" s="946"/>
      <c r="O19" s="946"/>
      <c r="P19" s="946"/>
      <c r="Q19" s="947"/>
      <c r="R19" s="942" t="s">
        <v>326</v>
      </c>
      <c r="S19" s="943"/>
      <c r="T19" s="943"/>
      <c r="U19" s="943"/>
      <c r="V19" s="943"/>
      <c r="W19" s="943"/>
      <c r="X19" s="943"/>
      <c r="Y19" s="943"/>
      <c r="Z19" s="943"/>
      <c r="AA19" s="943"/>
      <c r="AB19" s="943"/>
      <c r="AC19" s="944"/>
    </row>
    <row r="20" spans="2:31" x14ac:dyDescent="0.25">
      <c r="B20" s="937"/>
      <c r="C20" s="938"/>
      <c r="D20" s="178">
        <v>2018</v>
      </c>
      <c r="E20" s="932">
        <v>2019</v>
      </c>
      <c r="F20" s="933"/>
      <c r="G20" s="933"/>
      <c r="H20" s="934"/>
      <c r="I20" s="932">
        <v>2020</v>
      </c>
      <c r="J20" s="933"/>
      <c r="K20" s="933"/>
      <c r="L20" s="933"/>
      <c r="M20" s="932">
        <v>2021</v>
      </c>
      <c r="N20" s="933"/>
      <c r="O20" s="933"/>
      <c r="P20" s="934"/>
      <c r="Q20" s="172"/>
      <c r="R20" s="171">
        <v>2022</v>
      </c>
      <c r="S20" s="171"/>
      <c r="T20" s="431"/>
      <c r="U20" s="939">
        <v>2023</v>
      </c>
      <c r="V20" s="940"/>
      <c r="W20" s="940"/>
      <c r="X20" s="940"/>
      <c r="Y20" s="939">
        <v>2024</v>
      </c>
      <c r="Z20" s="940"/>
      <c r="AA20" s="940"/>
      <c r="AB20" s="941"/>
      <c r="AC20" s="185">
        <v>2025</v>
      </c>
    </row>
    <row r="21" spans="2:31" x14ac:dyDescent="0.25">
      <c r="B21" s="974"/>
      <c r="C21" s="975"/>
      <c r="D21" s="180" t="s">
        <v>327</v>
      </c>
      <c r="E21" s="180" t="s">
        <v>328</v>
      </c>
      <c r="F21" s="177" t="s">
        <v>329</v>
      </c>
      <c r="G21" s="177" t="s">
        <v>238</v>
      </c>
      <c r="H21" s="179" t="s">
        <v>327</v>
      </c>
      <c r="I21" s="177" t="s">
        <v>328</v>
      </c>
      <c r="J21" s="177" t="s">
        <v>329</v>
      </c>
      <c r="K21" s="177" t="s">
        <v>238</v>
      </c>
      <c r="L21" s="177" t="s">
        <v>327</v>
      </c>
      <c r="M21" s="180" t="s">
        <v>328</v>
      </c>
      <c r="N21" s="177" t="s">
        <v>329</v>
      </c>
      <c r="O21" s="177" t="s">
        <v>238</v>
      </c>
      <c r="P21" s="179" t="s">
        <v>327</v>
      </c>
      <c r="Q21" s="173" t="s">
        <v>328</v>
      </c>
      <c r="R21" s="360" t="s">
        <v>329</v>
      </c>
      <c r="S21" s="360" t="s">
        <v>238</v>
      </c>
      <c r="T21" s="360" t="s">
        <v>327</v>
      </c>
      <c r="U21" s="359" t="s">
        <v>328</v>
      </c>
      <c r="V21" s="360" t="s">
        <v>329</v>
      </c>
      <c r="W21" s="360" t="s">
        <v>238</v>
      </c>
      <c r="X21" s="360" t="s">
        <v>327</v>
      </c>
      <c r="Y21" s="359" t="s">
        <v>328</v>
      </c>
      <c r="Z21" s="196" t="s">
        <v>329</v>
      </c>
      <c r="AA21" s="360" t="s">
        <v>238</v>
      </c>
      <c r="AB21" s="383" t="s">
        <v>327</v>
      </c>
      <c r="AC21" s="400" t="s">
        <v>328</v>
      </c>
    </row>
    <row r="22" spans="2:31" x14ac:dyDescent="0.25">
      <c r="B22" s="457" t="s">
        <v>111</v>
      </c>
      <c r="C22" s="213" t="s">
        <v>441</v>
      </c>
      <c r="D22" s="189"/>
      <c r="E22" s="213"/>
      <c r="F22" s="213"/>
      <c r="G22" s="213"/>
      <c r="H22" s="269">
        <f>'Haver Pivoted'!GS24</f>
        <v>2329.1999999999998</v>
      </c>
      <c r="I22" s="269">
        <f>'Haver Pivoted'!GT24</f>
        <v>2376.9</v>
      </c>
      <c r="J22" s="269">
        <f>'Haver Pivoted'!GU24</f>
        <v>2334.6</v>
      </c>
      <c r="K22" s="269">
        <f>'Haver Pivoted'!GV24</f>
        <v>2346.5</v>
      </c>
      <c r="L22" s="269">
        <f>'Haver Pivoted'!GW24</f>
        <v>2373</v>
      </c>
      <c r="M22" s="269">
        <f>'Haver Pivoted'!GX24</f>
        <v>2408.6999999999998</v>
      </c>
      <c r="N22" s="269">
        <f>'Haver Pivoted'!GY24</f>
        <v>2452.6</v>
      </c>
      <c r="O22" s="269">
        <f>'Haver Pivoted'!GZ24</f>
        <v>2522.9</v>
      </c>
      <c r="P22" s="269">
        <f>'Haver Pivoted'!HA24</f>
        <v>2566.6999999999998</v>
      </c>
      <c r="Q22" s="333">
        <f>'Haver Pivoted'!HB24</f>
        <v>2630.6</v>
      </c>
      <c r="R22" s="447"/>
      <c r="S22" s="447"/>
      <c r="T22" s="447"/>
      <c r="U22" s="447"/>
      <c r="V22" s="447"/>
      <c r="W22" s="447"/>
      <c r="X22" s="447"/>
      <c r="Y22" s="447"/>
      <c r="Z22" s="447"/>
      <c r="AA22" s="447"/>
      <c r="AB22" s="447"/>
      <c r="AC22" s="434"/>
    </row>
    <row r="23" spans="2:31" x14ac:dyDescent="0.25">
      <c r="B23" s="263"/>
      <c r="C23" s="258"/>
      <c r="D23" s="436"/>
      <c r="E23" s="258"/>
      <c r="F23" s="258"/>
      <c r="G23" s="258"/>
      <c r="H23" s="227"/>
      <c r="I23" s="227"/>
      <c r="J23" s="227"/>
      <c r="K23" s="227"/>
      <c r="L23" s="227"/>
      <c r="M23" s="227"/>
      <c r="N23" s="227"/>
      <c r="O23" s="227"/>
      <c r="P23" s="227"/>
      <c r="Q23" s="474">
        <v>2625.2</v>
      </c>
      <c r="R23" s="474">
        <v>2687.5</v>
      </c>
      <c r="S23" s="474">
        <v>2737.7</v>
      </c>
      <c r="T23" s="474">
        <v>2776</v>
      </c>
      <c r="U23" s="474">
        <v>2809.9</v>
      </c>
      <c r="V23" s="474">
        <v>2839.2</v>
      </c>
      <c r="W23" s="474">
        <v>2865.7</v>
      </c>
      <c r="X23" s="474">
        <v>2891.3</v>
      </c>
      <c r="Y23" s="474">
        <v>2916.4</v>
      </c>
      <c r="Z23" s="474">
        <v>2941.4</v>
      </c>
      <c r="AA23" s="474">
        <v>2967.1</v>
      </c>
      <c r="AB23" s="474">
        <v>2993.7</v>
      </c>
      <c r="AC23" s="474">
        <v>3022.3</v>
      </c>
    </row>
    <row r="24" spans="2:31" ht="21" customHeight="1" x14ac:dyDescent="0.25">
      <c r="B24" s="263" t="s">
        <v>442</v>
      </c>
      <c r="C24" s="191"/>
      <c r="D24" s="200"/>
      <c r="E24" s="191"/>
      <c r="F24" s="191"/>
      <c r="G24" s="191"/>
      <c r="H24" s="157"/>
      <c r="I24" s="157"/>
      <c r="J24" s="157"/>
      <c r="K24" s="157"/>
      <c r="L24" s="157"/>
      <c r="M24" s="157">
        <v>9.5846503665249383</v>
      </c>
      <c r="N24" s="157">
        <v>9</v>
      </c>
      <c r="O24" s="157">
        <v>10</v>
      </c>
      <c r="P24" s="157">
        <v>10</v>
      </c>
      <c r="Q24" s="166">
        <f>((Q25/P25)^4-1)*100</f>
        <v>10.336402739971806</v>
      </c>
      <c r="R24" s="193">
        <v>10</v>
      </c>
      <c r="S24" s="193">
        <v>9.5</v>
      </c>
      <c r="T24" s="193">
        <v>9</v>
      </c>
      <c r="U24" s="193">
        <v>8</v>
      </c>
      <c r="V24" s="193">
        <v>7.5</v>
      </c>
      <c r="W24" s="193">
        <v>7</v>
      </c>
      <c r="X24" s="193">
        <v>6.5</v>
      </c>
      <c r="Y24" s="193">
        <v>6</v>
      </c>
      <c r="Z24" s="193"/>
      <c r="AA24" s="193"/>
      <c r="AB24" s="193"/>
      <c r="AC24" s="194"/>
      <c r="AD24" s="441" t="s">
        <v>443</v>
      </c>
    </row>
    <row r="25" spans="2:31" ht="17.45" customHeight="1" x14ac:dyDescent="0.25">
      <c r="B25" s="465" t="s">
        <v>444</v>
      </c>
      <c r="C25" s="209"/>
      <c r="D25" s="201"/>
      <c r="E25" s="209"/>
      <c r="F25" s="209"/>
      <c r="G25" s="209"/>
      <c r="H25" s="161">
        <f>H22</f>
        <v>2329.1999999999998</v>
      </c>
      <c r="I25" s="161">
        <f t="shared" ref="I25:Q25" si="2">I22</f>
        <v>2376.9</v>
      </c>
      <c r="J25" s="161">
        <f t="shared" si="2"/>
        <v>2334.6</v>
      </c>
      <c r="K25" s="161">
        <f t="shared" si="2"/>
        <v>2346.5</v>
      </c>
      <c r="L25" s="161">
        <f t="shared" si="2"/>
        <v>2373</v>
      </c>
      <c r="M25" s="161">
        <f t="shared" si="2"/>
        <v>2408.6999999999998</v>
      </c>
      <c r="N25" s="161">
        <f t="shared" si="2"/>
        <v>2452.6</v>
      </c>
      <c r="O25" s="161">
        <f t="shared" si="2"/>
        <v>2522.9</v>
      </c>
      <c r="P25" s="161">
        <f t="shared" si="2"/>
        <v>2566.6999999999998</v>
      </c>
      <c r="Q25" s="175">
        <f t="shared" si="2"/>
        <v>2630.6</v>
      </c>
      <c r="R25" s="162">
        <f>(R23/$Q23)*$Q25</f>
        <v>2693.0281502361727</v>
      </c>
      <c r="S25" s="162">
        <f t="shared" ref="S25:AC25" si="3">(S23/$Q23)*$Q25</f>
        <v>2743.3314109401185</v>
      </c>
      <c r="T25" s="162">
        <f t="shared" si="3"/>
        <v>2781.7101935090659</v>
      </c>
      <c r="U25" s="162">
        <f t="shared" si="3"/>
        <v>2815.6799253390218</v>
      </c>
      <c r="V25" s="162">
        <f t="shared" si="3"/>
        <v>2845.0401950327596</v>
      </c>
      <c r="W25" s="162">
        <f t="shared" si="3"/>
        <v>2871.5947051653206</v>
      </c>
      <c r="X25" s="162">
        <f t="shared" si="3"/>
        <v>2897.2473640103617</v>
      </c>
      <c r="Y25" s="162">
        <f t="shared" si="3"/>
        <v>2922.3989943623346</v>
      </c>
      <c r="Z25" s="162">
        <f t="shared" si="3"/>
        <v>2947.450419015694</v>
      </c>
      <c r="AA25" s="162">
        <f t="shared" si="3"/>
        <v>2973.2032835593482</v>
      </c>
      <c r="AB25" s="162">
        <f t="shared" si="3"/>
        <v>2999.8579993905223</v>
      </c>
      <c r="AC25" s="162">
        <f t="shared" si="3"/>
        <v>3028.5168291939663</v>
      </c>
    </row>
    <row r="26" spans="2:31" x14ac:dyDescent="0.25">
      <c r="B26" s="428" t="s">
        <v>445</v>
      </c>
      <c r="C26" s="429"/>
      <c r="D26" s="428"/>
      <c r="E26" s="429"/>
      <c r="F26" s="429"/>
      <c r="G26" s="429"/>
      <c r="H26" s="439">
        <f t="shared" ref="H26:P26" si="4">H22-H48</f>
        <v>2049.712</v>
      </c>
      <c r="I26" s="439">
        <f t="shared" si="4"/>
        <v>2091.6440000000002</v>
      </c>
      <c r="J26" s="439">
        <f t="shared" si="4"/>
        <v>1924.7149999999999</v>
      </c>
      <c r="K26" s="439">
        <f t="shared" si="4"/>
        <v>1965.95</v>
      </c>
      <c r="L26" s="439">
        <f t="shared" si="4"/>
        <v>2015.8420000000001</v>
      </c>
      <c r="M26" s="439">
        <f t="shared" si="4"/>
        <v>2023.5149999999999</v>
      </c>
      <c r="N26" s="439">
        <f t="shared" si="4"/>
        <v>2028.5809999999999</v>
      </c>
      <c r="O26" s="439">
        <f t="shared" si="4"/>
        <v>2091.0100000000002</v>
      </c>
      <c r="P26" s="439">
        <f t="shared" si="4"/>
        <v>2098.8151479999997</v>
      </c>
      <c r="Q26" s="393">
        <f t="shared" ref="Q26:AC26" si="5">Q25-Q48</f>
        <v>2125.2417252</v>
      </c>
      <c r="R26" s="199">
        <f t="shared" si="5"/>
        <v>2170.8451408978444</v>
      </c>
      <c r="S26" s="199">
        <f t="shared" si="5"/>
        <v>2224.8191932604013</v>
      </c>
      <c r="T26" s="199">
        <f t="shared" si="5"/>
        <v>2256.9050836274323</v>
      </c>
      <c r="U26" s="199">
        <f t="shared" si="5"/>
        <v>2296.2178709009268</v>
      </c>
      <c r="V26" s="199">
        <f t="shared" si="5"/>
        <v>2321.2742767566415</v>
      </c>
      <c r="W26" s="199">
        <f t="shared" si="5"/>
        <v>2348.9979133612724</v>
      </c>
      <c r="X26" s="199">
        <f t="shared" si="5"/>
        <v>2375.58078407632</v>
      </c>
      <c r="Y26" s="199">
        <f t="shared" si="5"/>
        <v>2412.1381892575728</v>
      </c>
      <c r="Z26" s="199">
        <f t="shared" si="5"/>
        <v>2457.0474419113884</v>
      </c>
      <c r="AA26" s="199">
        <f t="shared" si="5"/>
        <v>2478.3359894659948</v>
      </c>
      <c r="AB26" s="199">
        <f t="shared" si="5"/>
        <v>2501.3054470619759</v>
      </c>
      <c r="AC26" s="438">
        <f t="shared" si="5"/>
        <v>2546.7909285078713</v>
      </c>
      <c r="AD26" s="183" t="s">
        <v>446</v>
      </c>
    </row>
    <row r="27" spans="2:31" x14ac:dyDescent="0.25">
      <c r="B27" s="191"/>
      <c r="C27" s="191"/>
      <c r="D27" s="191"/>
      <c r="E27" s="191"/>
      <c r="F27" s="191"/>
      <c r="G27" s="191"/>
    </row>
    <row r="28" spans="2:31" x14ac:dyDescent="0.25">
      <c r="B28" s="191"/>
      <c r="C28" s="191"/>
      <c r="D28" s="191"/>
      <c r="E28" s="191"/>
      <c r="F28" s="191"/>
      <c r="G28" s="191"/>
    </row>
    <row r="29" spans="2:31" x14ac:dyDescent="0.25">
      <c r="H29" s="183"/>
      <c r="I29" s="183"/>
      <c r="J29" s="183"/>
      <c r="K29" s="183"/>
      <c r="L29" s="183"/>
      <c r="M29" s="183"/>
      <c r="N29" s="183"/>
      <c r="O29" s="183"/>
      <c r="P29" s="243"/>
      <c r="Q29" s="242"/>
      <c r="R29" s="242"/>
      <c r="S29" s="242"/>
      <c r="T29" s="242"/>
      <c r="U29" s="242"/>
      <c r="V29" s="242"/>
      <c r="W29" s="242"/>
      <c r="X29" s="242"/>
      <c r="Y29" s="242"/>
      <c r="Z29" s="242"/>
      <c r="AA29" s="242"/>
      <c r="AB29" s="242"/>
      <c r="AE29" s="468"/>
    </row>
    <row r="30" spans="2:31" x14ac:dyDescent="0.25">
      <c r="B30" s="191"/>
      <c r="C30" s="191"/>
      <c r="D30" s="191"/>
      <c r="E30" s="191"/>
      <c r="F30" s="191"/>
      <c r="G30" s="191"/>
      <c r="H30" s="227"/>
      <c r="I30" s="227"/>
      <c r="J30" s="227"/>
      <c r="K30" s="227"/>
      <c r="L30" s="227"/>
      <c r="M30" s="227"/>
      <c r="N30" s="227"/>
      <c r="O30" s="227"/>
      <c r="P30" s="227"/>
      <c r="Q30" s="427"/>
      <c r="R30" s="227"/>
      <c r="S30" s="227"/>
      <c r="T30" s="227"/>
      <c r="U30" s="227"/>
      <c r="V30" s="227"/>
      <c r="W30" s="227"/>
      <c r="X30" s="227"/>
      <c r="Y30" s="227"/>
      <c r="Z30" s="227"/>
    </row>
    <row r="31" spans="2:31" ht="85.15" customHeight="1" x14ac:dyDescent="0.25">
      <c r="B31" s="451" t="s">
        <v>972</v>
      </c>
      <c r="C31" s="462" t="s">
        <v>971</v>
      </c>
      <c r="D31" s="460">
        <v>44197</v>
      </c>
      <c r="E31" s="461">
        <v>44228</v>
      </c>
      <c r="F31" s="461">
        <v>44256</v>
      </c>
      <c r="G31" s="461">
        <v>44287</v>
      </c>
      <c r="H31" s="461">
        <v>44317</v>
      </c>
      <c r="I31" s="461">
        <v>44348</v>
      </c>
      <c r="J31" s="461">
        <v>44378</v>
      </c>
      <c r="K31" s="461">
        <v>44409</v>
      </c>
      <c r="L31" s="461">
        <v>44440</v>
      </c>
      <c r="M31" s="461">
        <v>44470</v>
      </c>
      <c r="N31" s="461">
        <v>44501</v>
      </c>
      <c r="O31" s="461">
        <v>44531</v>
      </c>
      <c r="P31" s="433">
        <v>44562</v>
      </c>
      <c r="Q31" s="432">
        <v>44593</v>
      </c>
      <c r="R31" s="433">
        <v>44621</v>
      </c>
      <c r="S31" s="227"/>
      <c r="T31" s="227"/>
      <c r="U31" s="227"/>
      <c r="V31" s="227"/>
      <c r="W31" s="227"/>
      <c r="X31" s="227"/>
      <c r="Y31" s="227"/>
      <c r="Z31" s="227"/>
    </row>
    <row r="32" spans="2:31" ht="19.5" customHeight="1" x14ac:dyDescent="0.25">
      <c r="B32" s="375" t="s">
        <v>447</v>
      </c>
      <c r="C32" s="181" t="s">
        <v>448</v>
      </c>
      <c r="D32" s="36">
        <f>[1]Sheet1!B$2</f>
        <v>5154</v>
      </c>
      <c r="E32" s="36">
        <f>[1]Sheet1!C$2</f>
        <v>5157</v>
      </c>
      <c r="F32" s="36">
        <f>[1]Sheet1!D$2</f>
        <v>5170</v>
      </c>
      <c r="G32" s="36">
        <f>[1]Sheet1!E$2</f>
        <v>5173</v>
      </c>
      <c r="H32" s="36">
        <f>[1]Sheet1!F$2</f>
        <v>5231</v>
      </c>
      <c r="I32" s="36">
        <f>[1]Sheet1!G$2</f>
        <v>5251</v>
      </c>
      <c r="J32" s="36">
        <f>[1]Sheet1!H$2</f>
        <v>5241</v>
      </c>
      <c r="K32" s="36">
        <f>[1]Sheet1!I$2</f>
        <v>5226</v>
      </c>
      <c r="L32" s="36">
        <f>[1]Sheet1!J$2</f>
        <v>5224</v>
      </c>
      <c r="M32" s="36">
        <f>[1]Sheet1!K$2</f>
        <v>5224</v>
      </c>
      <c r="N32" s="36">
        <f>[1]Sheet1!L$2</f>
        <v>5220</v>
      </c>
      <c r="O32" s="36">
        <f>[1]Sheet1!M$2</f>
        <v>5237</v>
      </c>
      <c r="P32" s="36">
        <f>[1]Sheet1!N$2</f>
        <v>5219</v>
      </c>
      <c r="Q32" s="36">
        <f>[1]Sheet1!O$2</f>
        <v>5207</v>
      </c>
      <c r="R32" s="36">
        <f>[1]Sheet1!P$2</f>
        <v>5193</v>
      </c>
      <c r="S32" s="227"/>
      <c r="T32" s="227"/>
      <c r="U32" s="227"/>
      <c r="V32" s="227"/>
      <c r="W32" s="227"/>
      <c r="X32" s="227"/>
      <c r="Y32" s="227"/>
      <c r="Z32" s="227"/>
    </row>
    <row r="33" spans="2:33" ht="18" customHeight="1" x14ac:dyDescent="0.25">
      <c r="B33" s="200" t="s">
        <v>449</v>
      </c>
      <c r="C33" s="183" t="s">
        <v>450</v>
      </c>
      <c r="D33" s="36">
        <f>[1]Sheet1!B$3</f>
        <v>13748</v>
      </c>
      <c r="E33" s="36">
        <f>[1]Sheet1!C$3</f>
        <v>13760</v>
      </c>
      <c r="F33" s="36">
        <f>[1]Sheet1!D$3</f>
        <v>13801</v>
      </c>
      <c r="G33" s="36">
        <f>[1]Sheet1!E$3</f>
        <v>13842</v>
      </c>
      <c r="H33" s="36">
        <f>[1]Sheet1!F$3</f>
        <v>13856</v>
      </c>
      <c r="I33" s="36">
        <f>[1]Sheet1!G$3</f>
        <v>13889</v>
      </c>
      <c r="J33" s="36">
        <f>[1]Sheet1!H$3</f>
        <v>13948</v>
      </c>
      <c r="K33" s="36">
        <f>[1]Sheet1!I$3</f>
        <v>13984</v>
      </c>
      <c r="L33" s="36">
        <f>[1]Sheet1!J$3</f>
        <v>14002</v>
      </c>
      <c r="M33" s="36">
        <f>[1]Sheet1!K$3</f>
        <v>13990</v>
      </c>
      <c r="N33" s="36">
        <f>[1]Sheet1!L$3</f>
        <v>14010</v>
      </c>
      <c r="O33" s="36">
        <f>[1]Sheet1!M$3</f>
        <v>14028</v>
      </c>
      <c r="P33" s="36">
        <f>[1]Sheet1!N$3</f>
        <v>14055</v>
      </c>
      <c r="Q33" s="36">
        <f>[1]Sheet1!O$3</f>
        <v>14076</v>
      </c>
      <c r="R33" s="36">
        <f>[1]Sheet1!P$3</f>
        <v>14096</v>
      </c>
      <c r="S33" s="227"/>
      <c r="T33" s="227"/>
      <c r="U33" s="227"/>
      <c r="V33" s="227"/>
      <c r="W33" s="227"/>
      <c r="X33" s="227"/>
      <c r="Y33" s="227"/>
      <c r="Z33" s="227"/>
      <c r="AG33" s="183"/>
    </row>
    <row r="34" spans="2:33" ht="19.5" customHeight="1" x14ac:dyDescent="0.25">
      <c r="B34" s="428" t="s">
        <v>451</v>
      </c>
      <c r="C34" s="192" t="s">
        <v>452</v>
      </c>
      <c r="D34" s="37">
        <f>[1]Sheet1!B$4</f>
        <v>328517</v>
      </c>
      <c r="E34" s="37">
        <f>[1]Sheet1!C$4</f>
        <v>320118</v>
      </c>
      <c r="F34" s="37">
        <f>[1]Sheet1!D$4</f>
        <v>319991</v>
      </c>
      <c r="G34" s="37">
        <f>[1]Sheet1!E$4</f>
        <v>321220</v>
      </c>
      <c r="H34" s="37">
        <f>[1]Sheet1!F$4</f>
        <v>319056</v>
      </c>
      <c r="I34" s="37">
        <f>[1]Sheet1!G$4</f>
        <v>315198</v>
      </c>
      <c r="J34" s="37">
        <f>[1]Sheet1!H$4</f>
        <v>318559</v>
      </c>
      <c r="K34" s="37">
        <f>[1]Sheet1!I$4</f>
        <v>323086</v>
      </c>
      <c r="L34" s="37">
        <f>[1]Sheet1!J$4</f>
        <v>324024</v>
      </c>
      <c r="M34" s="37">
        <f>[1]Sheet1!K$4</f>
        <v>325954</v>
      </c>
      <c r="N34" s="37">
        <f>[1]Sheet1!L$4</f>
        <v>325873</v>
      </c>
      <c r="O34" s="37">
        <f>[1]Sheet1!M$4</f>
        <v>323714</v>
      </c>
      <c r="P34" s="37">
        <f>[1]Sheet1!N$4</f>
        <v>324157</v>
      </c>
      <c r="Q34" s="37">
        <f>[1]Sheet1!O$4</f>
        <v>323092</v>
      </c>
      <c r="R34" s="37"/>
      <c r="S34" s="227"/>
      <c r="T34" s="227"/>
      <c r="U34" s="227"/>
      <c r="V34" s="227"/>
      <c r="W34" s="227"/>
      <c r="X34" s="227"/>
      <c r="Y34" s="227"/>
      <c r="Z34" s="227"/>
      <c r="AG34" s="183"/>
    </row>
    <row r="35" spans="2:33" ht="15.6" customHeight="1" x14ac:dyDescent="0.25">
      <c r="B35" s="209"/>
      <c r="C35" s="191"/>
      <c r="D35" s="191"/>
      <c r="E35" s="191"/>
      <c r="F35" s="191"/>
      <c r="G35" s="191"/>
      <c r="H35" s="227"/>
      <c r="I35" s="227"/>
      <c r="J35" s="227"/>
      <c r="Q35" s="466"/>
      <c r="R35" s="227"/>
      <c r="S35" s="227"/>
      <c r="T35" s="227"/>
      <c r="U35" s="227"/>
      <c r="V35" s="227"/>
      <c r="W35" s="227"/>
      <c r="X35" s="227"/>
      <c r="Y35" s="227"/>
      <c r="Z35" s="227"/>
      <c r="AG35" s="183"/>
    </row>
    <row r="36" spans="2:33" ht="12.75" customHeight="1" x14ac:dyDescent="0.25">
      <c r="AG36" s="183"/>
    </row>
    <row r="37" spans="2:33" x14ac:dyDescent="0.25">
      <c r="B37" s="930" t="s">
        <v>453</v>
      </c>
      <c r="C37" s="930"/>
      <c r="D37" s="930"/>
      <c r="E37" s="930"/>
      <c r="F37" s="930"/>
      <c r="G37" s="930"/>
      <c r="H37" s="930"/>
      <c r="I37" s="930"/>
      <c r="J37" s="930"/>
      <c r="K37" s="930"/>
      <c r="L37" s="930"/>
      <c r="M37" s="930"/>
      <c r="N37" s="930"/>
      <c r="O37" s="930"/>
      <c r="P37" s="930"/>
      <c r="Q37" s="930"/>
      <c r="R37" s="930"/>
      <c r="S37" s="930"/>
      <c r="T37" s="930"/>
      <c r="U37" s="930"/>
      <c r="V37" s="930"/>
      <c r="W37" s="930"/>
      <c r="X37" s="930"/>
      <c r="Y37" s="930"/>
      <c r="Z37" s="930"/>
      <c r="AA37" s="930"/>
      <c r="AB37" s="930"/>
      <c r="AC37" s="930"/>
      <c r="AG37" s="183"/>
    </row>
    <row r="38" spans="2:33" ht="9" customHeight="1" x14ac:dyDescent="0.25">
      <c r="B38" s="930"/>
      <c r="C38" s="930"/>
      <c r="D38" s="930"/>
      <c r="E38" s="930"/>
      <c r="F38" s="930"/>
      <c r="G38" s="930"/>
      <c r="H38" s="930"/>
      <c r="I38" s="930"/>
      <c r="J38" s="930"/>
      <c r="K38" s="930"/>
      <c r="L38" s="930"/>
      <c r="M38" s="930"/>
      <c r="N38" s="930"/>
      <c r="O38" s="930"/>
      <c r="P38" s="930"/>
      <c r="Q38" s="930"/>
      <c r="R38" s="930"/>
      <c r="S38" s="930"/>
      <c r="T38" s="930"/>
      <c r="U38" s="930"/>
      <c r="V38" s="930"/>
      <c r="W38" s="930"/>
      <c r="X38" s="930"/>
      <c r="Y38" s="930"/>
      <c r="Z38" s="930"/>
      <c r="AA38" s="930"/>
      <c r="AB38" s="930"/>
      <c r="AC38" s="930"/>
      <c r="AG38" s="183"/>
    </row>
    <row r="39" spans="2:33" ht="14.25" customHeight="1" x14ac:dyDescent="0.25">
      <c r="B39" s="1000" t="s">
        <v>454</v>
      </c>
      <c r="C39" s="1000"/>
      <c r="D39" s="1000"/>
      <c r="E39" s="1000"/>
      <c r="F39" s="1000"/>
      <c r="G39" s="1000"/>
      <c r="H39" s="1000"/>
      <c r="I39" s="1000"/>
      <c r="J39" s="1000"/>
      <c r="K39" s="1000"/>
      <c r="L39" s="1000"/>
      <c r="M39" s="1000"/>
      <c r="N39" s="1000"/>
      <c r="O39" s="1000"/>
      <c r="P39" s="1000"/>
      <c r="Q39" s="1000"/>
      <c r="R39" s="1000"/>
      <c r="S39" s="1000"/>
      <c r="T39" s="1000"/>
      <c r="U39" s="1000"/>
      <c r="V39" s="1000"/>
      <c r="W39" s="1000"/>
      <c r="X39" s="1000"/>
      <c r="Y39" s="1000"/>
      <c r="Z39" s="1000"/>
      <c r="AA39" s="1000"/>
      <c r="AB39" s="1000"/>
      <c r="AC39" s="1000"/>
      <c r="AG39" s="183"/>
    </row>
    <row r="40" spans="2:33" x14ac:dyDescent="0.25">
      <c r="B40" s="1000"/>
      <c r="C40" s="1000"/>
      <c r="D40" s="1000"/>
      <c r="E40" s="1000"/>
      <c r="F40" s="1000"/>
      <c r="G40" s="1000"/>
      <c r="H40" s="1000"/>
      <c r="I40" s="1000"/>
      <c r="J40" s="1000"/>
      <c r="K40" s="1000"/>
      <c r="L40" s="1000"/>
      <c r="M40" s="1000"/>
      <c r="N40" s="1000"/>
      <c r="O40" s="1000"/>
      <c r="P40" s="1000"/>
      <c r="Q40" s="1000"/>
      <c r="R40" s="1000"/>
      <c r="S40" s="1000"/>
      <c r="T40" s="1000"/>
      <c r="U40" s="1000"/>
      <c r="V40" s="1000"/>
      <c r="W40" s="1000"/>
      <c r="X40" s="1000"/>
      <c r="Y40" s="1000"/>
      <c r="Z40" s="1000"/>
      <c r="AA40" s="1000"/>
      <c r="AB40" s="1000"/>
      <c r="AC40" s="1000"/>
      <c r="AG40" s="183"/>
    </row>
    <row r="41" spans="2:33" ht="8.65" customHeight="1" x14ac:dyDescent="0.25">
      <c r="B41" s="1000"/>
      <c r="C41" s="1000"/>
      <c r="D41" s="1000"/>
      <c r="E41" s="1000"/>
      <c r="F41" s="1000"/>
      <c r="G41" s="1000"/>
      <c r="H41" s="1000"/>
      <c r="I41" s="1000"/>
      <c r="J41" s="1000"/>
      <c r="K41" s="1000"/>
      <c r="L41" s="1000"/>
      <c r="M41" s="1000"/>
      <c r="N41" s="1000"/>
      <c r="O41" s="1000"/>
      <c r="P41" s="1000"/>
      <c r="Q41" s="1000"/>
      <c r="R41" s="1000"/>
      <c r="S41" s="1000"/>
      <c r="T41" s="1000"/>
      <c r="U41" s="1000"/>
      <c r="V41" s="1000"/>
      <c r="W41" s="1000"/>
      <c r="X41" s="1000"/>
      <c r="Y41" s="1000"/>
      <c r="Z41" s="1000"/>
      <c r="AA41" s="1000"/>
      <c r="AB41" s="1000"/>
      <c r="AC41" s="1000"/>
      <c r="AG41" s="183"/>
    </row>
    <row r="42" spans="2:33" ht="12.75" customHeight="1" x14ac:dyDescent="0.25">
      <c r="AG42" s="183"/>
    </row>
    <row r="43" spans="2:33" ht="30.75" customHeight="1" x14ac:dyDescent="0.25">
      <c r="B43" s="935" t="s">
        <v>324</v>
      </c>
      <c r="C43" s="958"/>
      <c r="D43" s="945" t="s">
        <v>325</v>
      </c>
      <c r="E43" s="946"/>
      <c r="F43" s="946"/>
      <c r="G43" s="946"/>
      <c r="H43" s="946"/>
      <c r="I43" s="946"/>
      <c r="J43" s="946"/>
      <c r="K43" s="946"/>
      <c r="L43" s="946"/>
      <c r="M43" s="946"/>
      <c r="N43" s="946"/>
      <c r="O43" s="946"/>
      <c r="P43" s="946"/>
      <c r="Q43" s="947"/>
      <c r="R43" s="942" t="s">
        <v>326</v>
      </c>
      <c r="S43" s="943"/>
      <c r="T43" s="943"/>
      <c r="U43" s="943"/>
      <c r="V43" s="943"/>
      <c r="W43" s="943"/>
      <c r="X43" s="943"/>
      <c r="Y43" s="943"/>
      <c r="Z43" s="943"/>
      <c r="AA43" s="943"/>
      <c r="AB43" s="943"/>
      <c r="AC43" s="944"/>
      <c r="AG43" s="183"/>
    </row>
    <row r="44" spans="2:33" x14ac:dyDescent="0.25">
      <c r="B44" s="937"/>
      <c r="C44" s="1001"/>
      <c r="D44" s="178">
        <v>2018</v>
      </c>
      <c r="E44" s="932">
        <v>2019</v>
      </c>
      <c r="F44" s="933"/>
      <c r="G44" s="933"/>
      <c r="H44" s="934"/>
      <c r="I44" s="932">
        <v>2020</v>
      </c>
      <c r="J44" s="933"/>
      <c r="K44" s="933"/>
      <c r="L44" s="933"/>
      <c r="M44" s="932">
        <v>2021</v>
      </c>
      <c r="N44" s="933"/>
      <c r="O44" s="933"/>
      <c r="P44" s="934"/>
      <c r="Q44" s="172"/>
      <c r="R44" s="171">
        <v>2022</v>
      </c>
      <c r="S44" s="171"/>
      <c r="T44" s="431"/>
      <c r="U44" s="939">
        <v>2023</v>
      </c>
      <c r="V44" s="940"/>
      <c r="W44" s="940"/>
      <c r="X44" s="940"/>
      <c r="Y44" s="939">
        <v>2024</v>
      </c>
      <c r="Z44" s="940"/>
      <c r="AA44" s="940"/>
      <c r="AB44" s="941"/>
      <c r="AC44" s="185">
        <v>2025</v>
      </c>
      <c r="AG44" s="183"/>
    </row>
    <row r="45" spans="2:33" x14ac:dyDescent="0.25">
      <c r="B45" s="974"/>
      <c r="C45" s="1002"/>
      <c r="D45" s="180" t="s">
        <v>327</v>
      </c>
      <c r="E45" s="180" t="s">
        <v>328</v>
      </c>
      <c r="F45" s="177" t="s">
        <v>329</v>
      </c>
      <c r="G45" s="177" t="s">
        <v>238</v>
      </c>
      <c r="H45" s="179" t="s">
        <v>327</v>
      </c>
      <c r="I45" s="177" t="s">
        <v>328</v>
      </c>
      <c r="J45" s="177" t="s">
        <v>329</v>
      </c>
      <c r="K45" s="177" t="s">
        <v>238</v>
      </c>
      <c r="L45" s="177" t="s">
        <v>327</v>
      </c>
      <c r="M45" s="180" t="s">
        <v>328</v>
      </c>
      <c r="N45" s="177" t="s">
        <v>329</v>
      </c>
      <c r="O45" s="177" t="s">
        <v>238</v>
      </c>
      <c r="P45" s="179" t="s">
        <v>327</v>
      </c>
      <c r="Q45" s="173" t="s">
        <v>328</v>
      </c>
      <c r="R45" s="360" t="s">
        <v>329</v>
      </c>
      <c r="S45" s="360" t="s">
        <v>238</v>
      </c>
      <c r="T45" s="360" t="s">
        <v>327</v>
      </c>
      <c r="U45" s="359" t="s">
        <v>328</v>
      </c>
      <c r="V45" s="360" t="s">
        <v>329</v>
      </c>
      <c r="W45" s="360" t="s">
        <v>238</v>
      </c>
      <c r="X45" s="360" t="s">
        <v>327</v>
      </c>
      <c r="Y45" s="359" t="s">
        <v>328</v>
      </c>
      <c r="Z45" s="196" t="s">
        <v>329</v>
      </c>
      <c r="AA45" s="360" t="s">
        <v>238</v>
      </c>
      <c r="AB45" s="383" t="s">
        <v>327</v>
      </c>
      <c r="AC45" s="400" t="s">
        <v>328</v>
      </c>
      <c r="AG45" s="183"/>
    </row>
    <row r="46" spans="2:33" x14ac:dyDescent="0.25">
      <c r="B46" s="457" t="s">
        <v>134</v>
      </c>
      <c r="C46" s="213"/>
      <c r="D46" s="189"/>
      <c r="E46" s="213"/>
      <c r="F46" s="213"/>
      <c r="G46" s="213"/>
      <c r="H46" s="430">
        <f>Grants!H95</f>
        <v>70.894000000000005</v>
      </c>
      <c r="I46" s="430">
        <f>Grants!I95</f>
        <v>72.774000000000001</v>
      </c>
      <c r="J46" s="430">
        <f>Grants!J95</f>
        <v>75.275000000000006</v>
      </c>
      <c r="K46" s="430">
        <f>Grants!K95</f>
        <v>78.766999999999996</v>
      </c>
      <c r="L46" s="430">
        <f>Grants!L95</f>
        <v>76.995000000000005</v>
      </c>
      <c r="M46" s="430">
        <f>Grants!M95</f>
        <v>75.03</v>
      </c>
      <c r="N46" s="430">
        <f>Grants!N95</f>
        <v>77.703999999999994</v>
      </c>
      <c r="O46" s="430">
        <f>Grants!O95</f>
        <v>72.766999999999996</v>
      </c>
      <c r="P46" s="430">
        <f>Grants!P95</f>
        <v>74.768000000000001</v>
      </c>
      <c r="Q46" s="467">
        <f>Grants!Q95</f>
        <v>76.48</v>
      </c>
      <c r="R46" s="447">
        <f>Grants!R95</f>
        <v>75.34842857142857</v>
      </c>
      <c r="S46" s="447">
        <f>Grants!S95</f>
        <v>75.34842857142857</v>
      </c>
      <c r="T46" s="447">
        <f>Grants!T95</f>
        <v>75.34842857142857</v>
      </c>
      <c r="U46" s="447">
        <f>Grants!U95</f>
        <v>75.34842857142857</v>
      </c>
      <c r="V46" s="447">
        <f>Grants!V95</f>
        <v>75.34842857142857</v>
      </c>
      <c r="W46" s="447">
        <f>Grants!W95</f>
        <v>75.34842857142857</v>
      </c>
      <c r="X46" s="447">
        <f>Grants!X95</f>
        <v>75.34842857142857</v>
      </c>
      <c r="Y46" s="447">
        <f>Grants!Y95</f>
        <v>75.34842857142857</v>
      </c>
      <c r="Z46" s="447">
        <f>Grants!Z95</f>
        <v>75.34842857142857</v>
      </c>
      <c r="AA46" s="447">
        <f>Grants!AA95</f>
        <v>75.34842857142857</v>
      </c>
      <c r="AB46" s="447">
        <f>Grants!AB95</f>
        <v>75.34842857142857</v>
      </c>
      <c r="AC46" s="434">
        <f>Grants!AC95</f>
        <v>75.34842857142857</v>
      </c>
    </row>
    <row r="47" spans="2:33" x14ac:dyDescent="0.25">
      <c r="B47" s="263" t="s">
        <v>192</v>
      </c>
      <c r="C47" s="258"/>
      <c r="D47" s="436"/>
      <c r="E47" s="258"/>
      <c r="F47" s="258"/>
      <c r="G47" s="258"/>
      <c r="H47" s="157">
        <f>Grants!H75</f>
        <v>208.59399999999999</v>
      </c>
      <c r="I47" s="157">
        <f>Grants!I75</f>
        <v>212.48200000000003</v>
      </c>
      <c r="J47" s="157">
        <f>Grants!J75</f>
        <v>334.61</v>
      </c>
      <c r="K47" s="157">
        <f>Grants!K75</f>
        <v>301.78300000000002</v>
      </c>
      <c r="L47" s="157">
        <f>Grants!L75</f>
        <v>280.16300000000001</v>
      </c>
      <c r="M47" s="157">
        <f>Grants!M75</f>
        <v>310.15499999999997</v>
      </c>
      <c r="N47" s="157">
        <f>Grants!N75</f>
        <v>346.31500000000005</v>
      </c>
      <c r="O47" s="157">
        <f>Grants!O75</f>
        <v>359.12299999999988</v>
      </c>
      <c r="P47" s="157">
        <f>Grants!P75</f>
        <v>393.11685200000005</v>
      </c>
      <c r="Q47" s="166">
        <f>Grants!Q75</f>
        <v>428.87827479999993</v>
      </c>
      <c r="R47" s="193">
        <f>Grants!R75</f>
        <v>446.83458076689982</v>
      </c>
      <c r="S47" s="193">
        <f>Grants!S75</f>
        <v>443.16378910828843</v>
      </c>
      <c r="T47" s="193">
        <f>Grants!T75</f>
        <v>449.456681310205</v>
      </c>
      <c r="U47" s="193">
        <f>Grants!U75</f>
        <v>444.1136258666665</v>
      </c>
      <c r="V47" s="193">
        <f>Grants!V75</f>
        <v>448.41748970468939</v>
      </c>
      <c r="W47" s="193">
        <f>Grants!W75</f>
        <v>447.24836323261991</v>
      </c>
      <c r="X47" s="193">
        <f>Grants!X75</f>
        <v>446.31815136261321</v>
      </c>
      <c r="Y47" s="193">
        <f>Grants!Y75</f>
        <v>434.91237653333314</v>
      </c>
      <c r="Z47" s="193">
        <f>Grants!Z75</f>
        <v>415.05454853287694</v>
      </c>
      <c r="AA47" s="193">
        <f>Grants!AA75</f>
        <v>419.51886552192474</v>
      </c>
      <c r="AB47" s="193">
        <f>Grants!AB75</f>
        <v>423.20412375711771</v>
      </c>
      <c r="AC47" s="194">
        <f>Grants!AC75</f>
        <v>406.37747211466649</v>
      </c>
    </row>
    <row r="48" spans="2:33" x14ac:dyDescent="0.25">
      <c r="B48" s="459" t="s">
        <v>455</v>
      </c>
      <c r="C48" s="429"/>
      <c r="D48" s="428"/>
      <c r="E48" s="429"/>
      <c r="F48" s="429"/>
      <c r="G48" s="429"/>
      <c r="H48" s="225">
        <f>H46+H47</f>
        <v>279.488</v>
      </c>
      <c r="I48" s="225">
        <f t="shared" ref="I48:AC48" si="6">I46+I47</f>
        <v>285.25600000000003</v>
      </c>
      <c r="J48" s="225">
        <f t="shared" si="6"/>
        <v>409.88499999999999</v>
      </c>
      <c r="K48" s="225">
        <f t="shared" si="6"/>
        <v>380.55</v>
      </c>
      <c r="L48" s="225">
        <f t="shared" si="6"/>
        <v>357.15800000000002</v>
      </c>
      <c r="M48" s="225">
        <f t="shared" si="6"/>
        <v>385.18499999999995</v>
      </c>
      <c r="N48" s="225">
        <f t="shared" si="6"/>
        <v>424.01900000000006</v>
      </c>
      <c r="O48" s="225">
        <f t="shared" si="6"/>
        <v>431.88999999999987</v>
      </c>
      <c r="P48" s="225">
        <f t="shared" si="6"/>
        <v>467.88485200000002</v>
      </c>
      <c r="Q48" s="167">
        <f t="shared" si="6"/>
        <v>505.35827479999995</v>
      </c>
      <c r="R48" s="195">
        <f t="shared" si="6"/>
        <v>522.18300933832836</v>
      </c>
      <c r="S48" s="195">
        <f t="shared" si="6"/>
        <v>518.51221767971697</v>
      </c>
      <c r="T48" s="195">
        <f t="shared" si="6"/>
        <v>524.8051098816336</v>
      </c>
      <c r="U48" s="195">
        <f t="shared" si="6"/>
        <v>519.46205443809504</v>
      </c>
      <c r="V48" s="195">
        <f t="shared" si="6"/>
        <v>523.76591827611799</v>
      </c>
      <c r="W48" s="195">
        <f t="shared" si="6"/>
        <v>522.59679180404851</v>
      </c>
      <c r="X48" s="195">
        <f t="shared" si="6"/>
        <v>521.66657993404181</v>
      </c>
      <c r="Y48" s="195">
        <f t="shared" si="6"/>
        <v>510.26080510476174</v>
      </c>
      <c r="Z48" s="195">
        <f t="shared" si="6"/>
        <v>490.40297710430548</v>
      </c>
      <c r="AA48" s="195">
        <f t="shared" si="6"/>
        <v>494.86729409335328</v>
      </c>
      <c r="AB48" s="195">
        <f t="shared" si="6"/>
        <v>498.55255232854631</v>
      </c>
      <c r="AC48" s="207">
        <f t="shared" si="6"/>
        <v>481.72590068609509</v>
      </c>
    </row>
    <row r="49" spans="17:58" x14ac:dyDescent="0.25">
      <c r="Q49" s="183"/>
      <c r="AM49" s="994" t="s">
        <v>456</v>
      </c>
      <c r="AN49" s="995"/>
      <c r="AO49" s="956" t="s">
        <v>325</v>
      </c>
      <c r="AP49" s="957"/>
      <c r="AQ49" s="957"/>
      <c r="AR49" s="957"/>
      <c r="AS49" s="957"/>
      <c r="AT49" s="1004"/>
      <c r="AU49" s="1003" t="s">
        <v>326</v>
      </c>
      <c r="AV49" s="1003"/>
      <c r="AW49" s="1003"/>
      <c r="AX49" s="1003"/>
      <c r="AY49" s="1003"/>
      <c r="AZ49" s="1003"/>
      <c r="BA49" s="1003"/>
      <c r="BB49" s="1003"/>
    </row>
    <row r="50" spans="17:58" x14ac:dyDescent="0.25">
      <c r="AM50" s="996"/>
      <c r="AN50" s="997"/>
      <c r="AO50" s="463">
        <v>2019</v>
      </c>
      <c r="AP50" s="932">
        <v>2020</v>
      </c>
      <c r="AQ50" s="933"/>
      <c r="AR50" s="933"/>
      <c r="AS50" s="934"/>
      <c r="AT50" s="463">
        <v>2021</v>
      </c>
      <c r="AU50" s="939">
        <v>2021</v>
      </c>
      <c r="AV50" s="940"/>
      <c r="AW50" s="941"/>
      <c r="AX50" s="939">
        <v>2022</v>
      </c>
      <c r="AY50" s="940"/>
      <c r="AZ50" s="940"/>
      <c r="BA50" s="941"/>
      <c r="BB50" s="185">
        <v>2023</v>
      </c>
    </row>
    <row r="51" spans="17:58" x14ac:dyDescent="0.25">
      <c r="AM51" s="996"/>
      <c r="AN51" s="997"/>
      <c r="AO51" s="437" t="s">
        <v>327</v>
      </c>
      <c r="AP51" s="180" t="s">
        <v>328</v>
      </c>
      <c r="AQ51" s="177" t="s">
        <v>329</v>
      </c>
      <c r="AR51" s="177" t="s">
        <v>238</v>
      </c>
      <c r="AS51" s="179" t="s">
        <v>327</v>
      </c>
      <c r="AT51" s="437" t="s">
        <v>328</v>
      </c>
      <c r="AU51" s="359" t="s">
        <v>329</v>
      </c>
      <c r="AV51" s="360" t="s">
        <v>238</v>
      </c>
      <c r="AW51" s="383" t="s">
        <v>327</v>
      </c>
      <c r="AX51" s="359" t="s">
        <v>328</v>
      </c>
      <c r="AY51" s="360" t="s">
        <v>329</v>
      </c>
      <c r="AZ51" s="360" t="s">
        <v>238</v>
      </c>
      <c r="BA51" s="383" t="s">
        <v>327</v>
      </c>
      <c r="BB51" s="400" t="s">
        <v>328</v>
      </c>
    </row>
    <row r="52" spans="17:58" ht="27.6" customHeight="1" x14ac:dyDescent="0.25">
      <c r="AM52" s="457" t="s">
        <v>457</v>
      </c>
      <c r="AN52" s="450"/>
      <c r="AO52" s="458">
        <v>4.8</v>
      </c>
      <c r="AP52" s="430">
        <v>3.9</v>
      </c>
      <c r="AQ52" s="430">
        <v>3.2</v>
      </c>
      <c r="AR52" s="430">
        <v>3.8</v>
      </c>
      <c r="AS52" s="430">
        <v>3.7</v>
      </c>
      <c r="AT52" s="430">
        <v>3.7</v>
      </c>
      <c r="AU52" s="464">
        <v>3.7</v>
      </c>
      <c r="AV52" s="447">
        <v>3.7</v>
      </c>
      <c r="AW52" s="447">
        <v>3.8</v>
      </c>
      <c r="AX52" s="447">
        <v>3.8</v>
      </c>
      <c r="AY52" s="447">
        <v>3.9</v>
      </c>
      <c r="AZ52" s="447">
        <v>3.9</v>
      </c>
      <c r="BA52" s="447">
        <v>4</v>
      </c>
      <c r="BB52" s="434">
        <v>4</v>
      </c>
    </row>
    <row r="53" spans="17:58" ht="27.6" customHeight="1" x14ac:dyDescent="0.25">
      <c r="AM53" s="415" t="s">
        <v>458</v>
      </c>
      <c r="AN53" s="191"/>
      <c r="AO53" s="456">
        <v>3.3969999999999998</v>
      </c>
      <c r="AP53" s="157">
        <v>4.1660000000000004</v>
      </c>
      <c r="AQ53" s="157">
        <v>-7.6660000000000004</v>
      </c>
      <c r="AR53" s="157">
        <v>-0.84299999999999997</v>
      </c>
      <c r="AS53" s="157">
        <v>2.097</v>
      </c>
      <c r="AT53" s="157">
        <v>9.5879999999999992</v>
      </c>
      <c r="AU53" s="445">
        <v>14.488</v>
      </c>
      <c r="AV53" s="193">
        <v>9.7850000000000001</v>
      </c>
      <c r="AW53" s="193">
        <v>5.202</v>
      </c>
      <c r="AX53" s="193">
        <v>5.4939999999999998</v>
      </c>
      <c r="AY53" s="193">
        <v>5.7560000000000002</v>
      </c>
      <c r="AZ53" s="193">
        <v>4.133</v>
      </c>
      <c r="BA53" s="193">
        <v>3.5270000000000001</v>
      </c>
      <c r="BB53" s="194">
        <v>3.488</v>
      </c>
    </row>
    <row r="54" spans="17:58" x14ac:dyDescent="0.25">
      <c r="AM54" s="183" t="s">
        <v>459</v>
      </c>
      <c r="AO54" s="157">
        <f>AO53</f>
        <v>3.3969999999999998</v>
      </c>
      <c r="AP54" s="157">
        <f t="shared" ref="AP54:AT54" si="7">AP53</f>
        <v>4.1660000000000004</v>
      </c>
      <c r="AQ54" s="157">
        <f t="shared" si="7"/>
        <v>-7.6660000000000004</v>
      </c>
      <c r="AR54" s="157">
        <f t="shared" si="7"/>
        <v>-0.84299999999999997</v>
      </c>
      <c r="AS54" s="157">
        <f t="shared" si="7"/>
        <v>2.097</v>
      </c>
      <c r="AT54" s="157">
        <f t="shared" si="7"/>
        <v>9.5879999999999992</v>
      </c>
      <c r="AU54" s="455">
        <f t="shared" ref="AU54:BB54" si="8">N24</f>
        <v>9</v>
      </c>
      <c r="AV54" s="455">
        <f t="shared" si="8"/>
        <v>10</v>
      </c>
      <c r="AW54" s="455">
        <f t="shared" si="8"/>
        <v>10</v>
      </c>
      <c r="AX54" s="455">
        <f t="shared" si="8"/>
        <v>10.336402739971806</v>
      </c>
      <c r="AY54" s="455">
        <f t="shared" si="8"/>
        <v>10</v>
      </c>
      <c r="AZ54" s="455">
        <f t="shared" si="8"/>
        <v>9.5</v>
      </c>
      <c r="BA54" s="455">
        <f t="shared" si="8"/>
        <v>9</v>
      </c>
      <c r="BB54" s="455">
        <f t="shared" si="8"/>
        <v>8</v>
      </c>
    </row>
    <row r="55" spans="17:58" x14ac:dyDescent="0.25">
      <c r="AM55" s="998" t="s">
        <v>460</v>
      </c>
      <c r="AN55" s="999"/>
      <c r="AO55" s="456"/>
      <c r="AP55" s="157"/>
      <c r="AQ55" s="157"/>
      <c r="AR55" s="157"/>
      <c r="AS55" s="157"/>
      <c r="AT55" s="157"/>
      <c r="AU55" s="445"/>
      <c r="AV55" s="193"/>
      <c r="AW55" s="193"/>
      <c r="AX55" s="193"/>
      <c r="AY55" s="193"/>
      <c r="AZ55" s="193"/>
      <c r="BA55" s="193"/>
      <c r="BB55" s="194"/>
    </row>
    <row r="56" spans="17:58" ht="27.6" customHeight="1" x14ac:dyDescent="0.25">
      <c r="AM56" s="263" t="s">
        <v>461</v>
      </c>
      <c r="AN56" s="254"/>
      <c r="AO56" s="240">
        <v>2368</v>
      </c>
      <c r="AP56" s="227">
        <v>2391</v>
      </c>
      <c r="AQ56" s="227">
        <v>2410</v>
      </c>
      <c r="AR56" s="227">
        <v>2432</v>
      </c>
      <c r="AS56" s="227">
        <v>2455</v>
      </c>
      <c r="AT56" s="227">
        <v>2477</v>
      </c>
      <c r="AU56" s="446">
        <v>2500</v>
      </c>
      <c r="AV56" s="196">
        <v>2523</v>
      </c>
      <c r="AW56" s="196">
        <v>2546</v>
      </c>
      <c r="AX56" s="196">
        <v>2571</v>
      </c>
      <c r="AY56" s="196">
        <v>2595</v>
      </c>
      <c r="AZ56" s="196">
        <v>2621</v>
      </c>
      <c r="BA56" s="196">
        <v>2646</v>
      </c>
      <c r="BB56" s="158">
        <v>2672</v>
      </c>
    </row>
    <row r="57" spans="17:58" ht="27.6" customHeight="1" x14ac:dyDescent="0.25">
      <c r="AM57" s="263" t="s">
        <v>462</v>
      </c>
      <c r="AN57" s="254"/>
      <c r="AO57" s="222">
        <v>2357</v>
      </c>
      <c r="AP57" s="226">
        <v>2382</v>
      </c>
      <c r="AQ57" s="226">
        <v>2335</v>
      </c>
      <c r="AR57" s="226">
        <v>2330</v>
      </c>
      <c r="AS57" s="226">
        <v>2318</v>
      </c>
      <c r="AT57" s="226">
        <v>2339</v>
      </c>
      <c r="AU57" s="359">
        <v>2361</v>
      </c>
      <c r="AV57" s="360">
        <v>2379</v>
      </c>
      <c r="AW57" s="360">
        <v>2397</v>
      </c>
      <c r="AX57" s="360">
        <v>2417</v>
      </c>
      <c r="AY57" s="360">
        <v>2439</v>
      </c>
      <c r="AZ57" s="360">
        <v>2462</v>
      </c>
      <c r="BA57" s="360">
        <v>2486</v>
      </c>
      <c r="BB57" s="383">
        <v>2513</v>
      </c>
    </row>
    <row r="58" spans="17:58" ht="27.6" customHeight="1" x14ac:dyDescent="0.25">
      <c r="AM58" s="263" t="s">
        <v>463</v>
      </c>
      <c r="AN58" s="254"/>
      <c r="AO58" s="452">
        <v>2357.4</v>
      </c>
      <c r="AP58" s="440">
        <v>2381.6</v>
      </c>
      <c r="AQ58" s="440">
        <v>2334.5</v>
      </c>
      <c r="AR58" s="440">
        <v>2329.6</v>
      </c>
      <c r="AS58" s="440">
        <v>2341.6999999999998</v>
      </c>
      <c r="AT58" s="440">
        <v>2395.9</v>
      </c>
      <c r="AU58" s="442">
        <v>2478.4</v>
      </c>
      <c r="AV58" s="443">
        <v>2536.9</v>
      </c>
      <c r="AW58" s="443">
        <v>2569.3000000000002</v>
      </c>
      <c r="AX58" s="443">
        <v>2603.9</v>
      </c>
      <c r="AY58" s="443">
        <v>2640.6</v>
      </c>
      <c r="AZ58" s="443">
        <v>2667.4</v>
      </c>
      <c r="BA58" s="443">
        <v>2690.6</v>
      </c>
      <c r="BB58" s="444">
        <v>2713.8</v>
      </c>
      <c r="BC58" s="453"/>
      <c r="BD58" s="453"/>
      <c r="BE58" s="453"/>
      <c r="BF58" s="453"/>
    </row>
    <row r="59" spans="17:58" x14ac:dyDescent="0.25">
      <c r="AM59" s="992" t="s">
        <v>464</v>
      </c>
      <c r="AN59" s="993"/>
      <c r="AO59" s="222"/>
      <c r="AP59" s="226"/>
      <c r="AQ59" s="226"/>
      <c r="AR59" s="226"/>
      <c r="AS59" s="226"/>
      <c r="AT59" s="226"/>
      <c r="AU59" s="359"/>
      <c r="AV59" s="360"/>
      <c r="AW59" s="360"/>
      <c r="AX59" s="360"/>
      <c r="AY59" s="360"/>
      <c r="AZ59" s="360"/>
      <c r="BA59" s="360"/>
      <c r="BB59" s="383"/>
    </row>
    <row r="60" spans="17:58" ht="27.6" customHeight="1" x14ac:dyDescent="0.25">
      <c r="AM60" s="263" t="s">
        <v>461</v>
      </c>
      <c r="AN60" s="254"/>
      <c r="AO60" s="240">
        <f t="shared" ref="AO60:AV60" si="9">AO56-H48</f>
        <v>2088.5120000000002</v>
      </c>
      <c r="AP60" s="227">
        <f t="shared" si="9"/>
        <v>2105.7440000000001</v>
      </c>
      <c r="AQ60" s="227">
        <f t="shared" si="9"/>
        <v>2000.115</v>
      </c>
      <c r="AR60" s="227">
        <f t="shared" si="9"/>
        <v>2051.4499999999998</v>
      </c>
      <c r="AS60" s="227">
        <f t="shared" si="9"/>
        <v>2097.8420000000001</v>
      </c>
      <c r="AT60" s="227">
        <f t="shared" si="9"/>
        <v>2091.8150000000001</v>
      </c>
      <c r="AU60" s="446">
        <f t="shared" si="9"/>
        <v>2075.9809999999998</v>
      </c>
      <c r="AV60" s="196">
        <f t="shared" si="9"/>
        <v>2091.11</v>
      </c>
      <c r="AW60" s="196">
        <f t="shared" ref="AW60:BB60" si="10">AW56-P48</f>
        <v>2078.1151479999999</v>
      </c>
      <c r="AX60" s="196">
        <f t="shared" si="10"/>
        <v>2065.6417252000001</v>
      </c>
      <c r="AY60" s="196">
        <f t="shared" si="10"/>
        <v>2072.8169906616718</v>
      </c>
      <c r="AZ60" s="196">
        <f t="shared" si="10"/>
        <v>2102.4877823202833</v>
      </c>
      <c r="BA60" s="196">
        <f t="shared" si="10"/>
        <v>2121.1948901183664</v>
      </c>
      <c r="BB60" s="158">
        <f t="shared" si="10"/>
        <v>2152.537945561905</v>
      </c>
    </row>
    <row r="61" spans="17:58" ht="27.6" customHeight="1" x14ac:dyDescent="0.25">
      <c r="AM61" s="263" t="s">
        <v>462</v>
      </c>
      <c r="AN61" s="254"/>
      <c r="AO61" s="240">
        <f t="shared" ref="AO61:AV61" si="11">AO57-H48</f>
        <v>2077.5120000000002</v>
      </c>
      <c r="AP61" s="227">
        <f t="shared" si="11"/>
        <v>2096.7440000000001</v>
      </c>
      <c r="AQ61" s="227">
        <f t="shared" si="11"/>
        <v>1925.115</v>
      </c>
      <c r="AR61" s="227">
        <f t="shared" si="11"/>
        <v>1949.45</v>
      </c>
      <c r="AS61" s="227">
        <f t="shared" si="11"/>
        <v>1960.8420000000001</v>
      </c>
      <c r="AT61" s="227">
        <f t="shared" si="11"/>
        <v>1953.8150000000001</v>
      </c>
      <c r="AU61" s="446">
        <f t="shared" si="11"/>
        <v>1936.981</v>
      </c>
      <c r="AV61" s="196">
        <f t="shared" si="11"/>
        <v>1947.1100000000001</v>
      </c>
      <c r="AW61" s="196">
        <f t="shared" ref="AW61:BB61" si="12">AW57-P48</f>
        <v>1929.1151479999999</v>
      </c>
      <c r="AX61" s="196">
        <f t="shared" si="12"/>
        <v>1911.6417252000001</v>
      </c>
      <c r="AY61" s="196">
        <f t="shared" si="12"/>
        <v>1916.8169906616718</v>
      </c>
      <c r="AZ61" s="196">
        <f t="shared" si="12"/>
        <v>1943.487782320283</v>
      </c>
      <c r="BA61" s="196">
        <f t="shared" si="12"/>
        <v>1961.1948901183664</v>
      </c>
      <c r="BB61" s="158">
        <f t="shared" si="12"/>
        <v>1993.537945561905</v>
      </c>
    </row>
    <row r="62" spans="17:58" ht="27.6" customHeight="1" x14ac:dyDescent="0.25">
      <c r="AM62" s="435" t="s">
        <v>463</v>
      </c>
      <c r="AN62" s="454"/>
      <c r="AO62" s="448">
        <f t="shared" ref="AO62:AU62" si="13">AO58-H48</f>
        <v>2077.9120000000003</v>
      </c>
      <c r="AP62" s="439">
        <f t="shared" si="13"/>
        <v>2096.3440000000001</v>
      </c>
      <c r="AQ62" s="439">
        <f t="shared" si="13"/>
        <v>1924.615</v>
      </c>
      <c r="AR62" s="439">
        <f t="shared" si="13"/>
        <v>1949.05</v>
      </c>
      <c r="AS62" s="439">
        <f t="shared" si="13"/>
        <v>1984.5419999999999</v>
      </c>
      <c r="AT62" s="439">
        <f t="shared" si="13"/>
        <v>2010.7150000000001</v>
      </c>
      <c r="AU62" s="449">
        <f t="shared" si="13"/>
        <v>2054.3809999999999</v>
      </c>
      <c r="AV62" s="199">
        <f t="shared" ref="AV62" si="14">AV58-O48</f>
        <v>2105.0100000000002</v>
      </c>
      <c r="AW62" s="199">
        <f t="shared" ref="AW62:BB62" si="15">AW58-P48</f>
        <v>2101.415148</v>
      </c>
      <c r="AX62" s="199">
        <f t="shared" si="15"/>
        <v>2098.5417252000002</v>
      </c>
      <c r="AY62" s="199">
        <f t="shared" si="15"/>
        <v>2118.4169906616717</v>
      </c>
      <c r="AZ62" s="199">
        <f t="shared" si="15"/>
        <v>2148.8877823202829</v>
      </c>
      <c r="BA62" s="199">
        <f t="shared" si="15"/>
        <v>2165.7948901183663</v>
      </c>
      <c r="BB62" s="438">
        <f t="shared" si="15"/>
        <v>2194.3379455619051</v>
      </c>
    </row>
  </sheetData>
  <mergeCells count="39">
    <mergeCell ref="D6:Q6"/>
    <mergeCell ref="R6:AC6"/>
    <mergeCell ref="B1:AC1"/>
    <mergeCell ref="B6:C8"/>
    <mergeCell ref="E7:H7"/>
    <mergeCell ref="I7:L7"/>
    <mergeCell ref="U7:X7"/>
    <mergeCell ref="Y7:AB7"/>
    <mergeCell ref="B2:AC4"/>
    <mergeCell ref="B14:AC14"/>
    <mergeCell ref="B15:AC17"/>
    <mergeCell ref="AO49:AT49"/>
    <mergeCell ref="M7:P7"/>
    <mergeCell ref="R7:T7"/>
    <mergeCell ref="D43:Q43"/>
    <mergeCell ref="R43:AC43"/>
    <mergeCell ref="AX50:BA50"/>
    <mergeCell ref="U20:X20"/>
    <mergeCell ref="U44:X44"/>
    <mergeCell ref="Y20:AB20"/>
    <mergeCell ref="Y44:AB44"/>
    <mergeCell ref="B39:AC41"/>
    <mergeCell ref="B37:AC38"/>
    <mergeCell ref="B43:C45"/>
    <mergeCell ref="I44:L44"/>
    <mergeCell ref="E20:H20"/>
    <mergeCell ref="E44:H44"/>
    <mergeCell ref="AP50:AS50"/>
    <mergeCell ref="B19:C21"/>
    <mergeCell ref="AU49:BB49"/>
    <mergeCell ref="D19:Q19"/>
    <mergeCell ref="R19:AC19"/>
    <mergeCell ref="AU50:AW50"/>
    <mergeCell ref="AM59:AN59"/>
    <mergeCell ref="AM49:AN51"/>
    <mergeCell ref="I20:L20"/>
    <mergeCell ref="M20:P20"/>
    <mergeCell ref="M44:P44"/>
    <mergeCell ref="AM55:AN55"/>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zoomScale="90" zoomScaleNormal="90" workbookViewId="0">
      <selection activeCell="Q24" sqref="Q24"/>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930" t="s">
        <v>52</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2:29" ht="14.65" customHeight="1" x14ac:dyDescent="0.25">
      <c r="B2" s="931" t="s">
        <v>944</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row>
    <row r="3" spans="2:29" ht="14.65" customHeight="1"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row>
    <row r="4" spans="2:29" ht="5.65" customHeight="1"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row>
    <row r="5" spans="2:29" ht="1.5" customHeight="1" x14ac:dyDescent="0.25">
      <c r="B5" s="931"/>
      <c r="C5" s="931"/>
      <c r="D5" s="931"/>
      <c r="E5" s="931"/>
      <c r="F5" s="931"/>
      <c r="G5" s="931"/>
      <c r="H5" s="931"/>
      <c r="I5" s="931"/>
      <c r="J5" s="931"/>
      <c r="K5" s="931"/>
      <c r="L5" s="931"/>
      <c r="M5" s="931"/>
      <c r="N5" s="931"/>
      <c r="O5" s="931"/>
      <c r="P5" s="931"/>
      <c r="Q5" s="931"/>
      <c r="R5" s="931"/>
      <c r="S5" s="931"/>
      <c r="T5" s="931"/>
      <c r="U5" s="931"/>
      <c r="V5" s="931"/>
      <c r="W5" s="931"/>
      <c r="X5" s="931"/>
      <c r="Y5" s="931"/>
      <c r="Z5" s="931"/>
      <c r="AA5" s="931"/>
      <c r="AB5" s="931"/>
      <c r="AC5" s="931"/>
    </row>
    <row r="6" spans="2:29" ht="14.65" customHeight="1" x14ac:dyDescent="0.25">
      <c r="B6" s="931"/>
      <c r="C6" s="931"/>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935" t="s">
        <v>465</v>
      </c>
      <c r="C8" s="936"/>
      <c r="D8" s="945" t="s">
        <v>325</v>
      </c>
      <c r="E8" s="946"/>
      <c r="F8" s="946"/>
      <c r="G8" s="946"/>
      <c r="H8" s="946"/>
      <c r="I8" s="946"/>
      <c r="J8" s="946"/>
      <c r="K8" s="946"/>
      <c r="L8" s="946"/>
      <c r="M8" s="946"/>
      <c r="N8" s="946"/>
      <c r="O8" s="946"/>
      <c r="P8" s="946"/>
      <c r="Q8" s="947"/>
      <c r="R8" s="942" t="s">
        <v>326</v>
      </c>
      <c r="S8" s="943"/>
      <c r="T8" s="943"/>
      <c r="U8" s="943"/>
      <c r="V8" s="943"/>
      <c r="W8" s="943"/>
      <c r="X8" s="943"/>
      <c r="Y8" s="943"/>
      <c r="Z8" s="943"/>
      <c r="AA8" s="943"/>
      <c r="AB8" s="943"/>
      <c r="AC8" s="944"/>
    </row>
    <row r="9" spans="2:29" x14ac:dyDescent="0.25">
      <c r="B9" s="937"/>
      <c r="C9" s="938"/>
      <c r="D9" s="180">
        <v>2018</v>
      </c>
      <c r="E9" s="976">
        <v>2019</v>
      </c>
      <c r="F9" s="977"/>
      <c r="G9" s="977"/>
      <c r="H9" s="978"/>
      <c r="I9" s="976">
        <v>2020</v>
      </c>
      <c r="J9" s="977"/>
      <c r="K9" s="977"/>
      <c r="L9" s="977"/>
      <c r="M9" s="976">
        <v>2021</v>
      </c>
      <c r="N9" s="977"/>
      <c r="O9" s="977"/>
      <c r="P9" s="977"/>
      <c r="Q9" s="172"/>
      <c r="R9" s="171">
        <v>2022</v>
      </c>
      <c r="S9" s="171"/>
      <c r="T9" s="431"/>
      <c r="U9" s="939">
        <v>2023</v>
      </c>
      <c r="V9" s="940"/>
      <c r="W9" s="940"/>
      <c r="X9" s="940"/>
      <c r="Y9" s="939">
        <v>2024</v>
      </c>
      <c r="Z9" s="940"/>
      <c r="AA9" s="940"/>
      <c r="AB9" s="941"/>
      <c r="AC9" s="185">
        <v>2025</v>
      </c>
    </row>
    <row r="10" spans="2:29" x14ac:dyDescent="0.25">
      <c r="B10" s="974"/>
      <c r="C10" s="975"/>
      <c r="D10" s="180" t="s">
        <v>327</v>
      </c>
      <c r="E10" s="180" t="s">
        <v>328</v>
      </c>
      <c r="F10" s="177" t="s">
        <v>329</v>
      </c>
      <c r="G10" s="177" t="s">
        <v>238</v>
      </c>
      <c r="H10" s="179" t="s">
        <v>327</v>
      </c>
      <c r="I10" s="177" t="s">
        <v>328</v>
      </c>
      <c r="J10" s="177" t="s">
        <v>329</v>
      </c>
      <c r="K10" s="177" t="s">
        <v>238</v>
      </c>
      <c r="L10" s="177" t="s">
        <v>327</v>
      </c>
      <c r="M10" s="180" t="s">
        <v>328</v>
      </c>
      <c r="N10" s="177" t="s">
        <v>329</v>
      </c>
      <c r="O10" s="177" t="s">
        <v>238</v>
      </c>
      <c r="P10" s="177" t="s">
        <v>327</v>
      </c>
      <c r="Q10" s="173" t="s">
        <v>328</v>
      </c>
      <c r="R10" s="360" t="s">
        <v>329</v>
      </c>
      <c r="S10" s="360" t="s">
        <v>238</v>
      </c>
      <c r="T10" s="360" t="s">
        <v>327</v>
      </c>
      <c r="U10" s="359" t="s">
        <v>328</v>
      </c>
      <c r="V10" s="360" t="s">
        <v>329</v>
      </c>
      <c r="W10" s="360" t="s">
        <v>238</v>
      </c>
      <c r="X10" s="360" t="s">
        <v>327</v>
      </c>
      <c r="Y10" s="359" t="s">
        <v>328</v>
      </c>
      <c r="Z10" s="196" t="s">
        <v>329</v>
      </c>
      <c r="AA10" s="360" t="s">
        <v>238</v>
      </c>
      <c r="AB10" s="383" t="s">
        <v>327</v>
      </c>
      <c r="AC10" s="400" t="s">
        <v>328</v>
      </c>
    </row>
    <row r="11" spans="2:29" x14ac:dyDescent="0.25">
      <c r="B11" s="425" t="s">
        <v>951</v>
      </c>
      <c r="C11" s="69" t="s">
        <v>591</v>
      </c>
      <c r="D11" s="475"/>
      <c r="E11" s="476"/>
      <c r="F11" s="505">
        <v>60.5</v>
      </c>
      <c r="G11" s="505">
        <v>81.400000000000006</v>
      </c>
      <c r="H11" s="505">
        <f>'Haver Pivoted'!GS42</f>
        <v>82.2</v>
      </c>
      <c r="I11" s="505">
        <f>'Haver Pivoted'!GT42</f>
        <v>80.3</v>
      </c>
      <c r="J11" s="505">
        <f>'Haver Pivoted'!GU42</f>
        <v>1123.5999999999999</v>
      </c>
      <c r="K11" s="505">
        <f>'Haver Pivoted'!GV42</f>
        <v>1220.5</v>
      </c>
      <c r="L11" s="505">
        <f>'Haver Pivoted'!GW42</f>
        <v>618.6</v>
      </c>
      <c r="M11" s="505">
        <f>'Haver Pivoted'!GX42</f>
        <v>403.8</v>
      </c>
      <c r="N11" s="505">
        <f>'Haver Pivoted'!GY42</f>
        <v>697</v>
      </c>
      <c r="O11" s="505">
        <f>'Haver Pivoted'!GZ42</f>
        <v>554.5</v>
      </c>
      <c r="P11" s="505">
        <f>'Haver Pivoted'!HA42</f>
        <v>304.7</v>
      </c>
      <c r="Q11" s="366">
        <f>'Haver Pivoted'!HB42</f>
        <v>149.4</v>
      </c>
      <c r="R11" s="504">
        <f t="shared" ref="R11:AC11" si="0">R12+R13</f>
        <v>127.99337802607077</v>
      </c>
      <c r="S11" s="504">
        <f t="shared" si="0"/>
        <v>98.012</v>
      </c>
      <c r="T11" s="504">
        <f t="shared" si="0"/>
        <v>84.986000000000004</v>
      </c>
      <c r="U11" s="504">
        <f t="shared" si="0"/>
        <v>84.986000000000004</v>
      </c>
      <c r="V11" s="504">
        <f t="shared" si="0"/>
        <v>84.986000000000004</v>
      </c>
      <c r="W11" s="504">
        <f t="shared" si="0"/>
        <v>84.986000000000004</v>
      </c>
      <c r="X11" s="504">
        <f t="shared" si="0"/>
        <v>76.300000000000011</v>
      </c>
      <c r="Y11" s="504">
        <f t="shared" si="0"/>
        <v>76.300000000000011</v>
      </c>
      <c r="Z11" s="504">
        <f t="shared" si="0"/>
        <v>76.300000000000011</v>
      </c>
      <c r="AA11" s="504">
        <f t="shared" si="0"/>
        <v>76.300000000000011</v>
      </c>
      <c r="AB11" s="504">
        <f t="shared" si="0"/>
        <v>76.100000000000009</v>
      </c>
      <c r="AC11" s="489">
        <f t="shared" si="0"/>
        <v>76.100000000000009</v>
      </c>
    </row>
    <row r="12" spans="2:29" ht="16.5" customHeight="1" x14ac:dyDescent="0.25">
      <c r="B12" s="417" t="s">
        <v>466</v>
      </c>
      <c r="C12" s="69"/>
      <c r="D12" s="425"/>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366">
        <f>Q11-Q13</f>
        <v>79</v>
      </c>
      <c r="R12" s="334">
        <f t="shared" ref="R12:AC12" si="2">AVERAGE($F$11:$I$11)</f>
        <v>76.100000000000009</v>
      </c>
      <c r="S12" s="334">
        <f t="shared" si="2"/>
        <v>76.100000000000009</v>
      </c>
      <c r="T12" s="334">
        <f t="shared" si="2"/>
        <v>76.100000000000009</v>
      </c>
      <c r="U12" s="334">
        <f t="shared" si="2"/>
        <v>76.100000000000009</v>
      </c>
      <c r="V12" s="334">
        <f t="shared" si="2"/>
        <v>76.100000000000009</v>
      </c>
      <c r="W12" s="334">
        <f t="shared" si="2"/>
        <v>76.100000000000009</v>
      </c>
      <c r="X12" s="334">
        <f t="shared" si="2"/>
        <v>76.100000000000009</v>
      </c>
      <c r="Y12" s="334">
        <f t="shared" si="2"/>
        <v>76.100000000000009</v>
      </c>
      <c r="Z12" s="334">
        <f t="shared" si="2"/>
        <v>76.100000000000009</v>
      </c>
      <c r="AA12" s="334">
        <f t="shared" si="2"/>
        <v>76.100000000000009</v>
      </c>
      <c r="AB12" s="334">
        <f t="shared" si="2"/>
        <v>76.100000000000009</v>
      </c>
      <c r="AC12" s="403">
        <f t="shared" si="2"/>
        <v>76.100000000000009</v>
      </c>
    </row>
    <row r="13" spans="2:29" x14ac:dyDescent="0.25">
      <c r="B13" s="416" t="s">
        <v>467</v>
      </c>
      <c r="C13" s="69"/>
      <c r="D13" s="425"/>
      <c r="E13" s="69"/>
      <c r="F13" s="511"/>
      <c r="G13" s="511"/>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319">
        <f t="shared" si="3"/>
        <v>70.400000000000006</v>
      </c>
      <c r="R13" s="334">
        <f t="shared" si="3"/>
        <v>51.893378026070764</v>
      </c>
      <c r="S13" s="334">
        <f t="shared" si="3"/>
        <v>21.911999999999999</v>
      </c>
      <c r="T13" s="334">
        <f t="shared" si="3"/>
        <v>8.886000000000001</v>
      </c>
      <c r="U13" s="334">
        <f t="shared" si="3"/>
        <v>8.886000000000001</v>
      </c>
      <c r="V13" s="334">
        <f t="shared" si="3"/>
        <v>8.886000000000001</v>
      </c>
      <c r="W13" s="334">
        <f t="shared" si="3"/>
        <v>8.886000000000001</v>
      </c>
      <c r="X13" s="334">
        <f t="shared" si="3"/>
        <v>0.2</v>
      </c>
      <c r="Y13" s="334">
        <f t="shared" si="3"/>
        <v>0.2</v>
      </c>
      <c r="Z13" s="334">
        <f t="shared" si="3"/>
        <v>0.2</v>
      </c>
      <c r="AA13" s="334">
        <f t="shared" si="3"/>
        <v>0.2</v>
      </c>
      <c r="AB13" s="334">
        <f t="shared" si="3"/>
        <v>0</v>
      </c>
      <c r="AC13" s="403">
        <f t="shared" si="3"/>
        <v>0</v>
      </c>
    </row>
    <row r="14" spans="2:29" x14ac:dyDescent="0.25">
      <c r="B14" s="414" t="s">
        <v>50</v>
      </c>
      <c r="C14" s="70" t="s">
        <v>377</v>
      </c>
      <c r="D14" s="332"/>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366">
        <f>'Haver Pivoted'!HB49</f>
        <v>0</v>
      </c>
      <c r="R14" s="334"/>
      <c r="S14" s="334"/>
      <c r="T14" s="334"/>
      <c r="U14" s="334"/>
      <c r="V14" s="334"/>
      <c r="W14" s="334"/>
      <c r="X14" s="334"/>
      <c r="Y14" s="334"/>
      <c r="Z14" s="490"/>
      <c r="AA14" s="490"/>
      <c r="AB14" s="490"/>
      <c r="AC14" s="498"/>
    </row>
    <row r="15" spans="2:29" x14ac:dyDescent="0.25">
      <c r="B15" s="416" t="s">
        <v>468</v>
      </c>
      <c r="C15" s="69"/>
      <c r="D15" s="425"/>
      <c r="E15" s="69"/>
      <c r="F15" s="511"/>
      <c r="G15" s="511"/>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366">
        <f t="shared" si="4"/>
        <v>70.400000000000006</v>
      </c>
      <c r="R15" s="491">
        <f t="shared" si="4"/>
        <v>51.893378026070764</v>
      </c>
      <c r="S15" s="491">
        <f t="shared" si="4"/>
        <v>21.911999999999999</v>
      </c>
      <c r="T15" s="491">
        <f t="shared" si="4"/>
        <v>8.886000000000001</v>
      </c>
      <c r="U15" s="491">
        <f t="shared" si="4"/>
        <v>8.886000000000001</v>
      </c>
      <c r="V15" s="491">
        <f t="shared" si="4"/>
        <v>8.886000000000001</v>
      </c>
      <c r="W15" s="491">
        <f t="shared" si="4"/>
        <v>8.886000000000001</v>
      </c>
      <c r="X15" s="491">
        <f t="shared" si="4"/>
        <v>0.2</v>
      </c>
      <c r="Y15" s="491">
        <f t="shared" si="4"/>
        <v>0.2</v>
      </c>
      <c r="Z15" s="491">
        <f t="shared" si="4"/>
        <v>0.2</v>
      </c>
      <c r="AA15" s="491">
        <f t="shared" si="4"/>
        <v>0.2</v>
      </c>
      <c r="AB15" s="491">
        <f t="shared" si="4"/>
        <v>0</v>
      </c>
      <c r="AC15" s="509">
        <f t="shared" si="4"/>
        <v>0</v>
      </c>
    </row>
    <row r="16" spans="2:29" x14ac:dyDescent="0.25">
      <c r="B16" s="477" t="s">
        <v>145</v>
      </c>
      <c r="C16" s="51" t="s">
        <v>469</v>
      </c>
      <c r="D16" s="331"/>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366">
        <f>'Haver Pivoted'!HB53</f>
        <v>0.6</v>
      </c>
      <c r="R16" s="334"/>
      <c r="S16" s="334"/>
      <c r="T16" s="334"/>
      <c r="U16" s="334"/>
      <c r="V16" s="492"/>
      <c r="W16" s="492"/>
      <c r="X16" s="492"/>
      <c r="Y16" s="492"/>
      <c r="Z16" s="490"/>
      <c r="AA16" s="490"/>
      <c r="AB16" s="490"/>
      <c r="AC16" s="498"/>
    </row>
    <row r="17" spans="2:29" x14ac:dyDescent="0.25">
      <c r="B17" s="477" t="s">
        <v>143</v>
      </c>
      <c r="C17" s="51" t="s">
        <v>470</v>
      </c>
      <c r="D17" s="331"/>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366">
        <f>'Haver Pivoted'!HB51</f>
        <v>0</v>
      </c>
      <c r="R17" s="334">
        <f>Q17</f>
        <v>0</v>
      </c>
      <c r="S17" s="334">
        <f t="shared" ref="S17:AC17" si="5">R17</f>
        <v>0</v>
      </c>
      <c r="T17" s="334">
        <f t="shared" si="5"/>
        <v>0</v>
      </c>
      <c r="U17" s="334">
        <f t="shared" si="5"/>
        <v>0</v>
      </c>
      <c r="V17" s="334">
        <f t="shared" si="5"/>
        <v>0</v>
      </c>
      <c r="W17" s="334">
        <f t="shared" si="5"/>
        <v>0</v>
      </c>
      <c r="X17" s="334">
        <f t="shared" si="5"/>
        <v>0</v>
      </c>
      <c r="Y17" s="334">
        <f t="shared" si="5"/>
        <v>0</v>
      </c>
      <c r="Z17" s="334">
        <f t="shared" si="5"/>
        <v>0</v>
      </c>
      <c r="AA17" s="334">
        <f t="shared" si="5"/>
        <v>0</v>
      </c>
      <c r="AB17" s="334">
        <f t="shared" si="5"/>
        <v>0</v>
      </c>
      <c r="AC17" s="334">
        <f t="shared" si="5"/>
        <v>0</v>
      </c>
    </row>
    <row r="18" spans="2:29" x14ac:dyDescent="0.25">
      <c r="B18" s="477" t="s">
        <v>142</v>
      </c>
      <c r="C18" s="70" t="s">
        <v>471</v>
      </c>
      <c r="D18" s="332"/>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366">
        <f>'Haver Pivoted'!HB50</f>
        <v>0.3</v>
      </c>
      <c r="R18" s="334">
        <f t="shared" ref="R18:AC18" si="6">R28</f>
        <v>0</v>
      </c>
      <c r="S18" s="334">
        <f t="shared" si="6"/>
        <v>0</v>
      </c>
      <c r="T18" s="334">
        <f t="shared" si="6"/>
        <v>0</v>
      </c>
      <c r="U18" s="334">
        <f t="shared" si="6"/>
        <v>0</v>
      </c>
      <c r="V18" s="334">
        <f t="shared" si="6"/>
        <v>0</v>
      </c>
      <c r="W18" s="334">
        <f t="shared" si="6"/>
        <v>0</v>
      </c>
      <c r="X18" s="334">
        <f t="shared" si="6"/>
        <v>0</v>
      </c>
      <c r="Y18" s="334">
        <f t="shared" si="6"/>
        <v>0</v>
      </c>
      <c r="Z18" s="334">
        <f t="shared" si="6"/>
        <v>0</v>
      </c>
      <c r="AA18" s="334">
        <f t="shared" si="6"/>
        <v>0</v>
      </c>
      <c r="AB18" s="334">
        <f t="shared" si="6"/>
        <v>0</v>
      </c>
      <c r="AC18" s="403">
        <f t="shared" si="6"/>
        <v>0</v>
      </c>
    </row>
    <row r="19" spans="2:29" x14ac:dyDescent="0.25">
      <c r="B19" s="477" t="s">
        <v>472</v>
      </c>
      <c r="C19" s="70" t="s">
        <v>357</v>
      </c>
      <c r="D19" s="332"/>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366">
        <f>'Haver Pivoted'!HB54</f>
        <v>32.200000000000003</v>
      </c>
      <c r="R19" s="334">
        <f>'Provider Relief'!R13</f>
        <v>29.981378026070765</v>
      </c>
      <c r="S19" s="334">
        <f>'Provider Relief'!S13</f>
        <v>0</v>
      </c>
      <c r="T19" s="334">
        <f>'Provider Relief'!T13</f>
        <v>0</v>
      </c>
      <c r="U19" s="334"/>
      <c r="V19" s="334"/>
      <c r="W19" s="334"/>
      <c r="X19" s="334"/>
      <c r="Y19" s="334"/>
      <c r="Z19" s="490"/>
      <c r="AA19" s="490"/>
      <c r="AB19" s="490"/>
      <c r="AC19" s="498"/>
    </row>
    <row r="20" spans="2:29" x14ac:dyDescent="0.25">
      <c r="B20" s="477" t="s">
        <v>144</v>
      </c>
      <c r="C20" s="70" t="s">
        <v>473</v>
      </c>
      <c r="D20" s="332"/>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366">
        <f>'Haver Pivoted'!HB52</f>
        <v>18.600000000000001</v>
      </c>
      <c r="R20" s="334">
        <f t="shared" ref="R20:AC20" si="7">R35</f>
        <v>5.6120000000000001</v>
      </c>
      <c r="S20" s="334">
        <f t="shared" si="7"/>
        <v>5.6120000000000001</v>
      </c>
      <c r="T20" s="334">
        <f t="shared" si="7"/>
        <v>0.48599999999999993</v>
      </c>
      <c r="U20" s="334">
        <f t="shared" si="7"/>
        <v>0.48599999999999993</v>
      </c>
      <c r="V20" s="334">
        <f t="shared" si="7"/>
        <v>0.48599999999999993</v>
      </c>
      <c r="W20" s="334">
        <f t="shared" si="7"/>
        <v>0.48599999999999993</v>
      </c>
      <c r="X20" s="334">
        <f t="shared" si="7"/>
        <v>0</v>
      </c>
      <c r="Y20" s="334">
        <f t="shared" si="7"/>
        <v>0</v>
      </c>
      <c r="Z20" s="334">
        <f t="shared" si="7"/>
        <v>0</v>
      </c>
      <c r="AA20" s="334">
        <f t="shared" si="7"/>
        <v>0</v>
      </c>
      <c r="AB20" s="334">
        <f t="shared" si="7"/>
        <v>0</v>
      </c>
      <c r="AC20" s="403">
        <f t="shared" si="7"/>
        <v>0</v>
      </c>
    </row>
    <row r="21" spans="2:29" x14ac:dyDescent="0.25">
      <c r="B21" s="477" t="s">
        <v>148</v>
      </c>
      <c r="C21" s="70" t="s">
        <v>474</v>
      </c>
      <c r="D21" s="332"/>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366">
        <f>'Haver Pivoted'!HB55</f>
        <v>0</v>
      </c>
      <c r="R21" s="334">
        <f>Q21</f>
        <v>0</v>
      </c>
      <c r="S21" s="334">
        <f t="shared" ref="S21:AC21" si="8">R21</f>
        <v>0</v>
      </c>
      <c r="T21" s="334">
        <f t="shared" si="8"/>
        <v>0</v>
      </c>
      <c r="U21" s="334">
        <f t="shared" si="8"/>
        <v>0</v>
      </c>
      <c r="V21" s="334">
        <f t="shared" si="8"/>
        <v>0</v>
      </c>
      <c r="W21" s="334">
        <f t="shared" si="8"/>
        <v>0</v>
      </c>
      <c r="X21" s="334">
        <f t="shared" si="8"/>
        <v>0</v>
      </c>
      <c r="Y21" s="334">
        <f t="shared" si="8"/>
        <v>0</v>
      </c>
      <c r="Z21" s="334">
        <f t="shared" si="8"/>
        <v>0</v>
      </c>
      <c r="AA21" s="334">
        <f t="shared" si="8"/>
        <v>0</v>
      </c>
      <c r="AB21" s="334">
        <f t="shared" si="8"/>
        <v>0</v>
      </c>
      <c r="AC21" s="334">
        <f t="shared" si="8"/>
        <v>0</v>
      </c>
    </row>
    <row r="22" spans="2:29" x14ac:dyDescent="0.25">
      <c r="B22" s="477" t="s">
        <v>475</v>
      </c>
      <c r="C22" s="70" t="s">
        <v>859</v>
      </c>
      <c r="D22" s="330"/>
      <c r="E22" s="68"/>
      <c r="F22" s="68"/>
      <c r="G22" s="68"/>
      <c r="H22" s="68"/>
      <c r="I22" s="68"/>
      <c r="J22" s="68"/>
      <c r="K22" s="68"/>
      <c r="L22" s="68"/>
      <c r="M22" s="68"/>
      <c r="N22" s="68">
        <f>'Haver Pivoted'!GY87</f>
        <v>11.3</v>
      </c>
      <c r="O22" s="68">
        <f>'Haver Pivoted'!GZ87</f>
        <v>10.4</v>
      </c>
      <c r="P22" s="68">
        <f>'Haver Pivoted'!HA87</f>
        <v>5.3</v>
      </c>
      <c r="Q22" s="366">
        <f>'Haver Pivoted'!HB87</f>
        <v>2.4</v>
      </c>
      <c r="R22" s="334">
        <v>0</v>
      </c>
      <c r="S22" s="334">
        <v>0</v>
      </c>
      <c r="T22" s="334">
        <v>0</v>
      </c>
      <c r="U22" s="334">
        <v>0</v>
      </c>
      <c r="V22" s="334">
        <v>0</v>
      </c>
      <c r="W22" s="334">
        <v>0</v>
      </c>
      <c r="X22" s="334">
        <v>0</v>
      </c>
      <c r="Y22" s="334">
        <v>0</v>
      </c>
      <c r="Z22" s="334">
        <v>0</v>
      </c>
      <c r="AA22" s="334">
        <v>0</v>
      </c>
      <c r="AB22" s="334">
        <v>0</v>
      </c>
      <c r="AC22" s="334">
        <v>0</v>
      </c>
    </row>
    <row r="23" spans="2:29" x14ac:dyDescent="0.25">
      <c r="B23" s="477" t="s">
        <v>476</v>
      </c>
      <c r="C23" s="70" t="s">
        <v>858</v>
      </c>
      <c r="D23" s="332"/>
      <c r="E23" s="70"/>
      <c r="F23" s="68"/>
      <c r="G23" s="478"/>
      <c r="H23" s="68"/>
      <c r="I23" s="68"/>
      <c r="J23" s="68"/>
      <c r="K23" s="68"/>
      <c r="L23" s="68"/>
      <c r="M23" s="68"/>
      <c r="N23" s="68">
        <f>'Haver Pivoted'!GY86</f>
        <v>21.4</v>
      </c>
      <c r="O23" s="68">
        <f>'Haver Pivoted'!GZ86</f>
        <v>57</v>
      </c>
      <c r="P23" s="68">
        <f>'Haver Pivoted'!HA86</f>
        <v>35.5</v>
      </c>
      <c r="Q23" s="366">
        <f>'Haver Pivoted'!HB86</f>
        <v>0</v>
      </c>
      <c r="R23" s="334">
        <f>Q23</f>
        <v>0</v>
      </c>
      <c r="S23" s="334">
        <f t="shared" ref="S23:AC23" si="9">R23</f>
        <v>0</v>
      </c>
      <c r="T23" s="334">
        <f t="shared" si="9"/>
        <v>0</v>
      </c>
      <c r="U23" s="334">
        <f t="shared" si="9"/>
        <v>0</v>
      </c>
      <c r="V23" s="334">
        <f t="shared" si="9"/>
        <v>0</v>
      </c>
      <c r="W23" s="334">
        <f t="shared" si="9"/>
        <v>0</v>
      </c>
      <c r="X23" s="334">
        <f t="shared" si="9"/>
        <v>0</v>
      </c>
      <c r="Y23" s="334">
        <f t="shared" si="9"/>
        <v>0</v>
      </c>
      <c r="Z23" s="334">
        <f t="shared" si="9"/>
        <v>0</v>
      </c>
      <c r="AA23" s="334">
        <f t="shared" si="9"/>
        <v>0</v>
      </c>
      <c r="AB23" s="334">
        <f t="shared" si="9"/>
        <v>0</v>
      </c>
      <c r="AC23" s="334">
        <f t="shared" si="9"/>
        <v>0</v>
      </c>
    </row>
    <row r="24" spans="2:29" x14ac:dyDescent="0.25">
      <c r="B24" s="477" t="s">
        <v>477</v>
      </c>
      <c r="C24" s="70"/>
      <c r="D24" s="332"/>
      <c r="E24" s="70"/>
      <c r="F24" s="68"/>
      <c r="G24" s="68"/>
      <c r="H24" s="68"/>
      <c r="I24" s="68"/>
      <c r="J24" s="68"/>
      <c r="K24" s="68"/>
      <c r="L24" s="68"/>
      <c r="M24" s="68"/>
      <c r="N24" s="68"/>
      <c r="O24" s="71">
        <f>O39+O40</f>
        <v>12.51648</v>
      </c>
      <c r="P24" s="71">
        <f>P39+P40</f>
        <v>11.3</v>
      </c>
      <c r="Q24" s="319">
        <f t="shared" ref="Q24:AC24" si="10">Q39+Q40</f>
        <v>11.3</v>
      </c>
      <c r="R24" s="334">
        <f t="shared" si="10"/>
        <v>11.3</v>
      </c>
      <c r="S24" s="334">
        <f t="shared" si="10"/>
        <v>11.3</v>
      </c>
      <c r="T24" s="334">
        <f t="shared" si="10"/>
        <v>8.4</v>
      </c>
      <c r="U24" s="334">
        <f t="shared" si="10"/>
        <v>8.4</v>
      </c>
      <c r="V24" s="334">
        <f t="shared" si="10"/>
        <v>8.4</v>
      </c>
      <c r="W24" s="334">
        <f t="shared" si="10"/>
        <v>8.4</v>
      </c>
      <c r="X24" s="334">
        <f t="shared" si="10"/>
        <v>0.2</v>
      </c>
      <c r="Y24" s="334">
        <f t="shared" si="10"/>
        <v>0.2</v>
      </c>
      <c r="Z24" s="334">
        <f t="shared" si="10"/>
        <v>0.2</v>
      </c>
      <c r="AA24" s="334">
        <f t="shared" si="10"/>
        <v>0.2</v>
      </c>
      <c r="AB24" s="334">
        <f t="shared" si="10"/>
        <v>0</v>
      </c>
      <c r="AC24" s="403">
        <f t="shared" si="10"/>
        <v>0</v>
      </c>
    </row>
    <row r="25" spans="2:29" x14ac:dyDescent="0.25">
      <c r="B25" s="477" t="s">
        <v>478</v>
      </c>
      <c r="C25" s="70"/>
      <c r="D25" s="332"/>
      <c r="E25" s="70"/>
      <c r="F25" s="71"/>
      <c r="G25" s="71"/>
      <c r="H25" s="169"/>
      <c r="I25" s="169"/>
      <c r="J25" s="169"/>
      <c r="K25" s="169"/>
      <c r="L25" s="169"/>
      <c r="M25" s="169"/>
      <c r="N25" s="71"/>
      <c r="O25" s="71">
        <f>O32</f>
        <v>12</v>
      </c>
      <c r="P25" s="71">
        <v>25</v>
      </c>
      <c r="Q25" s="319">
        <v>5</v>
      </c>
      <c r="R25" s="403">
        <v>5</v>
      </c>
      <c r="S25" s="403">
        <v>5</v>
      </c>
      <c r="T25" s="506">
        <f t="shared" ref="T25:AC25" si="11">T32</f>
        <v>0</v>
      </c>
      <c r="U25" s="506">
        <f t="shared" si="11"/>
        <v>0</v>
      </c>
      <c r="V25" s="506">
        <f t="shared" si="11"/>
        <v>0</v>
      </c>
      <c r="W25" s="506">
        <f t="shared" si="11"/>
        <v>0</v>
      </c>
      <c r="X25" s="506">
        <f t="shared" si="11"/>
        <v>0</v>
      </c>
      <c r="Y25" s="506">
        <f t="shared" si="11"/>
        <v>0</v>
      </c>
      <c r="Z25" s="506">
        <f t="shared" si="11"/>
        <v>0</v>
      </c>
      <c r="AA25" s="506">
        <f t="shared" si="11"/>
        <v>0</v>
      </c>
      <c r="AB25" s="506">
        <f t="shared" si="11"/>
        <v>0</v>
      </c>
      <c r="AC25" s="508">
        <f t="shared" si="11"/>
        <v>0</v>
      </c>
    </row>
    <row r="26" spans="2:29" ht="15" customHeight="1" x14ac:dyDescent="0.25">
      <c r="B26" s="1007" t="s">
        <v>479</v>
      </c>
      <c r="C26" s="1008"/>
      <c r="D26" s="424"/>
      <c r="E26" s="479"/>
      <c r="F26" s="479"/>
      <c r="G26" s="479"/>
      <c r="H26" s="71"/>
      <c r="I26" s="71"/>
      <c r="J26" s="71"/>
      <c r="K26" s="71"/>
      <c r="L26" s="71"/>
      <c r="M26" s="71"/>
      <c r="N26" s="71"/>
      <c r="O26" s="71"/>
      <c r="P26" s="496"/>
      <c r="Q26" s="319"/>
      <c r="R26" s="334"/>
      <c r="S26" s="334"/>
      <c r="T26" s="334"/>
      <c r="U26" s="334"/>
      <c r="V26" s="490"/>
      <c r="W26" s="490"/>
      <c r="X26" s="490"/>
      <c r="Y26" s="490"/>
      <c r="Z26" s="490"/>
      <c r="AA26" s="490"/>
      <c r="AB26" s="490"/>
      <c r="AC26" s="498"/>
    </row>
    <row r="27" spans="2:29" x14ac:dyDescent="0.25">
      <c r="B27" s="416" t="s">
        <v>480</v>
      </c>
      <c r="C27" s="254"/>
      <c r="D27" s="263"/>
      <c r="E27" s="254"/>
      <c r="F27" s="169"/>
      <c r="G27" s="169"/>
      <c r="H27" s="71"/>
      <c r="I27" s="71"/>
      <c r="J27" s="71"/>
      <c r="K27" s="71"/>
      <c r="L27" s="71"/>
      <c r="M27" s="71"/>
      <c r="N27" s="71">
        <f>SUM(N28:N32)</f>
        <v>23</v>
      </c>
      <c r="O27" s="71">
        <f>SUM(O28:O32)</f>
        <v>162</v>
      </c>
      <c r="P27" s="71"/>
      <c r="Q27" s="319"/>
      <c r="R27" s="334"/>
      <c r="S27" s="334"/>
      <c r="T27" s="334"/>
      <c r="U27" s="334"/>
      <c r="V27" s="490"/>
      <c r="W27" s="490"/>
      <c r="X27" s="490"/>
      <c r="Y27" s="490"/>
      <c r="Z27" s="490"/>
      <c r="AA27" s="490"/>
      <c r="AB27" s="490"/>
      <c r="AC27" s="498"/>
    </row>
    <row r="28" spans="2:29" x14ac:dyDescent="0.25">
      <c r="B28" s="414" t="s">
        <v>481</v>
      </c>
      <c r="C28" s="254"/>
      <c r="D28" s="263"/>
      <c r="E28" s="254"/>
      <c r="F28" s="169"/>
      <c r="G28" s="169"/>
      <c r="H28" s="71"/>
      <c r="I28" s="71"/>
      <c r="J28" s="71"/>
      <c r="K28" s="71"/>
      <c r="L28" s="480"/>
      <c r="M28" s="71"/>
      <c r="N28" s="71">
        <f>(4*'Response and Relief Act Score'!$F$15-$M$18)/2</f>
        <v>11</v>
      </c>
      <c r="O28" s="71">
        <f>(4*'Response and Relief Act Score'!$F$15-$M$18)/2</f>
        <v>11</v>
      </c>
      <c r="P28" s="71"/>
      <c r="Q28" s="319"/>
      <c r="R28" s="334"/>
      <c r="S28" s="334"/>
      <c r="T28" s="334"/>
      <c r="U28" s="334"/>
      <c r="V28" s="490"/>
      <c r="W28" s="490"/>
      <c r="X28" s="490"/>
      <c r="Y28" s="490"/>
      <c r="Z28" s="490"/>
      <c r="AA28" s="490"/>
      <c r="AB28" s="490"/>
      <c r="AC28" s="498"/>
    </row>
    <row r="29" spans="2:29" x14ac:dyDescent="0.25">
      <c r="B29" s="414" t="s">
        <v>478</v>
      </c>
      <c r="C29" s="254"/>
      <c r="D29" s="263"/>
      <c r="E29" s="254"/>
      <c r="F29" s="169"/>
      <c r="G29" s="169"/>
      <c r="H29" s="71"/>
      <c r="I29" s="71"/>
      <c r="J29" s="71"/>
      <c r="K29" s="71"/>
      <c r="L29" s="480"/>
      <c r="M29" s="71"/>
      <c r="N29" s="71"/>
      <c r="O29" s="71"/>
      <c r="P29" s="71"/>
      <c r="Q29" s="319"/>
      <c r="R29" s="334"/>
      <c r="S29" s="334"/>
      <c r="T29" s="334"/>
      <c r="U29" s="334"/>
      <c r="V29" s="490"/>
      <c r="W29" s="490"/>
      <c r="X29" s="490"/>
      <c r="Y29" s="490"/>
      <c r="Z29" s="490"/>
      <c r="AA29" s="490"/>
      <c r="AB29" s="490"/>
      <c r="AC29" s="498"/>
    </row>
    <row r="30" spans="2:29" x14ac:dyDescent="0.25">
      <c r="B30" s="499" t="s">
        <v>475</v>
      </c>
      <c r="C30" s="254"/>
      <c r="D30" s="263"/>
      <c r="E30" s="254"/>
      <c r="F30" s="169"/>
      <c r="G30" s="169"/>
      <c r="H30" s="71"/>
      <c r="I30" s="71"/>
      <c r="J30" s="71"/>
      <c r="K30" s="71"/>
      <c r="L30" s="71"/>
      <c r="M30" s="71"/>
      <c r="N30" s="71"/>
      <c r="O30" s="71">
        <v>79</v>
      </c>
      <c r="P30" s="71"/>
      <c r="Q30" s="421"/>
      <c r="R30" s="408"/>
      <c r="S30" s="408"/>
      <c r="T30" s="408"/>
      <c r="U30" s="408"/>
      <c r="V30" s="490"/>
      <c r="W30" s="490"/>
      <c r="X30" s="490"/>
      <c r="Y30" s="490"/>
      <c r="Z30" s="490"/>
      <c r="AA30" s="490"/>
      <c r="AB30" s="490"/>
      <c r="AC30" s="498"/>
    </row>
    <row r="31" spans="2:29" x14ac:dyDescent="0.25">
      <c r="B31" s="500" t="s">
        <v>482</v>
      </c>
      <c r="C31" s="254"/>
      <c r="D31" s="263"/>
      <c r="E31" s="254"/>
      <c r="F31" s="169"/>
      <c r="G31" s="169"/>
      <c r="H31" s="71"/>
      <c r="I31" s="71"/>
      <c r="J31" s="71"/>
      <c r="K31" s="71"/>
      <c r="L31" s="71"/>
      <c r="M31" s="71"/>
      <c r="N31" s="71"/>
      <c r="O31" s="71">
        <f>'Response and Relief Act Score'!F13*4</f>
        <v>60</v>
      </c>
      <c r="P31" s="71"/>
      <c r="Q31" s="421"/>
      <c r="R31" s="408"/>
      <c r="S31" s="408"/>
      <c r="T31" s="408"/>
      <c r="U31" s="408"/>
      <c r="V31" s="490"/>
      <c r="W31" s="490"/>
      <c r="X31" s="490"/>
      <c r="Y31" s="490"/>
      <c r="Z31" s="490"/>
      <c r="AA31" s="490"/>
      <c r="AB31" s="490"/>
      <c r="AC31" s="498"/>
    </row>
    <row r="32" spans="2:29" ht="27.6" customHeight="1" x14ac:dyDescent="0.25">
      <c r="B32" s="500" t="s">
        <v>483</v>
      </c>
      <c r="C32" s="254"/>
      <c r="D32" s="263"/>
      <c r="E32" s="254"/>
      <c r="F32" s="169"/>
      <c r="G32" s="169"/>
      <c r="H32" s="71"/>
      <c r="I32" s="71"/>
      <c r="J32" s="71"/>
      <c r="K32" s="71"/>
      <c r="L32" s="480"/>
      <c r="M32" s="71"/>
      <c r="N32" s="71">
        <f>'Response and Relief Act Score'!F14*4/2</f>
        <v>12</v>
      </c>
      <c r="O32" s="71">
        <f>'Response and Relief Act Score'!F14*4/2</f>
        <v>12</v>
      </c>
      <c r="P32" s="71"/>
      <c r="Q32" s="319"/>
      <c r="R32" s="334"/>
      <c r="S32" s="334"/>
      <c r="T32" s="334"/>
      <c r="U32" s="334"/>
      <c r="V32" s="490"/>
      <c r="W32" s="490"/>
      <c r="X32" s="490"/>
      <c r="Y32" s="490"/>
      <c r="Z32" s="490"/>
      <c r="AA32" s="490"/>
      <c r="AB32" s="490"/>
      <c r="AC32" s="498"/>
    </row>
    <row r="33" spans="1:78" x14ac:dyDescent="0.25">
      <c r="B33" s="1005" t="s">
        <v>484</v>
      </c>
      <c r="C33" s="1006"/>
      <c r="D33" s="263"/>
      <c r="E33" s="254"/>
      <c r="F33" s="169"/>
      <c r="G33" s="169"/>
      <c r="H33" s="71"/>
      <c r="I33" s="71"/>
      <c r="J33" s="71"/>
      <c r="K33" s="71"/>
      <c r="L33" s="480"/>
      <c r="M33" s="71"/>
      <c r="N33" s="71"/>
      <c r="O33" s="71"/>
      <c r="P33" s="71"/>
      <c r="Q33" s="319"/>
      <c r="R33" s="504"/>
      <c r="S33" s="504"/>
      <c r="T33" s="504"/>
      <c r="U33" s="504"/>
      <c r="V33" s="507"/>
      <c r="W33" s="507"/>
      <c r="X33" s="507"/>
      <c r="Y33" s="507"/>
      <c r="Z33" s="507"/>
      <c r="AA33" s="507"/>
      <c r="AB33" s="507"/>
      <c r="AC33" s="483"/>
    </row>
    <row r="34" spans="1:78" ht="13.5" customHeight="1" x14ac:dyDescent="0.25">
      <c r="B34" s="500" t="s">
        <v>143</v>
      </c>
      <c r="C34" s="254"/>
      <c r="D34" s="263"/>
      <c r="E34" s="254"/>
      <c r="F34" s="169"/>
      <c r="G34" s="169"/>
      <c r="H34" s="71"/>
      <c r="I34" s="71"/>
      <c r="J34" s="71"/>
      <c r="K34" s="71"/>
      <c r="L34" s="480"/>
      <c r="M34" s="71">
        <f>'ARP Quarterly'!C18</f>
        <v>0</v>
      </c>
      <c r="N34" s="71">
        <f>'ARP Quarterly'!D18</f>
        <v>2.2132800000000001</v>
      </c>
      <c r="O34" s="71">
        <f>'ARP Quarterly'!E18</f>
        <v>10.082720000000002</v>
      </c>
      <c r="P34" s="71">
        <f>'ARP Quarterly'!F18</f>
        <v>7.1439999999999992</v>
      </c>
      <c r="Q34" s="319">
        <f>'ARP Quarterly'!G18</f>
        <v>7.1439999999999992</v>
      </c>
      <c r="R34" s="334">
        <f>'ARP Quarterly'!H18</f>
        <v>7.1439999999999992</v>
      </c>
      <c r="S34" s="334">
        <f>'ARP Quarterly'!I18</f>
        <v>7.1439999999999992</v>
      </c>
      <c r="T34" s="334">
        <f>'ARP Quarterly'!J18</f>
        <v>0</v>
      </c>
      <c r="U34" s="334">
        <f>'ARP Quarterly'!K18</f>
        <v>0</v>
      </c>
      <c r="V34" s="334">
        <f>'ARP Quarterly'!L18</f>
        <v>0</v>
      </c>
      <c r="W34" s="334">
        <f>'ARP Quarterly'!M18</f>
        <v>0</v>
      </c>
      <c r="X34" s="334">
        <f>'ARP Quarterly'!N18</f>
        <v>0</v>
      </c>
      <c r="Y34" s="334">
        <f>'ARP Quarterly'!O18</f>
        <v>0</v>
      </c>
      <c r="Z34" s="334">
        <f>'ARP Quarterly'!P18</f>
        <v>0</v>
      </c>
      <c r="AA34" s="334">
        <f>'ARP Quarterly'!Q18</f>
        <v>0</v>
      </c>
      <c r="AB34" s="334">
        <f>'ARP Quarterly'!R18</f>
        <v>0</v>
      </c>
      <c r="AC34" s="403">
        <f>'ARP Quarterly'!S18</f>
        <v>0</v>
      </c>
    </row>
    <row r="35" spans="1:78" x14ac:dyDescent="0.25">
      <c r="B35" s="500" t="s">
        <v>485</v>
      </c>
      <c r="C35" s="254"/>
      <c r="D35" s="263"/>
      <c r="E35" s="254"/>
      <c r="F35" s="169"/>
      <c r="G35" s="169"/>
      <c r="H35" s="71"/>
      <c r="I35" s="71"/>
      <c r="J35" s="71"/>
      <c r="K35" s="71"/>
      <c r="L35" s="480"/>
      <c r="M35" s="71">
        <f>'ARP Quarterly'!C19</f>
        <v>0</v>
      </c>
      <c r="N35" s="71">
        <f>'ARP Quarterly'!D19</f>
        <v>15.128640000000001</v>
      </c>
      <c r="O35" s="71">
        <f>'ARP Quarterly'!E19</f>
        <v>68.919360000000012</v>
      </c>
      <c r="P35" s="71">
        <f>'ARP Quarterly'!F19</f>
        <v>5.6120000000000001</v>
      </c>
      <c r="Q35" s="319">
        <f>'ARP Quarterly'!G19</f>
        <v>5.6120000000000001</v>
      </c>
      <c r="R35" s="334">
        <f>'ARP Quarterly'!H19</f>
        <v>5.6120000000000001</v>
      </c>
      <c r="S35" s="334">
        <f>'ARP Quarterly'!I19</f>
        <v>5.6120000000000001</v>
      </c>
      <c r="T35" s="334">
        <f>'ARP Quarterly'!J19</f>
        <v>0.48599999999999993</v>
      </c>
      <c r="U35" s="334">
        <f>'ARP Quarterly'!K19</f>
        <v>0.48599999999999993</v>
      </c>
      <c r="V35" s="334">
        <f>'ARP Quarterly'!L19</f>
        <v>0.48599999999999993</v>
      </c>
      <c r="W35" s="334">
        <f>'ARP Quarterly'!M19</f>
        <v>0.48599999999999993</v>
      </c>
      <c r="X35" s="334">
        <f>'ARP Quarterly'!N19</f>
        <v>0</v>
      </c>
      <c r="Y35" s="334">
        <f>'ARP Quarterly'!O19</f>
        <v>0</v>
      </c>
      <c r="Z35" s="334">
        <f>'ARP Quarterly'!P19</f>
        <v>0</v>
      </c>
      <c r="AA35" s="334">
        <f>'ARP Quarterly'!Q19</f>
        <v>0</v>
      </c>
      <c r="AB35" s="334">
        <f>'ARP Quarterly'!R19</f>
        <v>0</v>
      </c>
      <c r="AC35" s="403">
        <f>'ARP Quarterly'!S19</f>
        <v>0</v>
      </c>
    </row>
    <row r="36" spans="1:78" x14ac:dyDescent="0.25">
      <c r="B36" s="500" t="s">
        <v>148</v>
      </c>
      <c r="C36" s="254"/>
      <c r="D36" s="263"/>
      <c r="E36" s="254"/>
      <c r="F36" s="169"/>
      <c r="G36" s="169"/>
      <c r="H36" s="71"/>
      <c r="I36" s="71"/>
      <c r="J36" s="71"/>
      <c r="K36" s="71"/>
      <c r="L36" s="480"/>
      <c r="M36" s="71">
        <f>'ARP Quarterly'!C20</f>
        <v>0</v>
      </c>
      <c r="N36" s="71">
        <f>'ARP Quarterly'!D20</f>
        <v>3.2479199999999997</v>
      </c>
      <c r="O36" s="71">
        <f>'ARP Quarterly'!E20</f>
        <v>14.796080000000002</v>
      </c>
      <c r="P36" s="71">
        <f>'ARP Quarterly'!F20</f>
        <v>1.7329999999999999</v>
      </c>
      <c r="Q36" s="319">
        <f>'ARP Quarterly'!G20</f>
        <v>1.7329999999999999</v>
      </c>
      <c r="R36" s="334">
        <f>'ARP Quarterly'!H20</f>
        <v>1.7329999999999999</v>
      </c>
      <c r="S36" s="334">
        <f>'ARP Quarterly'!I20</f>
        <v>1.7329999999999999</v>
      </c>
      <c r="T36" s="334">
        <f>'ARP Quarterly'!J20</f>
        <v>0</v>
      </c>
      <c r="U36" s="334">
        <f>'ARP Quarterly'!K20</f>
        <v>0</v>
      </c>
      <c r="V36" s="334">
        <f>'ARP Quarterly'!L20</f>
        <v>0</v>
      </c>
      <c r="W36" s="334">
        <f>'ARP Quarterly'!M20</f>
        <v>0</v>
      </c>
      <c r="X36" s="334">
        <f>'ARP Quarterly'!N20</f>
        <v>0</v>
      </c>
      <c r="Y36" s="334">
        <f>'ARP Quarterly'!O20</f>
        <v>0</v>
      </c>
      <c r="Z36" s="334">
        <f>'ARP Quarterly'!P20</f>
        <v>0</v>
      </c>
      <c r="AA36" s="334">
        <f>'ARP Quarterly'!Q20</f>
        <v>0</v>
      </c>
      <c r="AB36" s="334">
        <f>'ARP Quarterly'!R20</f>
        <v>0</v>
      </c>
      <c r="AC36" s="403">
        <f>'ARP Quarterly'!S20</f>
        <v>0</v>
      </c>
    </row>
    <row r="37" spans="1:78" x14ac:dyDescent="0.25">
      <c r="B37" s="500" t="s">
        <v>475</v>
      </c>
      <c r="C37" s="254"/>
      <c r="D37" s="263"/>
      <c r="E37" s="254"/>
      <c r="F37" s="169"/>
      <c r="G37" s="169"/>
      <c r="H37" s="71"/>
      <c r="I37" s="71"/>
      <c r="J37" s="71"/>
      <c r="K37" s="71"/>
      <c r="L37" s="480"/>
      <c r="M37" s="71">
        <f>'ARP Quarterly'!C21</f>
        <v>0</v>
      </c>
      <c r="N37" s="71">
        <f>'ARP Quarterly'!D21</f>
        <v>13.2921</v>
      </c>
      <c r="O37" s="71">
        <f>'ARP Quarterly'!E21</f>
        <v>60.552900000000008</v>
      </c>
      <c r="P37" s="71">
        <f>'ARP Quarterly'!F21</f>
        <v>1.0687500000000001</v>
      </c>
      <c r="Q37" s="319">
        <f>'ARP Quarterly'!G21</f>
        <v>1.0687500000000001</v>
      </c>
      <c r="R37" s="334">
        <f>'ARP Quarterly'!H21</f>
        <v>1.0687500000000001</v>
      </c>
      <c r="S37" s="334">
        <f>'ARP Quarterly'!I21</f>
        <v>1.0687500000000001</v>
      </c>
      <c r="T37" s="334">
        <f>'ARP Quarterly'!J21</f>
        <v>0.78750000000000009</v>
      </c>
      <c r="U37" s="334">
        <f>'ARP Quarterly'!K21</f>
        <v>0.78750000000000009</v>
      </c>
      <c r="V37" s="334">
        <f>'ARP Quarterly'!L21</f>
        <v>0.78750000000000009</v>
      </c>
      <c r="W37" s="334">
        <f>'ARP Quarterly'!M21</f>
        <v>0.78750000000000009</v>
      </c>
      <c r="X37" s="334">
        <f>'ARP Quarterly'!N21</f>
        <v>0</v>
      </c>
      <c r="Y37" s="334">
        <f>'ARP Quarterly'!O21</f>
        <v>0</v>
      </c>
      <c r="Z37" s="334">
        <f>'ARP Quarterly'!P21</f>
        <v>0</v>
      </c>
      <c r="AA37" s="334">
        <f>'ARP Quarterly'!Q21</f>
        <v>0</v>
      </c>
      <c r="AB37" s="334">
        <f>'ARP Quarterly'!R21</f>
        <v>0</v>
      </c>
      <c r="AC37" s="403">
        <f>'ARP Quarterly'!S21</f>
        <v>0</v>
      </c>
    </row>
    <row r="38" spans="1:78" ht="30" customHeight="1" x14ac:dyDescent="0.25">
      <c r="B38" s="500" t="s">
        <v>486</v>
      </c>
      <c r="C38" s="254"/>
      <c r="D38" s="263"/>
      <c r="E38" s="254"/>
      <c r="F38" s="169"/>
      <c r="G38" s="169"/>
      <c r="H38" s="71"/>
      <c r="I38" s="71"/>
      <c r="J38" s="71"/>
      <c r="K38" s="71"/>
      <c r="L38" s="480"/>
      <c r="M38" s="71">
        <f>'ARP Quarterly'!C22</f>
        <v>0</v>
      </c>
      <c r="N38" s="71">
        <f>'ARP Quarterly'!D22</f>
        <v>22.153499999999998</v>
      </c>
      <c r="O38" s="71">
        <f>'ARP Quarterly'!E22</f>
        <v>100.92150000000002</v>
      </c>
      <c r="P38" s="71">
        <f>'ARP Quarterly'!F22</f>
        <v>1.7812500000000002</v>
      </c>
      <c r="Q38" s="319">
        <f>'ARP Quarterly'!G22</f>
        <v>1.7812500000000002</v>
      </c>
      <c r="R38" s="334">
        <f>'ARP Quarterly'!H22</f>
        <v>1.7812500000000002</v>
      </c>
      <c r="S38" s="334">
        <f>'ARP Quarterly'!I22</f>
        <v>1.7812500000000002</v>
      </c>
      <c r="T38" s="334">
        <f>'ARP Quarterly'!J22</f>
        <v>1.3125000000000002</v>
      </c>
      <c r="U38" s="334">
        <f>'ARP Quarterly'!K22</f>
        <v>1.3125000000000002</v>
      </c>
      <c r="V38" s="334">
        <f>'ARP Quarterly'!L22</f>
        <v>1.3125000000000002</v>
      </c>
      <c r="W38" s="334">
        <f>'ARP Quarterly'!M22</f>
        <v>1.3125000000000002</v>
      </c>
      <c r="X38" s="334">
        <f>'ARP Quarterly'!N22</f>
        <v>0</v>
      </c>
      <c r="Y38" s="334">
        <f>'ARP Quarterly'!O22</f>
        <v>0</v>
      </c>
      <c r="Z38" s="334">
        <f>'ARP Quarterly'!P22</f>
        <v>0</v>
      </c>
      <c r="AA38" s="334">
        <f>'ARP Quarterly'!Q22</f>
        <v>0</v>
      </c>
      <c r="AB38" s="334">
        <f>'ARP Quarterly'!R22</f>
        <v>0</v>
      </c>
      <c r="AC38" s="403">
        <f>'ARP Quarterly'!S22</f>
        <v>0</v>
      </c>
    </row>
    <row r="39" spans="1:78" x14ac:dyDescent="0.25">
      <c r="B39" s="500" t="s">
        <v>487</v>
      </c>
      <c r="C39" s="254"/>
      <c r="D39" s="263"/>
      <c r="E39" s="254"/>
      <c r="F39" s="169"/>
      <c r="G39" s="169"/>
      <c r="H39" s="71"/>
      <c r="I39" s="71"/>
      <c r="J39" s="71"/>
      <c r="K39" s="71"/>
      <c r="L39" s="480"/>
      <c r="M39" s="71">
        <f>'ARP Quarterly'!C23</f>
        <v>0</v>
      </c>
      <c r="N39" s="71">
        <f>'ARP Quarterly'!D23</f>
        <v>2.9519999999999995</v>
      </c>
      <c r="O39" s="71">
        <f>'ARP Quarterly'!E23</f>
        <v>13.448</v>
      </c>
      <c r="P39" s="71">
        <f>'ARP Quarterly'!F23</f>
        <v>11.3</v>
      </c>
      <c r="Q39" s="319">
        <f>'ARP Quarterly'!G23</f>
        <v>11.3</v>
      </c>
      <c r="R39" s="334">
        <f>'ARP Quarterly'!H23</f>
        <v>11.3</v>
      </c>
      <c r="S39" s="334">
        <f>'ARP Quarterly'!I23</f>
        <v>11.3</v>
      </c>
      <c r="T39" s="334">
        <f>'ARP Quarterly'!J23</f>
        <v>8.4</v>
      </c>
      <c r="U39" s="334">
        <f>'ARP Quarterly'!K23</f>
        <v>8.4</v>
      </c>
      <c r="V39" s="334">
        <f>'ARP Quarterly'!L23</f>
        <v>8.4</v>
      </c>
      <c r="W39" s="334">
        <f>'ARP Quarterly'!M23</f>
        <v>8.4</v>
      </c>
      <c r="X39" s="334">
        <f>'ARP Quarterly'!N23</f>
        <v>0.2</v>
      </c>
      <c r="Y39" s="334">
        <f>'ARP Quarterly'!O23</f>
        <v>0.2</v>
      </c>
      <c r="Z39" s="334">
        <f>'ARP Quarterly'!P23</f>
        <v>0.2</v>
      </c>
      <c r="AA39" s="334">
        <f>'ARP Quarterly'!Q23</f>
        <v>0.2</v>
      </c>
      <c r="AB39" s="334">
        <f>'ARP Quarterly'!R23</f>
        <v>0</v>
      </c>
      <c r="AC39" s="403">
        <f>'ARP Quarterly'!S23</f>
        <v>0</v>
      </c>
    </row>
    <row r="40" spans="1:78" x14ac:dyDescent="0.25">
      <c r="B40" s="500" t="s">
        <v>488</v>
      </c>
      <c r="C40" s="254"/>
      <c r="D40" s="263"/>
      <c r="E40" s="254"/>
      <c r="F40" s="169"/>
      <c r="G40" s="169"/>
      <c r="H40" s="71"/>
      <c r="I40" s="71"/>
      <c r="J40" s="71"/>
      <c r="K40" s="71"/>
      <c r="L40" s="480"/>
      <c r="M40" s="71">
        <f>'ARP Quarterly'!C24</f>
        <v>0</v>
      </c>
      <c r="N40" s="71">
        <f>'ARP Quarterly'!D24</f>
        <v>-0.20447999999999997</v>
      </c>
      <c r="O40" s="71">
        <f>'ARP Quarterly'!E24</f>
        <v>-0.93152000000000001</v>
      </c>
      <c r="P40" s="71">
        <v>0</v>
      </c>
      <c r="Q40" s="319">
        <v>0</v>
      </c>
      <c r="R40" s="334">
        <v>0</v>
      </c>
      <c r="S40" s="334">
        <v>0</v>
      </c>
      <c r="T40" s="334">
        <v>0</v>
      </c>
      <c r="U40" s="334">
        <v>0</v>
      </c>
      <c r="V40" s="334">
        <v>0</v>
      </c>
      <c r="W40" s="334">
        <v>0</v>
      </c>
      <c r="X40" s="334">
        <v>0</v>
      </c>
      <c r="Y40" s="334">
        <v>0</v>
      </c>
      <c r="Z40" s="334">
        <v>0</v>
      </c>
      <c r="AA40" s="334">
        <v>0</v>
      </c>
      <c r="AB40" s="334">
        <v>0</v>
      </c>
      <c r="AC40" s="403">
        <v>0</v>
      </c>
    </row>
    <row r="41" spans="1:78" x14ac:dyDescent="0.25">
      <c r="B41" s="500" t="s">
        <v>360</v>
      </c>
      <c r="C41" s="254"/>
      <c r="D41" s="263"/>
      <c r="E41" s="254"/>
      <c r="F41" s="169"/>
      <c r="G41" s="169"/>
      <c r="H41" s="71"/>
      <c r="I41" s="71"/>
      <c r="J41" s="71"/>
      <c r="K41" s="71"/>
      <c r="L41" s="480"/>
      <c r="M41" s="71">
        <f>'ARP Quarterly'!C25</f>
        <v>0</v>
      </c>
      <c r="N41" s="71">
        <f>'ARP Quarterly'!D25</f>
        <v>58.782959999999996</v>
      </c>
      <c r="O41" s="71">
        <f>'ARP Quarterly'!E25</f>
        <v>267.78904000000006</v>
      </c>
      <c r="P41" s="71">
        <f>'ARP Quarterly'!F25</f>
        <v>110.24799999999999</v>
      </c>
      <c r="Q41" s="320">
        <f>'ARP Quarterly'!G25</f>
        <v>110.24799999999999</v>
      </c>
      <c r="R41" s="334">
        <f>'ARP Quarterly'!H25</f>
        <v>110.24799999999999</v>
      </c>
      <c r="S41" s="334">
        <f>'ARP Quarterly'!I25</f>
        <v>110.24799999999999</v>
      </c>
      <c r="T41" s="334">
        <f>'ARP Quarterly'!J25</f>
        <v>12.362</v>
      </c>
      <c r="U41" s="334">
        <f>'ARP Quarterly'!K25</f>
        <v>12.362</v>
      </c>
      <c r="V41" s="334">
        <f>'ARP Quarterly'!L25</f>
        <v>12.362</v>
      </c>
      <c r="W41" s="334">
        <f>'ARP Quarterly'!M25</f>
        <v>12.362</v>
      </c>
      <c r="X41" s="334">
        <f>'ARP Quarterly'!N25</f>
        <v>-0.67500000000000004</v>
      </c>
      <c r="Y41" s="334">
        <f>'ARP Quarterly'!O25</f>
        <v>-0.67500000000000004</v>
      </c>
      <c r="Z41" s="334">
        <f>'ARP Quarterly'!P25</f>
        <v>-0.67500000000000004</v>
      </c>
      <c r="AA41" s="334">
        <f>'ARP Quarterly'!Q25</f>
        <v>-0.67500000000000004</v>
      </c>
      <c r="AB41" s="334">
        <f>'ARP Quarterly'!R25</f>
        <v>0</v>
      </c>
      <c r="AC41" s="403">
        <f>'ARP Quarterly'!S25</f>
        <v>0</v>
      </c>
    </row>
    <row r="42" spans="1:78" x14ac:dyDescent="0.25">
      <c r="B42" s="1005" t="s">
        <v>489</v>
      </c>
      <c r="C42" s="1006"/>
      <c r="D42" s="475"/>
      <c r="E42" s="476"/>
      <c r="F42" s="405"/>
      <c r="G42" s="405"/>
      <c r="H42" s="396"/>
      <c r="I42" s="396"/>
      <c r="J42" s="396"/>
      <c r="K42" s="396"/>
      <c r="L42" s="481"/>
      <c r="M42" s="396"/>
      <c r="N42" s="396"/>
      <c r="O42" s="396"/>
      <c r="P42" s="482"/>
      <c r="Q42" s="71"/>
      <c r="R42" s="504"/>
      <c r="S42" s="504"/>
      <c r="T42" s="504"/>
      <c r="U42" s="504"/>
      <c r="V42" s="507"/>
      <c r="W42" s="507"/>
      <c r="X42" s="507"/>
      <c r="Y42" s="507"/>
      <c r="Z42" s="507"/>
      <c r="AA42" s="507"/>
      <c r="AB42" s="507"/>
      <c r="AC42" s="483"/>
    </row>
    <row r="43" spans="1:78" ht="21" customHeight="1" x14ac:dyDescent="0.25">
      <c r="B43" s="502" t="s">
        <v>490</v>
      </c>
      <c r="C43" s="503"/>
      <c r="D43" s="502"/>
      <c r="E43" s="503"/>
      <c r="F43" s="374"/>
      <c r="G43" s="374"/>
      <c r="H43" s="495"/>
      <c r="I43" s="495"/>
      <c r="J43" s="495"/>
      <c r="K43" s="495"/>
      <c r="L43" s="512"/>
      <c r="M43" s="495">
        <f>'ARP Quarterly'!C6</f>
        <v>0</v>
      </c>
      <c r="N43" s="495">
        <f>'ARP Quarterly'!D6</f>
        <v>58.782959999999989</v>
      </c>
      <c r="O43" s="495">
        <f>'ARP Quarterly'!E6</f>
        <v>267.78904</v>
      </c>
      <c r="P43" s="493">
        <f>'ARP Quarterly'!F6</f>
        <v>110.24799999999999</v>
      </c>
      <c r="Q43" s="495">
        <f>'ARP Quarterly'!G6</f>
        <v>110.24799999999999</v>
      </c>
      <c r="R43" s="484">
        <f>'ARP Quarterly'!H6</f>
        <v>110.24799999999999</v>
      </c>
      <c r="S43" s="484">
        <f>'ARP Quarterly'!I6</f>
        <v>110.24799999999999</v>
      </c>
      <c r="T43" s="484">
        <f>'ARP Quarterly'!J6</f>
        <v>12.726000000000001</v>
      </c>
      <c r="U43" s="484">
        <f>'ARP Quarterly'!K6</f>
        <v>12.726000000000001</v>
      </c>
      <c r="V43" s="484">
        <f>'ARP Quarterly'!L6</f>
        <v>12.726000000000001</v>
      </c>
      <c r="W43" s="484">
        <f>'ARP Quarterly'!M6</f>
        <v>12.726000000000001</v>
      </c>
      <c r="X43" s="484">
        <f>'ARP Quarterly'!N6</f>
        <v>1.365</v>
      </c>
      <c r="Y43" s="484">
        <f>'ARP Quarterly'!O6</f>
        <v>1.365</v>
      </c>
      <c r="Z43" s="484">
        <f>'ARP Quarterly'!P6</f>
        <v>1.365</v>
      </c>
      <c r="AA43" s="484">
        <f>'ARP Quarterly'!Q6</f>
        <v>1.365</v>
      </c>
      <c r="AB43" s="484">
        <f>'ARP Quarterly'!R6</f>
        <v>-0.90100000000000025</v>
      </c>
      <c r="AC43" s="510">
        <f>'ARP Quarterly'!S6</f>
        <v>-0.90100000000000025</v>
      </c>
    </row>
    <row r="44" spans="1:78" ht="19.5" customHeight="1" x14ac:dyDescent="0.25">
      <c r="A44" s="501"/>
      <c r="B44" s="494" t="s">
        <v>199</v>
      </c>
      <c r="C44" s="497"/>
      <c r="D44" s="494"/>
      <c r="E44" s="497"/>
      <c r="F44" s="485">
        <f>F11-F43</f>
        <v>60.5</v>
      </c>
      <c r="G44" s="485">
        <f>G11-G43</f>
        <v>81.400000000000006</v>
      </c>
      <c r="H44" s="485">
        <f t="shared" ref="H44:AC44" si="12">H11-H43</f>
        <v>82.2</v>
      </c>
      <c r="I44" s="485">
        <f>I11-I43</f>
        <v>80.3</v>
      </c>
      <c r="J44" s="485">
        <f t="shared" si="12"/>
        <v>1123.5999999999999</v>
      </c>
      <c r="K44" s="485">
        <f t="shared" si="12"/>
        <v>1220.5</v>
      </c>
      <c r="L44" s="485">
        <f>L11-L43</f>
        <v>618.6</v>
      </c>
      <c r="M44" s="485">
        <f>M11-M43</f>
        <v>403.8</v>
      </c>
      <c r="N44" s="485">
        <f t="shared" si="12"/>
        <v>638.21704</v>
      </c>
      <c r="O44" s="485">
        <f>O11-O43</f>
        <v>286.71096</v>
      </c>
      <c r="P44" s="486">
        <f>P11-P43</f>
        <v>194.452</v>
      </c>
      <c r="Q44" s="485">
        <f t="shared" si="12"/>
        <v>39.152000000000015</v>
      </c>
      <c r="R44" s="487">
        <f t="shared" si="12"/>
        <v>17.745378026070782</v>
      </c>
      <c r="S44" s="487">
        <f t="shared" si="12"/>
        <v>-12.23599999999999</v>
      </c>
      <c r="T44" s="487">
        <f t="shared" si="12"/>
        <v>72.260000000000005</v>
      </c>
      <c r="U44" s="487">
        <f t="shared" si="12"/>
        <v>72.260000000000005</v>
      </c>
      <c r="V44" s="487">
        <f t="shared" si="12"/>
        <v>72.260000000000005</v>
      </c>
      <c r="W44" s="487">
        <f t="shared" si="12"/>
        <v>72.260000000000005</v>
      </c>
      <c r="X44" s="487">
        <f t="shared" si="12"/>
        <v>74.935000000000016</v>
      </c>
      <c r="Y44" s="487">
        <f t="shared" si="12"/>
        <v>74.935000000000016</v>
      </c>
      <c r="Z44" s="487">
        <f t="shared" si="12"/>
        <v>74.935000000000016</v>
      </c>
      <c r="AA44" s="487">
        <f t="shared" si="12"/>
        <v>74.935000000000016</v>
      </c>
      <c r="AB44" s="487">
        <f t="shared" si="12"/>
        <v>77.001000000000005</v>
      </c>
      <c r="AC44" s="488">
        <f t="shared" si="12"/>
        <v>77.001000000000005</v>
      </c>
      <c r="AE44" s="501"/>
      <c r="AF44" s="501"/>
      <c r="AG44" s="501"/>
      <c r="AH44" s="501"/>
      <c r="AI44" s="501"/>
      <c r="AJ44" s="501"/>
      <c r="AK44" s="501"/>
      <c r="AL44" s="501"/>
      <c r="AM44" s="501"/>
      <c r="AN44" s="501"/>
      <c r="AO44" s="501"/>
      <c r="AP44" s="501"/>
      <c r="AQ44" s="501"/>
      <c r="AR44" s="501"/>
      <c r="AS44" s="501"/>
      <c r="AT44" s="501"/>
      <c r="AU44" s="501"/>
      <c r="AV44" s="501"/>
      <c r="AW44" s="501"/>
      <c r="AX44" s="501"/>
      <c r="AY44" s="501"/>
      <c r="AZ44" s="501"/>
      <c r="BA44" s="501"/>
      <c r="BB44" s="501"/>
      <c r="BC44" s="501"/>
      <c r="BD44" s="501"/>
      <c r="BE44" s="501"/>
      <c r="BF44" s="501"/>
      <c r="BG44" s="501"/>
      <c r="BH44" s="501"/>
      <c r="BI44" s="501"/>
      <c r="BJ44" s="501"/>
      <c r="BK44" s="501"/>
      <c r="BL44" s="501"/>
      <c r="BM44" s="501"/>
      <c r="BN44" s="501"/>
      <c r="BO44" s="501"/>
      <c r="BP44" s="501"/>
      <c r="BQ44" s="501"/>
      <c r="BR44" s="501"/>
      <c r="BS44" s="501"/>
      <c r="BT44" s="501"/>
      <c r="BU44" s="501"/>
      <c r="BV44" s="501"/>
      <c r="BW44" s="501"/>
      <c r="BX44" s="501"/>
      <c r="BY44" s="501"/>
      <c r="BZ44" s="501"/>
    </row>
    <row r="45" spans="1:78" x14ac:dyDescent="0.25">
      <c r="B45" s="257"/>
      <c r="C45" s="183"/>
      <c r="D45" s="183"/>
      <c r="E45" s="183"/>
      <c r="F45" s="183"/>
      <c r="G45" s="183"/>
      <c r="H45" s="183"/>
      <c r="I45" s="183"/>
      <c r="J45" s="183"/>
      <c r="K45" s="183"/>
      <c r="L45" s="183"/>
      <c r="M45" s="183"/>
      <c r="N45" s="183"/>
      <c r="O45" s="183"/>
      <c r="P45" s="426"/>
      <c r="Q45" s="426"/>
      <c r="R45" s="426"/>
      <c r="S45" s="426"/>
      <c r="T45" s="426"/>
      <c r="U45" s="426"/>
      <c r="V45" s="426"/>
      <c r="W45" s="426"/>
      <c r="X45" s="426"/>
      <c r="Y45" s="426"/>
      <c r="Z45" s="426"/>
      <c r="AA45" s="426"/>
      <c r="AB45" s="426"/>
      <c r="AC45" s="426"/>
    </row>
    <row r="47" spans="1:78" ht="14.65" customHeight="1" x14ac:dyDescent="0.25"/>
    <row r="64" ht="14.45" customHeight="1" x14ac:dyDescent="0.25"/>
    <row r="68" ht="27.6" customHeight="1" x14ac:dyDescent="0.25"/>
    <row r="71" ht="14.45" customHeight="1" x14ac:dyDescent="0.25"/>
    <row r="74" ht="27.6" customHeight="1" x14ac:dyDescent="0.25"/>
    <row r="80" ht="14.45" customHeight="1" x14ac:dyDescent="0.25"/>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47"/>
  <sheetViews>
    <sheetView topLeftCell="D10" zoomScale="90" zoomScaleNormal="90" workbookViewId="0">
      <selection activeCell="O31" sqref="O31:P31"/>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8" width="9.140625" customWidth="1"/>
  </cols>
  <sheetData>
    <row r="1" spans="2:29" x14ac:dyDescent="0.25">
      <c r="B1" s="930" t="s">
        <v>54</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2:29" ht="14.25" customHeight="1" x14ac:dyDescent="0.25">
      <c r="B2" s="931" t="s">
        <v>945</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row>
    <row r="3" spans="2:29" ht="59.65" customHeight="1"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row>
    <row r="4" spans="2:29" ht="60.75" customHeight="1"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row>
    <row r="5" spans="2:29" x14ac:dyDescent="0.25">
      <c r="B5" s="357" t="s">
        <v>381</v>
      </c>
    </row>
    <row r="6" spans="2:29" ht="14.65" customHeight="1" x14ac:dyDescent="0.25">
      <c r="B6" s="935" t="s">
        <v>465</v>
      </c>
      <c r="C6" s="936"/>
      <c r="D6" s="945" t="s">
        <v>325</v>
      </c>
      <c r="E6" s="946"/>
      <c r="F6" s="946"/>
      <c r="G6" s="946"/>
      <c r="H6" s="946"/>
      <c r="I6" s="946"/>
      <c r="J6" s="946"/>
      <c r="K6" s="946"/>
      <c r="L6" s="946"/>
      <c r="M6" s="946"/>
      <c r="N6" s="946"/>
      <c r="O6" s="946"/>
      <c r="P6" s="946"/>
      <c r="Q6" s="947"/>
      <c r="R6" s="942" t="s">
        <v>326</v>
      </c>
      <c r="S6" s="943"/>
      <c r="T6" s="943"/>
      <c r="U6" s="943"/>
      <c r="V6" s="943"/>
      <c r="W6" s="943"/>
      <c r="X6" s="943"/>
      <c r="Y6" s="943"/>
      <c r="Z6" s="943"/>
      <c r="AA6" s="943"/>
      <c r="AB6" s="943"/>
      <c r="AC6" s="944"/>
    </row>
    <row r="7" spans="2:29" x14ac:dyDescent="0.25">
      <c r="B7" s="937"/>
      <c r="C7" s="1001"/>
      <c r="D7" s="178">
        <v>2018</v>
      </c>
      <c r="E7" s="932">
        <v>2019</v>
      </c>
      <c r="F7" s="933"/>
      <c r="G7" s="933"/>
      <c r="H7" s="934"/>
      <c r="I7" s="932">
        <v>2020</v>
      </c>
      <c r="J7" s="933"/>
      <c r="K7" s="933"/>
      <c r="L7" s="933"/>
      <c r="M7" s="932">
        <v>2021</v>
      </c>
      <c r="N7" s="933"/>
      <c r="O7" s="933"/>
      <c r="P7" s="934"/>
      <c r="Q7" s="172"/>
      <c r="R7" s="171">
        <v>2022</v>
      </c>
      <c r="S7" s="171"/>
      <c r="T7" s="431"/>
      <c r="U7" s="939">
        <v>2023</v>
      </c>
      <c r="V7" s="940"/>
      <c r="W7" s="940"/>
      <c r="X7" s="940"/>
      <c r="Y7" s="939">
        <v>2024</v>
      </c>
      <c r="Z7" s="940"/>
      <c r="AA7" s="940"/>
      <c r="AB7" s="941"/>
      <c r="AC7" s="185">
        <v>2025</v>
      </c>
    </row>
    <row r="8" spans="2:29" x14ac:dyDescent="0.25">
      <c r="B8" s="937"/>
      <c r="C8" s="1001"/>
      <c r="D8" s="180" t="s">
        <v>327</v>
      </c>
      <c r="E8" s="180" t="s">
        <v>328</v>
      </c>
      <c r="F8" s="177" t="s">
        <v>329</v>
      </c>
      <c r="G8" s="177" t="s">
        <v>238</v>
      </c>
      <c r="H8" s="179" t="s">
        <v>327</v>
      </c>
      <c r="I8" s="177" t="s">
        <v>328</v>
      </c>
      <c r="J8" s="177" t="s">
        <v>329</v>
      </c>
      <c r="K8" s="177" t="s">
        <v>238</v>
      </c>
      <c r="L8" s="177" t="s">
        <v>327</v>
      </c>
      <c r="M8" s="180" t="s">
        <v>328</v>
      </c>
      <c r="N8" s="177" t="s">
        <v>329</v>
      </c>
      <c r="O8" s="177" t="s">
        <v>238</v>
      </c>
      <c r="P8" s="179" t="s">
        <v>327</v>
      </c>
      <c r="Q8" s="437" t="s">
        <v>328</v>
      </c>
      <c r="R8" s="360" t="s">
        <v>329</v>
      </c>
      <c r="S8" s="360" t="s">
        <v>238</v>
      </c>
      <c r="T8" s="360" t="s">
        <v>327</v>
      </c>
      <c r="U8" s="359" t="s">
        <v>328</v>
      </c>
      <c r="V8" s="360" t="s">
        <v>329</v>
      </c>
      <c r="W8" s="360" t="s">
        <v>238</v>
      </c>
      <c r="X8" s="360" t="s">
        <v>327</v>
      </c>
      <c r="Y8" s="359" t="s">
        <v>328</v>
      </c>
      <c r="Z8" s="196" t="s">
        <v>329</v>
      </c>
      <c r="AA8" s="360" t="s">
        <v>238</v>
      </c>
      <c r="AB8" s="383" t="s">
        <v>327</v>
      </c>
      <c r="AC8" s="400" t="s">
        <v>328</v>
      </c>
    </row>
    <row r="9" spans="2:29" x14ac:dyDescent="0.25">
      <c r="B9" s="522" t="s">
        <v>101</v>
      </c>
      <c r="C9" s="181" t="s">
        <v>491</v>
      </c>
      <c r="D9" s="558">
        <f>'Haver Pivoted'!GO13</f>
        <v>589.5</v>
      </c>
      <c r="E9" s="528">
        <f>'Haver Pivoted'!GP13</f>
        <v>598.79999999999995</v>
      </c>
      <c r="F9" s="528">
        <f>'Haver Pivoted'!GQ13</f>
        <v>614.5</v>
      </c>
      <c r="G9" s="528">
        <f>'Haver Pivoted'!GR13</f>
        <v>622.4</v>
      </c>
      <c r="H9" s="528">
        <f>'Haver Pivoted'!GS13</f>
        <v>620.5</v>
      </c>
      <c r="I9" s="528">
        <f>'Haver Pivoted'!GT13</f>
        <v>606.20000000000005</v>
      </c>
      <c r="J9" s="528">
        <f>'Haver Pivoted'!GU13</f>
        <v>654.20000000000005</v>
      </c>
      <c r="K9" s="528">
        <f>'Haver Pivoted'!GV13</f>
        <v>690.4</v>
      </c>
      <c r="L9" s="528">
        <f>'Haver Pivoted'!GW13</f>
        <v>678.3</v>
      </c>
      <c r="M9" s="528">
        <f>'Haver Pivoted'!GX13</f>
        <v>695.9</v>
      </c>
      <c r="N9" s="528">
        <f>'Haver Pivoted'!GY13</f>
        <v>730.5</v>
      </c>
      <c r="O9" s="528">
        <f>'Haver Pivoted'!GZ13</f>
        <v>775</v>
      </c>
      <c r="P9" s="528">
        <f>'Haver Pivoted'!HA13</f>
        <v>782.9</v>
      </c>
      <c r="Q9" s="551">
        <f>'Haver Pivoted'!HB13</f>
        <v>791.3</v>
      </c>
      <c r="R9" s="545"/>
      <c r="S9" s="234"/>
      <c r="T9" s="234"/>
      <c r="U9" s="234"/>
      <c r="V9" s="234"/>
      <c r="W9" s="234"/>
      <c r="X9" s="234"/>
      <c r="Y9" s="234"/>
      <c r="Z9" s="234"/>
      <c r="AA9" s="234"/>
      <c r="AB9" s="234"/>
      <c r="AC9" s="235"/>
    </row>
    <row r="10" spans="2:29" x14ac:dyDescent="0.25">
      <c r="B10" s="255" t="s">
        <v>492</v>
      </c>
      <c r="C10" s="183" t="s">
        <v>387</v>
      </c>
      <c r="D10" s="552">
        <f>'Haver Pivoted'!GO40</f>
        <v>390.86599999999999</v>
      </c>
      <c r="E10" s="517">
        <f>'Haver Pivoted'!GP40</f>
        <v>408.75599999999997</v>
      </c>
      <c r="F10" s="517">
        <f>'Haver Pivoted'!GQ40</f>
        <v>413.34399999999999</v>
      </c>
      <c r="G10" s="517">
        <f>'Haver Pivoted'!GR40</f>
        <v>418.529</v>
      </c>
      <c r="H10" s="517">
        <f>'Haver Pivoted'!GS40</f>
        <v>413.80599999999998</v>
      </c>
      <c r="I10" s="517">
        <f>'Haver Pivoted'!GT40</f>
        <v>428.11799999999999</v>
      </c>
      <c r="J10" s="517">
        <f>'Haver Pivoted'!GU40</f>
        <v>502.49</v>
      </c>
      <c r="K10" s="517">
        <f>'Haver Pivoted'!GV40</f>
        <v>481.71699999999998</v>
      </c>
      <c r="L10" s="517">
        <f>'Haver Pivoted'!GW40</f>
        <v>507.83699999999999</v>
      </c>
      <c r="M10" s="517">
        <f>'Haver Pivoted'!GX40</f>
        <v>511.34500000000003</v>
      </c>
      <c r="N10" s="517">
        <f>'Haver Pivoted'!GY40</f>
        <v>520.72900000000004</v>
      </c>
      <c r="O10" s="517">
        <f>'Haver Pivoted'!GZ40</f>
        <v>530.82100000000003</v>
      </c>
      <c r="P10" s="517">
        <f>'Haver Pivoted'!HA40</f>
        <v>541.83299999999997</v>
      </c>
      <c r="Q10" s="546">
        <f>'Haver Pivoted'!HB40</f>
        <v>578.14700000000005</v>
      </c>
      <c r="R10" s="516"/>
      <c r="S10" s="360"/>
      <c r="T10" s="360"/>
      <c r="U10" s="360"/>
      <c r="V10" s="360"/>
      <c r="W10" s="360"/>
      <c r="X10" s="360"/>
      <c r="Y10" s="360"/>
      <c r="Z10" s="360"/>
      <c r="AA10" s="360"/>
      <c r="AB10" s="360"/>
      <c r="AC10" s="383"/>
    </row>
    <row r="11" spans="2:29" ht="27.6" customHeight="1" x14ac:dyDescent="0.25">
      <c r="B11" s="263" t="s">
        <v>993</v>
      </c>
      <c r="D11" s="526">
        <f t="shared" ref="D11:N11" si="0">D10/D9</f>
        <v>0.6630466497031382</v>
      </c>
      <c r="E11" s="518">
        <f t="shared" si="0"/>
        <v>0.68262525050100198</v>
      </c>
      <c r="F11" s="518">
        <f t="shared" si="0"/>
        <v>0.6726509357200976</v>
      </c>
      <c r="G11" s="518">
        <f t="shared" si="0"/>
        <v>0.67244376606683809</v>
      </c>
      <c r="H11" s="518">
        <f t="shared" si="0"/>
        <v>0.66689121676067686</v>
      </c>
      <c r="I11" s="518">
        <f t="shared" si="0"/>
        <v>0.70623226657868687</v>
      </c>
      <c r="J11" s="518">
        <f t="shared" si="0"/>
        <v>0.76809844084377865</v>
      </c>
      <c r="K11" s="518">
        <f t="shared" si="0"/>
        <v>0.69773609501738121</v>
      </c>
      <c r="L11" s="518">
        <f t="shared" si="0"/>
        <v>0.7486908447589562</v>
      </c>
      <c r="M11" s="518">
        <f t="shared" si="0"/>
        <v>0.7347966661876707</v>
      </c>
      <c r="N11" s="518">
        <f t="shared" si="0"/>
        <v>0.71283915126625608</v>
      </c>
      <c r="O11" s="518">
        <f>O10/O9</f>
        <v>0.68493032258064523</v>
      </c>
      <c r="P11" s="518">
        <f>P10/P9</f>
        <v>0.69208455741474006</v>
      </c>
      <c r="Q11" s="519">
        <f>Q10/Q9</f>
        <v>0.73062934411727543</v>
      </c>
      <c r="R11" s="521">
        <f>Q11</f>
        <v>0.73062934411727543</v>
      </c>
      <c r="S11" s="521">
        <f>R11</f>
        <v>0.73062934411727543</v>
      </c>
      <c r="T11" s="521">
        <f>S11+(H45-G45)</f>
        <v>0.72716189189712888</v>
      </c>
      <c r="U11" s="521">
        <f t="shared" ref="U11:Y11" si="1">T11</f>
        <v>0.72716189189712888</v>
      </c>
      <c r="V11" s="521">
        <f t="shared" si="1"/>
        <v>0.72716189189712888</v>
      </c>
      <c r="W11" s="521">
        <f>V11-0.05</f>
        <v>0.67716189189712883</v>
      </c>
      <c r="X11" s="521">
        <f>W11++(I45-H45)</f>
        <v>0.67661152546517023</v>
      </c>
      <c r="Y11" s="521">
        <f t="shared" si="1"/>
        <v>0.67661152546517023</v>
      </c>
      <c r="Z11" s="521">
        <f t="shared" ref="Z11" si="2">Y11</f>
        <v>0.67661152546517023</v>
      </c>
      <c r="AA11" s="521">
        <f t="shared" ref="AA11" si="3">Z11</f>
        <v>0.67661152546517023</v>
      </c>
      <c r="AB11" s="521">
        <f>AA11+(J45-I45)</f>
        <v>0.6716855303509297</v>
      </c>
      <c r="AC11" s="541">
        <f t="shared" ref="AC11" si="4">AB11</f>
        <v>0.6716855303509297</v>
      </c>
    </row>
    <row r="12" spans="2:29" ht="27.6" customHeight="1" x14ac:dyDescent="0.25">
      <c r="B12" s="263"/>
      <c r="D12" s="526"/>
      <c r="E12" s="518"/>
      <c r="F12" s="518"/>
      <c r="G12" s="518"/>
      <c r="H12" s="518"/>
      <c r="I12" s="518"/>
      <c r="J12" s="518"/>
      <c r="K12" s="518"/>
      <c r="L12" s="518"/>
      <c r="M12" s="518"/>
      <c r="N12" s="518"/>
      <c r="O12" s="518"/>
      <c r="P12" s="518"/>
      <c r="Q12" s="519"/>
      <c r="R12" s="521"/>
      <c r="S12" s="521"/>
      <c r="T12" s="521"/>
      <c r="U12" s="521"/>
      <c r="V12" s="521"/>
      <c r="W12" s="521"/>
      <c r="X12" s="521"/>
      <c r="Y12" s="521"/>
      <c r="Z12" s="521"/>
      <c r="AA12" s="521"/>
      <c r="AB12" s="521"/>
      <c r="AC12" s="541"/>
    </row>
    <row r="13" spans="2:29" x14ac:dyDescent="0.25">
      <c r="B13" s="183"/>
      <c r="C13" s="183"/>
      <c r="D13" s="518"/>
      <c r="E13" s="518"/>
      <c r="F13" s="518"/>
      <c r="G13" s="518"/>
      <c r="H13" s="518"/>
      <c r="I13" s="518"/>
      <c r="J13" s="518"/>
      <c r="K13" s="518"/>
      <c r="L13" s="518"/>
      <c r="M13" s="518"/>
      <c r="N13" s="518"/>
      <c r="O13" s="518"/>
      <c r="P13" s="183"/>
      <c r="Q13" s="518"/>
      <c r="R13" s="518"/>
      <c r="S13" s="518"/>
      <c r="T13" s="518"/>
      <c r="U13" s="518"/>
      <c r="V13" s="518"/>
      <c r="W13" s="518"/>
      <c r="X13" s="518"/>
      <c r="Y13" s="518"/>
      <c r="Z13" s="518"/>
      <c r="AA13" s="518"/>
      <c r="AB13" s="518"/>
      <c r="AC13" s="518"/>
    </row>
    <row r="15" spans="2:29" x14ac:dyDescent="0.25">
      <c r="B15" s="257" t="s">
        <v>400</v>
      </c>
    </row>
    <row r="16" spans="2:29" ht="25.15" customHeight="1" x14ac:dyDescent="0.25">
      <c r="B16" s="529" t="s">
        <v>493</v>
      </c>
      <c r="C16" s="538">
        <v>2020</v>
      </c>
      <c r="D16" s="539">
        <v>2021</v>
      </c>
      <c r="E16" s="539">
        <v>2022</v>
      </c>
      <c r="F16" s="539">
        <v>2023</v>
      </c>
      <c r="G16" s="540">
        <v>2024</v>
      </c>
      <c r="H16" s="226"/>
      <c r="I16" s="226"/>
      <c r="J16" s="226"/>
    </row>
    <row r="17" spans="2:29" ht="31.5" customHeight="1" x14ac:dyDescent="0.25">
      <c r="B17" s="560" t="s">
        <v>990</v>
      </c>
      <c r="C17" s="537">
        <v>458.46800000000002</v>
      </c>
      <c r="D17" s="559">
        <v>520.58799999999997</v>
      </c>
      <c r="E17" s="559">
        <v>589.25400000000002</v>
      </c>
      <c r="F17" s="559">
        <v>601.34799999999996</v>
      </c>
      <c r="G17" s="559">
        <v>545.42499999999995</v>
      </c>
    </row>
    <row r="18" spans="2:29" x14ac:dyDescent="0.25">
      <c r="B18" s="255" t="s">
        <v>494</v>
      </c>
      <c r="C18" s="526">
        <f>AVERAGE(H11:K11)</f>
        <v>0.70973950480013093</v>
      </c>
      <c r="D18" s="518">
        <f>AVERAGE(L11:O11)</f>
        <v>0.72031424619838214</v>
      </c>
      <c r="E18" s="518">
        <f>AVERAGE(P11:S11)</f>
        <v>0.72099314744164167</v>
      </c>
      <c r="F18" s="518">
        <f>AVERAGE(T11:W11)</f>
        <v>0.71466189189712892</v>
      </c>
      <c r="G18" s="518">
        <f>AVERAGE(X11:AA11)</f>
        <v>0.67661152546517023</v>
      </c>
    </row>
    <row r="19" spans="2:29" x14ac:dyDescent="0.25">
      <c r="B19" s="255" t="s">
        <v>495</v>
      </c>
      <c r="C19" s="222">
        <f>C17/C18</f>
        <v>645.96657914527214</v>
      </c>
      <c r="D19" s="226">
        <f>D17/D18</f>
        <v>722.72345403067948</v>
      </c>
      <c r="E19" s="226">
        <f>E17/E18</f>
        <v>817.28099925900494</v>
      </c>
      <c r="F19" s="226">
        <f>F17/F18</f>
        <v>841.44405461955182</v>
      </c>
      <c r="G19" s="226">
        <f>G17/G18</f>
        <v>806.1124877011523</v>
      </c>
    </row>
    <row r="20" spans="2:29" ht="32.25" customHeight="1" x14ac:dyDescent="0.25">
      <c r="B20" s="435" t="s">
        <v>496</v>
      </c>
      <c r="C20" s="223"/>
      <c r="D20" s="520">
        <f>D19/C19-1</f>
        <v>0.11882483918435871</v>
      </c>
      <c r="E20" s="520">
        <f t="shared" ref="E20:G20" si="5">E19/D19-1</f>
        <v>0.13083503060675761</v>
      </c>
      <c r="F20" s="520">
        <v>0.09</v>
      </c>
      <c r="G20" s="520">
        <f t="shared" si="5"/>
        <v>-4.1989205015387832E-2</v>
      </c>
      <c r="I20" s="525"/>
      <c r="J20" s="525"/>
      <c r="K20" s="525"/>
      <c r="L20" s="525"/>
      <c r="R20" s="36"/>
      <c r="S20" s="561"/>
      <c r="T20" s="561"/>
      <c r="U20" s="561"/>
    </row>
    <row r="22" spans="2:29" x14ac:dyDescent="0.25">
      <c r="B22" s="257" t="s">
        <v>413</v>
      </c>
    </row>
    <row r="23" spans="2:29" x14ac:dyDescent="0.25">
      <c r="B23" s="935" t="s">
        <v>497</v>
      </c>
      <c r="C23" s="958"/>
      <c r="D23" s="974" t="s">
        <v>325</v>
      </c>
      <c r="E23" s="1002"/>
      <c r="F23" s="1002"/>
      <c r="G23" s="1002"/>
      <c r="H23" s="1002"/>
      <c r="I23" s="1002"/>
      <c r="J23" s="1002"/>
      <c r="K23" s="1002"/>
      <c r="L23" s="1002"/>
      <c r="M23" s="1002"/>
      <c r="N23" s="1002"/>
      <c r="O23" s="1002"/>
      <c r="P23" s="1002"/>
      <c r="Q23" s="938"/>
      <c r="R23" s="942" t="s">
        <v>326</v>
      </c>
      <c r="S23" s="943"/>
      <c r="T23" s="943"/>
      <c r="U23" s="943"/>
      <c r="V23" s="943"/>
      <c r="W23" s="943"/>
      <c r="X23" s="943"/>
      <c r="Y23" s="943"/>
      <c r="Z23" s="943"/>
      <c r="AA23" s="943"/>
      <c r="AB23" s="943"/>
      <c r="AC23" s="944"/>
    </row>
    <row r="24" spans="2:29" x14ac:dyDescent="0.25">
      <c r="B24" s="937"/>
      <c r="C24" s="1001"/>
      <c r="D24" s="178">
        <v>2018</v>
      </c>
      <c r="E24" s="932">
        <v>2019</v>
      </c>
      <c r="F24" s="933"/>
      <c r="G24" s="933"/>
      <c r="H24" s="934"/>
      <c r="I24" s="932">
        <v>2020</v>
      </c>
      <c r="J24" s="933"/>
      <c r="K24" s="933"/>
      <c r="L24" s="933"/>
      <c r="M24" s="932">
        <v>2021</v>
      </c>
      <c r="N24" s="933"/>
      <c r="O24" s="933"/>
      <c r="P24" s="933"/>
      <c r="Q24" s="172"/>
      <c r="R24" s="171">
        <v>2022</v>
      </c>
      <c r="S24" s="171"/>
      <c r="T24" s="431"/>
      <c r="U24" s="939">
        <v>2023</v>
      </c>
      <c r="V24" s="940"/>
      <c r="W24" s="940"/>
      <c r="X24" s="940"/>
      <c r="Y24" s="939">
        <v>2024</v>
      </c>
      <c r="Z24" s="940"/>
      <c r="AA24" s="940"/>
      <c r="AB24" s="941"/>
      <c r="AC24" s="185">
        <v>2025</v>
      </c>
    </row>
    <row r="25" spans="2:29" x14ac:dyDescent="0.25">
      <c r="B25" s="974"/>
      <c r="C25" s="1002"/>
      <c r="D25" s="180" t="s">
        <v>327</v>
      </c>
      <c r="E25" s="180" t="s">
        <v>328</v>
      </c>
      <c r="F25" s="177" t="s">
        <v>329</v>
      </c>
      <c r="G25" s="177" t="s">
        <v>238</v>
      </c>
      <c r="H25" s="179" t="s">
        <v>327</v>
      </c>
      <c r="I25" s="177" t="s">
        <v>328</v>
      </c>
      <c r="J25" s="177" t="s">
        <v>329</v>
      </c>
      <c r="K25" s="177" t="s">
        <v>238</v>
      </c>
      <c r="L25" s="177" t="s">
        <v>327</v>
      </c>
      <c r="M25" s="180" t="s">
        <v>328</v>
      </c>
      <c r="N25" s="177" t="s">
        <v>329</v>
      </c>
      <c r="O25" s="177" t="s">
        <v>238</v>
      </c>
      <c r="P25" s="177" t="s">
        <v>327</v>
      </c>
      <c r="Q25" s="173" t="s">
        <v>328</v>
      </c>
      <c r="R25" s="360" t="s">
        <v>329</v>
      </c>
      <c r="S25" s="360" t="s">
        <v>238</v>
      </c>
      <c r="T25" s="360" t="s">
        <v>327</v>
      </c>
      <c r="U25" s="359" t="s">
        <v>328</v>
      </c>
      <c r="V25" s="360" t="s">
        <v>329</v>
      </c>
      <c r="W25" s="360" t="s">
        <v>238</v>
      </c>
      <c r="X25" s="360" t="s">
        <v>327</v>
      </c>
      <c r="Y25" s="359" t="s">
        <v>328</v>
      </c>
      <c r="Z25" s="196" t="s">
        <v>329</v>
      </c>
      <c r="AA25" s="360" t="s">
        <v>238</v>
      </c>
      <c r="AB25" s="383" t="s">
        <v>327</v>
      </c>
      <c r="AC25" s="400" t="s">
        <v>328</v>
      </c>
    </row>
    <row r="26" spans="2:29" ht="19.5" customHeight="1" x14ac:dyDescent="0.25">
      <c r="B26" s="547" t="s">
        <v>498</v>
      </c>
      <c r="C26" s="548"/>
      <c r="D26" s="553">
        <f t="shared" ref="D26:Q26" si="6">D9</f>
        <v>589.5</v>
      </c>
      <c r="E26" s="554">
        <f t="shared" si="6"/>
        <v>598.79999999999995</v>
      </c>
      <c r="F26" s="554">
        <f t="shared" si="6"/>
        <v>614.5</v>
      </c>
      <c r="G26" s="554">
        <f t="shared" si="6"/>
        <v>622.4</v>
      </c>
      <c r="H26" s="554">
        <f t="shared" si="6"/>
        <v>620.5</v>
      </c>
      <c r="I26" s="554">
        <f t="shared" si="6"/>
        <v>606.20000000000005</v>
      </c>
      <c r="J26" s="554">
        <f t="shared" si="6"/>
        <v>654.20000000000005</v>
      </c>
      <c r="K26" s="554">
        <f t="shared" si="6"/>
        <v>690.4</v>
      </c>
      <c r="L26" s="554">
        <f t="shared" si="6"/>
        <v>678.3</v>
      </c>
      <c r="M26" s="554">
        <f t="shared" si="6"/>
        <v>695.9</v>
      </c>
      <c r="N26" s="554">
        <f t="shared" si="6"/>
        <v>730.5</v>
      </c>
      <c r="O26" s="554">
        <f t="shared" si="6"/>
        <v>775</v>
      </c>
      <c r="P26" s="554">
        <f t="shared" si="6"/>
        <v>782.9</v>
      </c>
      <c r="Q26" s="550">
        <f t="shared" si="6"/>
        <v>791.3</v>
      </c>
      <c r="R26" s="544">
        <f>Q26*(1+$E$20)^0.25-23</f>
        <v>793.00154133708929</v>
      </c>
      <c r="S26" s="544">
        <f>R26*(1+$E$20)^0.25+S29</f>
        <v>807.75619867781165</v>
      </c>
      <c r="T26" s="544">
        <f>S26*(1+$F$20)^0.25</f>
        <v>825.34765926715204</v>
      </c>
      <c r="U26" s="544">
        <f>T26*(1+$F$20)^0.25</f>
        <v>843.32222986688032</v>
      </c>
      <c r="V26" s="544">
        <f>U26*(1+$F$20)^0.25</f>
        <v>861.68825391609369</v>
      </c>
      <c r="W26" s="544">
        <f>V26*(1+$F$20)^0.25</f>
        <v>880.45425655881513</v>
      </c>
      <c r="X26" s="544">
        <f t="shared" ref="X26:AC26" si="7">W26*(1+$G$20)^0.25</f>
        <v>871.06266187471999</v>
      </c>
      <c r="Y26" s="544">
        <f t="shared" si="7"/>
        <v>861.77124508181373</v>
      </c>
      <c r="Z26" s="544">
        <f t="shared" si="7"/>
        <v>852.57893760652382</v>
      </c>
      <c r="AA26" s="544">
        <f t="shared" si="7"/>
        <v>843.48468227349622</v>
      </c>
      <c r="AB26" s="544">
        <f t="shared" si="7"/>
        <v>834.48743318401296</v>
      </c>
      <c r="AC26" s="524">
        <f t="shared" si="7"/>
        <v>825.5861555957074</v>
      </c>
    </row>
    <row r="27" spans="2:29" ht="19.149999999999999" customHeight="1" x14ac:dyDescent="0.25">
      <c r="B27" s="523" t="s">
        <v>207</v>
      </c>
      <c r="C27" s="170"/>
      <c r="D27" s="549">
        <f>D9*D11</f>
        <v>390.86599999999999</v>
      </c>
      <c r="E27" s="549">
        <f t="shared" ref="E27:Q27" si="8">E9*E11</f>
        <v>408.75599999999997</v>
      </c>
      <c r="F27" s="549">
        <f t="shared" si="8"/>
        <v>413.34399999999999</v>
      </c>
      <c r="G27" s="549">
        <f t="shared" si="8"/>
        <v>418.529</v>
      </c>
      <c r="H27" s="549">
        <f t="shared" si="8"/>
        <v>413.80599999999998</v>
      </c>
      <c r="I27" s="549">
        <f t="shared" si="8"/>
        <v>428.11799999999999</v>
      </c>
      <c r="J27" s="549">
        <f t="shared" si="8"/>
        <v>502.49</v>
      </c>
      <c r="K27" s="549">
        <f t="shared" si="8"/>
        <v>481.71699999999998</v>
      </c>
      <c r="L27" s="549">
        <f t="shared" si="8"/>
        <v>507.83699999999993</v>
      </c>
      <c r="M27" s="549">
        <f t="shared" si="8"/>
        <v>511.34500000000003</v>
      </c>
      <c r="N27" s="549">
        <f t="shared" si="8"/>
        <v>520.72900000000004</v>
      </c>
      <c r="O27" s="549">
        <f t="shared" si="8"/>
        <v>530.82100000000003</v>
      </c>
      <c r="P27" s="549">
        <f t="shared" si="8"/>
        <v>541.83299999999997</v>
      </c>
      <c r="Q27" s="549">
        <f t="shared" si="8"/>
        <v>578.14700000000005</v>
      </c>
      <c r="R27" s="530">
        <f>R26*R11</f>
        <v>579.39019603110603</v>
      </c>
      <c r="S27" s="530">
        <f t="shared" ref="S27:AC27" si="9">S26*S11</f>
        <v>590.17038164663313</v>
      </c>
      <c r="T27" s="530">
        <f t="shared" si="9"/>
        <v>600.16136538556918</v>
      </c>
      <c r="U27" s="530">
        <f t="shared" si="9"/>
        <v>613.23178814890605</v>
      </c>
      <c r="V27" s="530">
        <f t="shared" si="9"/>
        <v>626.58686094316022</v>
      </c>
      <c r="W27" s="530">
        <f t="shared" si="9"/>
        <v>596.21007010024732</v>
      </c>
      <c r="X27" s="530">
        <f t="shared" si="9"/>
        <v>589.37103642680609</v>
      </c>
      <c r="Y27" s="530">
        <f t="shared" si="9"/>
        <v>583.08435673682504</v>
      </c>
      <c r="Z27" s="530">
        <f t="shared" si="9"/>
        <v>576.86473555342423</v>
      </c>
      <c r="AA27" s="530">
        <f t="shared" si="9"/>
        <v>570.7114575795747</v>
      </c>
      <c r="AB27" s="530">
        <f t="shared" si="9"/>
        <v>560.51313412938975</v>
      </c>
      <c r="AC27" s="530">
        <f t="shared" si="9"/>
        <v>554.53427477168793</v>
      </c>
    </row>
    <row r="28" spans="2:29" ht="19.149999999999999" customHeight="1" x14ac:dyDescent="0.25">
      <c r="B28" s="168" t="s">
        <v>499</v>
      </c>
      <c r="C28" s="192"/>
      <c r="D28" s="555">
        <f t="shared" ref="D28:G28" si="10">D26-D27</f>
        <v>198.63400000000001</v>
      </c>
      <c r="E28" s="556">
        <f t="shared" si="10"/>
        <v>190.04399999999998</v>
      </c>
      <c r="F28" s="556">
        <f t="shared" si="10"/>
        <v>201.15600000000001</v>
      </c>
      <c r="G28" s="556">
        <f t="shared" si="10"/>
        <v>203.87099999999998</v>
      </c>
      <c r="H28" s="556">
        <f t="shared" ref="H28:AC28" si="11">H26-H27</f>
        <v>206.69400000000002</v>
      </c>
      <c r="I28" s="556">
        <f t="shared" si="11"/>
        <v>178.08200000000005</v>
      </c>
      <c r="J28" s="556">
        <f t="shared" si="11"/>
        <v>151.71000000000004</v>
      </c>
      <c r="K28" s="556">
        <f t="shared" si="11"/>
        <v>208.68299999999999</v>
      </c>
      <c r="L28" s="556">
        <f t="shared" si="11"/>
        <v>170.46300000000002</v>
      </c>
      <c r="M28" s="556">
        <f t="shared" si="11"/>
        <v>184.55499999999995</v>
      </c>
      <c r="N28" s="556">
        <f t="shared" si="11"/>
        <v>209.77099999999996</v>
      </c>
      <c r="O28" s="556">
        <f>O26-O27</f>
        <v>244.17899999999997</v>
      </c>
      <c r="P28" s="556">
        <f>P26-P27</f>
        <v>241.06700000000001</v>
      </c>
      <c r="Q28" s="557">
        <f t="shared" si="11"/>
        <v>213.15299999999991</v>
      </c>
      <c r="R28" s="542">
        <f t="shared" si="11"/>
        <v>213.61134530598326</v>
      </c>
      <c r="S28" s="542">
        <f t="shared" si="11"/>
        <v>217.58581703117852</v>
      </c>
      <c r="T28" s="542">
        <f t="shared" si="11"/>
        <v>225.18629388158286</v>
      </c>
      <c r="U28" s="542">
        <f t="shared" si="11"/>
        <v>230.09044171797427</v>
      </c>
      <c r="V28" s="542">
        <f t="shared" si="11"/>
        <v>235.10139297293347</v>
      </c>
      <c r="W28" s="542">
        <f t="shared" si="11"/>
        <v>284.24418645856781</v>
      </c>
      <c r="X28" s="542">
        <f t="shared" si="11"/>
        <v>281.69162544791391</v>
      </c>
      <c r="Y28" s="542">
        <f t="shared" si="11"/>
        <v>278.68688834498869</v>
      </c>
      <c r="Z28" s="542">
        <f t="shared" si="11"/>
        <v>275.7142020530996</v>
      </c>
      <c r="AA28" s="542">
        <f t="shared" si="11"/>
        <v>272.77322469392152</v>
      </c>
      <c r="AB28" s="542">
        <f t="shared" si="11"/>
        <v>273.9742990546232</v>
      </c>
      <c r="AC28" s="543">
        <f t="shared" si="11"/>
        <v>271.05188082401946</v>
      </c>
    </row>
    <row r="29" spans="2:29" x14ac:dyDescent="0.25">
      <c r="B29" s="183" t="s">
        <v>913</v>
      </c>
      <c r="H29" s="202"/>
      <c r="I29" s="202"/>
      <c r="J29" s="202"/>
      <c r="K29" s="202"/>
      <c r="L29" s="202"/>
      <c r="M29" s="527"/>
      <c r="N29" s="202"/>
      <c r="O29" s="202"/>
      <c r="P29" s="202"/>
      <c r="Q29" s="202">
        <v>10</v>
      </c>
      <c r="R29" s="202"/>
      <c r="S29" s="202">
        <v>-10</v>
      </c>
      <c r="T29" s="202"/>
      <c r="U29" s="202"/>
      <c r="V29" s="202"/>
      <c r="W29" s="202"/>
    </row>
    <row r="30" spans="2:29" x14ac:dyDescent="0.25">
      <c r="H30" s="202"/>
      <c r="I30" s="202"/>
      <c r="J30" s="202"/>
      <c r="K30" s="202"/>
      <c r="L30" s="202"/>
      <c r="M30" s="527"/>
      <c r="N30" s="202"/>
      <c r="O30" s="202"/>
      <c r="P30" s="202"/>
      <c r="Q30" s="202"/>
      <c r="R30" s="202"/>
      <c r="S30" s="202"/>
      <c r="T30" s="202"/>
      <c r="U30" s="202"/>
      <c r="V30" s="202"/>
      <c r="W30" s="202"/>
    </row>
    <row r="32" spans="2:29" ht="14.45" customHeight="1" x14ac:dyDescent="0.25"/>
    <row r="33" spans="2:17" ht="14.45" customHeight="1" x14ac:dyDescent="0.25">
      <c r="B33" s="532" t="s">
        <v>500</v>
      </c>
      <c r="C33" s="533"/>
      <c r="D33" s="533"/>
      <c r="E33" s="534"/>
      <c r="F33" s="535">
        <v>2021</v>
      </c>
      <c r="G33" s="535">
        <v>2022</v>
      </c>
      <c r="H33" s="535">
        <v>2023</v>
      </c>
      <c r="I33" s="535">
        <v>2024</v>
      </c>
      <c r="J33" s="535">
        <v>2025</v>
      </c>
      <c r="K33" s="535">
        <v>2025</v>
      </c>
      <c r="L33" s="535">
        <v>2027</v>
      </c>
      <c r="M33" s="535">
        <v>2028</v>
      </c>
      <c r="N33" s="535">
        <v>2029</v>
      </c>
      <c r="O33" s="535">
        <v>2030</v>
      </c>
      <c r="P33" s="536">
        <v>2031</v>
      </c>
    </row>
    <row r="34" spans="2:17" x14ac:dyDescent="0.25">
      <c r="B34" s="1009" t="s">
        <v>501</v>
      </c>
      <c r="C34" s="1010"/>
      <c r="D34" s="1010"/>
      <c r="E34" s="1011"/>
      <c r="F34" s="226">
        <v>287</v>
      </c>
      <c r="G34" s="226">
        <v>534</v>
      </c>
      <c r="H34" s="226">
        <v>247</v>
      </c>
      <c r="I34" s="226">
        <v>63</v>
      </c>
      <c r="J34" s="226"/>
      <c r="K34" s="226"/>
      <c r="L34" s="226"/>
      <c r="M34" s="226"/>
      <c r="N34" s="226"/>
      <c r="O34" s="226"/>
      <c r="P34" s="182"/>
    </row>
    <row r="35" spans="2:17" x14ac:dyDescent="0.25">
      <c r="B35" s="1009" t="s">
        <v>502</v>
      </c>
      <c r="C35" s="1010"/>
      <c r="D35" s="1010"/>
      <c r="E35" s="1011"/>
      <c r="F35" s="226">
        <v>0</v>
      </c>
      <c r="G35" s="226">
        <v>0</v>
      </c>
      <c r="H35" s="226">
        <v>756</v>
      </c>
      <c r="I35" s="226">
        <v>1249</v>
      </c>
      <c r="J35" s="226">
        <v>1417</v>
      </c>
      <c r="K35" s="226">
        <v>1522</v>
      </c>
      <c r="L35" s="226">
        <v>1107</v>
      </c>
      <c r="M35" s="226"/>
      <c r="N35" s="226"/>
      <c r="O35" s="226"/>
      <c r="P35" s="182"/>
    </row>
    <row r="36" spans="2:17" x14ac:dyDescent="0.25">
      <c r="B36" s="1009" t="s">
        <v>503</v>
      </c>
      <c r="C36" s="1010"/>
      <c r="D36" s="1010"/>
      <c r="E36" s="1011"/>
      <c r="F36" s="226">
        <v>0</v>
      </c>
      <c r="G36" s="226">
        <v>5</v>
      </c>
      <c r="H36" s="226">
        <v>77</v>
      </c>
      <c r="I36" s="226">
        <v>307</v>
      </c>
      <c r="J36" s="226">
        <v>332</v>
      </c>
      <c r="K36" s="226">
        <v>270</v>
      </c>
      <c r="L36" s="226">
        <v>25</v>
      </c>
      <c r="M36" s="226">
        <v>32</v>
      </c>
      <c r="N36" s="226">
        <v>40</v>
      </c>
      <c r="O36" s="226">
        <v>49</v>
      </c>
      <c r="P36" s="182">
        <v>58</v>
      </c>
    </row>
    <row r="37" spans="2:17" ht="32.65" customHeight="1" x14ac:dyDescent="0.25">
      <c r="B37" s="1022" t="s">
        <v>504</v>
      </c>
      <c r="C37" s="1023"/>
      <c r="D37" s="1023"/>
      <c r="E37" s="1024"/>
      <c r="F37" s="226">
        <v>0</v>
      </c>
      <c r="G37" s="226">
        <v>0</v>
      </c>
      <c r="H37" s="226">
        <v>3768</v>
      </c>
      <c r="I37" s="226">
        <v>3428</v>
      </c>
      <c r="J37" s="226">
        <v>2176</v>
      </c>
      <c r="K37" s="226">
        <v>2304</v>
      </c>
      <c r="L37" s="226">
        <v>2129</v>
      </c>
      <c r="M37" s="226">
        <v>1335</v>
      </c>
      <c r="N37" s="226">
        <v>478</v>
      </c>
      <c r="O37" s="226">
        <v>531</v>
      </c>
      <c r="P37" s="182">
        <v>212</v>
      </c>
    </row>
    <row r="38" spans="2:17" ht="32.65" customHeight="1" x14ac:dyDescent="0.25">
      <c r="B38" s="1022" t="s">
        <v>505</v>
      </c>
      <c r="C38" s="1023"/>
      <c r="D38" s="1023"/>
      <c r="E38" s="1024"/>
      <c r="F38" s="226">
        <v>38</v>
      </c>
      <c r="G38" s="226">
        <v>81</v>
      </c>
      <c r="H38" s="226">
        <v>43</v>
      </c>
      <c r="I38" s="226"/>
      <c r="J38" s="226"/>
      <c r="K38" s="226"/>
      <c r="L38" s="226"/>
      <c r="M38" s="226"/>
      <c r="N38" s="226"/>
      <c r="O38" s="226"/>
      <c r="P38" s="182"/>
    </row>
    <row r="39" spans="2:17" x14ac:dyDescent="0.25">
      <c r="B39" s="1009" t="s">
        <v>506</v>
      </c>
      <c r="C39" s="1010"/>
      <c r="D39" s="1010"/>
      <c r="E39" s="1011"/>
      <c r="F39" s="226"/>
      <c r="G39" s="226"/>
      <c r="H39" s="226"/>
      <c r="I39" s="226">
        <v>-184</v>
      </c>
      <c r="J39" s="226">
        <v>-1830</v>
      </c>
      <c r="K39" s="226">
        <v>-2406</v>
      </c>
      <c r="L39" s="226">
        <v>-2419</v>
      </c>
      <c r="M39" s="226">
        <v>-2467</v>
      </c>
      <c r="N39" s="226">
        <v>-2531</v>
      </c>
      <c r="O39" s="226">
        <v>-2667</v>
      </c>
      <c r="P39" s="182">
        <v>-2809</v>
      </c>
    </row>
    <row r="40" spans="2:17" ht="15.75" customHeight="1" x14ac:dyDescent="0.25">
      <c r="B40" s="1016" t="s">
        <v>507</v>
      </c>
      <c r="C40" s="1017"/>
      <c r="D40" s="1017"/>
      <c r="E40" s="1018"/>
      <c r="F40" s="226">
        <v>6524</v>
      </c>
      <c r="G40" s="226">
        <v>6143</v>
      </c>
      <c r="H40" s="226"/>
      <c r="I40" s="226"/>
      <c r="J40" s="226"/>
      <c r="K40" s="226"/>
      <c r="L40" s="226"/>
      <c r="M40" s="226"/>
      <c r="N40" s="226"/>
      <c r="O40" s="226"/>
      <c r="P40" s="182"/>
    </row>
    <row r="41" spans="2:17" x14ac:dyDescent="0.25">
      <c r="B41" s="1009" t="s">
        <v>508</v>
      </c>
      <c r="C41" s="1010"/>
      <c r="D41" s="1010"/>
      <c r="E41" s="1011"/>
      <c r="F41" s="226">
        <v>50</v>
      </c>
      <c r="G41" s="226">
        <v>175</v>
      </c>
      <c r="H41" s="226">
        <v>25</v>
      </c>
      <c r="I41" s="226"/>
      <c r="J41" s="226"/>
      <c r="K41" s="226"/>
      <c r="L41" s="226"/>
      <c r="M41" s="226"/>
      <c r="N41" s="226"/>
      <c r="O41" s="226"/>
      <c r="P41" s="182"/>
    </row>
    <row r="42" spans="2:17" x14ac:dyDescent="0.25">
      <c r="B42" s="1009" t="s">
        <v>509</v>
      </c>
      <c r="C42" s="1010"/>
      <c r="D42" s="1010"/>
      <c r="E42" s="1011"/>
      <c r="F42" s="226">
        <v>829</v>
      </c>
      <c r="G42" s="226">
        <v>844</v>
      </c>
      <c r="H42" s="226"/>
      <c r="I42" s="226"/>
      <c r="J42" s="226"/>
      <c r="K42" s="226"/>
      <c r="L42" s="226"/>
      <c r="M42" s="226"/>
      <c r="N42" s="226"/>
      <c r="O42" s="226"/>
      <c r="P42" s="182"/>
    </row>
    <row r="43" spans="2:17" x14ac:dyDescent="0.25">
      <c r="B43" s="1019" t="s">
        <v>510</v>
      </c>
      <c r="C43" s="1020"/>
      <c r="D43" s="1020"/>
      <c r="E43" s="1021"/>
      <c r="F43" s="226">
        <f t="shared" ref="F43:P43" si="12">SUM(F34:F42)</f>
        <v>7728</v>
      </c>
      <c r="G43" s="226">
        <f t="shared" si="12"/>
        <v>7782</v>
      </c>
      <c r="H43" s="226">
        <f t="shared" si="12"/>
        <v>4916</v>
      </c>
      <c r="I43" s="226">
        <f t="shared" si="12"/>
        <v>4863</v>
      </c>
      <c r="J43" s="226">
        <f t="shared" si="12"/>
        <v>2095</v>
      </c>
      <c r="K43" s="226">
        <f t="shared" si="12"/>
        <v>1690</v>
      </c>
      <c r="L43" s="226">
        <f t="shared" si="12"/>
        <v>842</v>
      </c>
      <c r="M43" s="226">
        <f t="shared" si="12"/>
        <v>-1100</v>
      </c>
      <c r="N43" s="226">
        <f t="shared" si="12"/>
        <v>-2013</v>
      </c>
      <c r="O43" s="226">
        <f t="shared" si="12"/>
        <v>-2087</v>
      </c>
      <c r="P43" s="182">
        <f t="shared" si="12"/>
        <v>-2539</v>
      </c>
    </row>
    <row r="44" spans="2:17" x14ac:dyDescent="0.25">
      <c r="B44" s="1016" t="s">
        <v>511</v>
      </c>
      <c r="C44" s="1017"/>
      <c r="D44" s="1017"/>
      <c r="E44" s="1018"/>
      <c r="F44" s="226">
        <f t="shared" ref="F44:P44" si="13">F40+F38+F37</f>
        <v>6562</v>
      </c>
      <c r="G44" s="226">
        <f t="shared" si="13"/>
        <v>6224</v>
      </c>
      <c r="H44" s="226">
        <f t="shared" si="13"/>
        <v>3811</v>
      </c>
      <c r="I44" s="226">
        <f t="shared" si="13"/>
        <v>3428</v>
      </c>
      <c r="J44" s="226">
        <f t="shared" si="13"/>
        <v>2176</v>
      </c>
      <c r="K44" s="226">
        <f t="shared" si="13"/>
        <v>2304</v>
      </c>
      <c r="L44" s="226">
        <f t="shared" si="13"/>
        <v>2129</v>
      </c>
      <c r="M44" s="226">
        <f t="shared" si="13"/>
        <v>1335</v>
      </c>
      <c r="N44" s="226">
        <f t="shared" si="13"/>
        <v>478</v>
      </c>
      <c r="O44" s="226">
        <f t="shared" si="13"/>
        <v>531</v>
      </c>
      <c r="P44" s="182">
        <f t="shared" si="13"/>
        <v>212</v>
      </c>
      <c r="Q44" s="183" t="s">
        <v>512</v>
      </c>
    </row>
    <row r="45" spans="2:17" x14ac:dyDescent="0.25">
      <c r="B45" s="1009" t="s">
        <v>513</v>
      </c>
      <c r="C45" s="1010"/>
      <c r="D45" s="1010"/>
      <c r="E45" s="1011"/>
      <c r="F45" s="226">
        <f>(F44/1000)/M26</f>
        <v>9.4295157350194007E-3</v>
      </c>
      <c r="G45" s="226">
        <f>(G44/F44)*F45</f>
        <v>8.9438137663457404E-3</v>
      </c>
      <c r="H45" s="226">
        <f>(H44/G44)*G45+H46</f>
        <v>5.4763615461991665E-3</v>
      </c>
      <c r="I45" s="226">
        <f>(I44/H44)*H45+I46</f>
        <v>4.9259951142405518E-3</v>
      </c>
      <c r="J45" s="226">
        <f>J46</f>
        <v>0</v>
      </c>
      <c r="K45" s="226">
        <f t="shared" ref="K45:L45" si="14">K46</f>
        <v>0</v>
      </c>
      <c r="L45" s="226">
        <f t="shared" si="14"/>
        <v>0</v>
      </c>
      <c r="M45" s="226"/>
      <c r="N45" s="226"/>
      <c r="O45" s="226"/>
      <c r="P45" s="182"/>
      <c r="Q45" s="183" t="s">
        <v>514</v>
      </c>
    </row>
    <row r="46" spans="2:17" ht="29.25" customHeight="1" x14ac:dyDescent="0.25">
      <c r="B46" s="513" t="s">
        <v>994</v>
      </c>
      <c r="C46" s="514"/>
      <c r="D46" s="514"/>
      <c r="E46" s="515"/>
      <c r="F46" s="226"/>
      <c r="G46" s="226"/>
      <c r="H46" s="226"/>
      <c r="I46" s="226"/>
      <c r="J46" s="226"/>
      <c r="K46" s="226"/>
      <c r="L46" s="226"/>
      <c r="M46" s="226"/>
      <c r="N46" s="226"/>
      <c r="O46" s="226"/>
      <c r="P46" s="226"/>
      <c r="Q46" s="183"/>
    </row>
    <row r="47" spans="2:17" x14ac:dyDescent="0.25">
      <c r="B47" s="1013"/>
      <c r="C47" s="1014"/>
      <c r="D47" s="1014"/>
      <c r="E47" s="1015"/>
      <c r="F47" s="224"/>
      <c r="G47" s="224"/>
      <c r="H47" s="224"/>
      <c r="I47" s="224"/>
      <c r="J47" s="224"/>
      <c r="K47" s="224"/>
      <c r="L47" s="224"/>
      <c r="M47" s="224"/>
      <c r="N47" s="224"/>
      <c r="O47" s="224"/>
      <c r="P47" s="238"/>
    </row>
  </sheetData>
  <mergeCells count="31">
    <mergeCell ref="B1:AC1"/>
    <mergeCell ref="B47:E47"/>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7"/>
  <sheetViews>
    <sheetView topLeftCell="A4" zoomScaleNormal="100" workbookViewId="0">
      <selection activeCell="R11" sqref="R1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930" t="s">
        <v>55</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2:29" ht="14.25" customHeight="1" x14ac:dyDescent="0.25">
      <c r="B2" s="931" t="s">
        <v>946</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row>
    <row r="3" spans="2:29"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row>
    <row r="4" spans="2:29"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row>
    <row r="6" spans="2:29" x14ac:dyDescent="0.25">
      <c r="B6" s="257" t="s">
        <v>381</v>
      </c>
    </row>
    <row r="7" spans="2:29" ht="14.65" customHeight="1" x14ac:dyDescent="0.25">
      <c r="B7" s="935" t="s">
        <v>465</v>
      </c>
      <c r="C7" s="958"/>
      <c r="D7" s="945" t="s">
        <v>325</v>
      </c>
      <c r="E7" s="946"/>
      <c r="F7" s="946"/>
      <c r="G7" s="946"/>
      <c r="H7" s="946"/>
      <c r="I7" s="946"/>
      <c r="J7" s="946"/>
      <c r="K7" s="946"/>
      <c r="L7" s="946"/>
      <c r="M7" s="946"/>
      <c r="N7" s="946"/>
      <c r="O7" s="946"/>
      <c r="P7" s="946"/>
      <c r="Q7" s="947"/>
      <c r="R7" s="942" t="s">
        <v>326</v>
      </c>
      <c r="S7" s="943"/>
      <c r="T7" s="943"/>
      <c r="U7" s="943"/>
      <c r="V7" s="943"/>
      <c r="W7" s="943"/>
      <c r="X7" s="943"/>
      <c r="Y7" s="943"/>
      <c r="Z7" s="943"/>
      <c r="AA7" s="943"/>
      <c r="AB7" s="943"/>
      <c r="AC7" s="944"/>
    </row>
    <row r="8" spans="2:29" x14ac:dyDescent="0.25">
      <c r="B8" s="937"/>
      <c r="C8" s="1001"/>
      <c r="D8" s="178">
        <v>2018</v>
      </c>
      <c r="E8" s="932">
        <v>2019</v>
      </c>
      <c r="F8" s="933"/>
      <c r="G8" s="933"/>
      <c r="H8" s="934"/>
      <c r="I8" s="932">
        <v>2020</v>
      </c>
      <c r="J8" s="933"/>
      <c r="K8" s="933"/>
      <c r="L8" s="933"/>
      <c r="M8" s="932">
        <v>2021</v>
      </c>
      <c r="N8" s="933"/>
      <c r="O8" s="933"/>
      <c r="P8" s="934"/>
      <c r="Q8" s="172"/>
      <c r="R8" s="171">
        <v>2022</v>
      </c>
      <c r="S8" s="171"/>
      <c r="T8" s="431"/>
      <c r="U8" s="939">
        <v>2023</v>
      </c>
      <c r="V8" s="940"/>
      <c r="W8" s="940"/>
      <c r="X8" s="940"/>
      <c r="Y8" s="939">
        <v>2024</v>
      </c>
      <c r="Z8" s="940"/>
      <c r="AA8" s="940"/>
      <c r="AB8" s="941"/>
      <c r="AC8" s="185">
        <v>2025</v>
      </c>
    </row>
    <row r="9" spans="2:29" x14ac:dyDescent="0.25">
      <c r="B9" s="937"/>
      <c r="C9" s="1001"/>
      <c r="D9" s="180" t="s">
        <v>327</v>
      </c>
      <c r="E9" s="180" t="s">
        <v>328</v>
      </c>
      <c r="F9" s="177" t="s">
        <v>329</v>
      </c>
      <c r="G9" s="177" t="s">
        <v>238</v>
      </c>
      <c r="H9" s="179" t="s">
        <v>327</v>
      </c>
      <c r="I9" s="177" t="s">
        <v>328</v>
      </c>
      <c r="J9" s="177" t="s">
        <v>329</v>
      </c>
      <c r="K9" s="177" t="s">
        <v>238</v>
      </c>
      <c r="L9" s="177" t="s">
        <v>327</v>
      </c>
      <c r="M9" s="180" t="s">
        <v>328</v>
      </c>
      <c r="N9" s="177" t="s">
        <v>329</v>
      </c>
      <c r="O9" s="177" t="s">
        <v>238</v>
      </c>
      <c r="P9" s="179" t="s">
        <v>327</v>
      </c>
      <c r="Q9" s="437" t="s">
        <v>328</v>
      </c>
      <c r="R9" s="360" t="s">
        <v>329</v>
      </c>
      <c r="S9" s="360" t="s">
        <v>238</v>
      </c>
      <c r="T9" s="360" t="s">
        <v>327</v>
      </c>
      <c r="U9" s="359" t="s">
        <v>328</v>
      </c>
      <c r="V9" s="360" t="s">
        <v>329</v>
      </c>
      <c r="W9" s="360" t="s">
        <v>238</v>
      </c>
      <c r="X9" s="360" t="s">
        <v>327</v>
      </c>
      <c r="Y9" s="359" t="s">
        <v>328</v>
      </c>
      <c r="Z9" s="196" t="s">
        <v>329</v>
      </c>
      <c r="AA9" s="360" t="s">
        <v>238</v>
      </c>
      <c r="AB9" s="383" t="s">
        <v>327</v>
      </c>
      <c r="AC9" s="400" t="s">
        <v>328</v>
      </c>
    </row>
    <row r="10" spans="2:29" ht="14.45" customHeight="1" x14ac:dyDescent="0.25">
      <c r="B10" s="573" t="s">
        <v>515</v>
      </c>
      <c r="C10" s="568" t="s">
        <v>592</v>
      </c>
      <c r="D10" s="553">
        <f>'Haver Pivoted'!GO12</f>
        <v>754.2</v>
      </c>
      <c r="E10" s="553">
        <f>'Haver Pivoted'!GP12</f>
        <v>768.3</v>
      </c>
      <c r="F10" s="553">
        <f>'Haver Pivoted'!GQ12</f>
        <v>781.1</v>
      </c>
      <c r="G10" s="553">
        <f>'Haver Pivoted'!GR12</f>
        <v>792.1</v>
      </c>
      <c r="H10" s="553">
        <f>'Haver Pivoted'!GS12</f>
        <v>801.3</v>
      </c>
      <c r="I10" s="553">
        <f>'Haver Pivoted'!GT12</f>
        <v>808.5</v>
      </c>
      <c r="J10" s="553">
        <f>'Haver Pivoted'!GU12</f>
        <v>821.6</v>
      </c>
      <c r="K10" s="553">
        <f>'Haver Pivoted'!GV12</f>
        <v>825.8</v>
      </c>
      <c r="L10" s="553">
        <f>'Haver Pivoted'!GW12</f>
        <v>821</v>
      </c>
      <c r="M10" s="553">
        <f>'Haver Pivoted'!GX12</f>
        <v>814.1</v>
      </c>
      <c r="N10" s="553">
        <f>'Haver Pivoted'!GY12</f>
        <v>815.3</v>
      </c>
      <c r="O10" s="553">
        <f>'Haver Pivoted'!GZ12</f>
        <v>826.5</v>
      </c>
      <c r="P10" s="553">
        <f>'Haver Pivoted'!HA12</f>
        <v>847.9</v>
      </c>
      <c r="Q10" s="553">
        <f>'Haver Pivoted'!HB12</f>
        <v>862.1</v>
      </c>
      <c r="R10" s="544">
        <f>Q10*(1+Q12)-20</f>
        <v>860.35792741992714</v>
      </c>
      <c r="S10" s="544">
        <f t="shared" ref="S10:AC10" si="0">R10*(1+R12)</f>
        <v>878.57896047176791</v>
      </c>
      <c r="T10" s="544">
        <f t="shared" si="0"/>
        <v>897.18588645827595</v>
      </c>
      <c r="U10" s="544">
        <f t="shared" si="0"/>
        <v>914.87815327140061</v>
      </c>
      <c r="V10" s="544">
        <f t="shared" si="0"/>
        <v>932.91930687567003</v>
      </c>
      <c r="W10" s="544">
        <f t="shared" si="0"/>
        <v>951.31622722571763</v>
      </c>
      <c r="X10" s="544">
        <f t="shared" si="0"/>
        <v>970.07592994705021</v>
      </c>
      <c r="Y10" s="544">
        <f t="shared" si="0"/>
        <v>993.46803931009731</v>
      </c>
      <c r="Z10" s="544">
        <f t="shared" si="0"/>
        <v>1017.4242187253543</v>
      </c>
      <c r="AA10" s="544">
        <f t="shared" si="0"/>
        <v>1041.958070002682</v>
      </c>
      <c r="AB10" s="544">
        <f t="shared" si="0"/>
        <v>1067.0835229417551</v>
      </c>
      <c r="AC10" s="544">
        <f t="shared" si="0"/>
        <v>1092.8148432411069</v>
      </c>
    </row>
    <row r="11" spans="2:29" ht="28.5" customHeight="1" x14ac:dyDescent="0.25">
      <c r="B11" s="562" t="s">
        <v>1021</v>
      </c>
      <c r="C11" s="563"/>
      <c r="D11" s="564"/>
      <c r="E11" s="565"/>
      <c r="F11" s="565"/>
      <c r="G11" s="565"/>
      <c r="H11" s="565"/>
      <c r="I11" s="565"/>
      <c r="J11" s="566">
        <f>'Haver Pivoted'!GU46</f>
        <v>9.6</v>
      </c>
      <c r="K11" s="566">
        <f>'Haver Pivoted'!GV46</f>
        <v>14.4</v>
      </c>
      <c r="L11" s="566">
        <f>'Haver Pivoted'!GW46</f>
        <v>14.3</v>
      </c>
      <c r="M11" s="566">
        <f>'Haver Pivoted'!GX46</f>
        <v>14.2</v>
      </c>
      <c r="N11" s="566">
        <f>'Haver Pivoted'!GY46</f>
        <v>14.1</v>
      </c>
      <c r="O11" s="566">
        <f>'Haver Pivoted'!GZ46</f>
        <v>14.3</v>
      </c>
      <c r="P11" s="566">
        <f>'Haver Pivoted'!HA46</f>
        <v>14.6</v>
      </c>
      <c r="Q11" s="567">
        <f>'Haver Pivoted'!HB46</f>
        <v>14.8</v>
      </c>
      <c r="R11" s="566">
        <v>15</v>
      </c>
      <c r="S11" s="566">
        <v>15</v>
      </c>
      <c r="T11" s="566">
        <v>15</v>
      </c>
      <c r="U11" s="566">
        <v>15</v>
      </c>
      <c r="V11" s="566">
        <v>15</v>
      </c>
      <c r="W11" s="566">
        <v>15</v>
      </c>
      <c r="X11" s="566"/>
      <c r="Y11" s="566"/>
      <c r="Z11" s="566"/>
      <c r="AA11" s="566"/>
      <c r="AB11" s="566"/>
      <c r="AC11" s="567"/>
    </row>
    <row r="12" spans="2:29" x14ac:dyDescent="0.25">
      <c r="B12" s="574" t="s">
        <v>516</v>
      </c>
      <c r="C12" s="572"/>
      <c r="D12" s="555"/>
      <c r="E12" s="556"/>
      <c r="F12" s="556"/>
      <c r="G12" s="556"/>
      <c r="H12" s="556"/>
      <c r="I12" s="556"/>
      <c r="J12" s="520"/>
      <c r="K12" s="520"/>
      <c r="L12" s="520"/>
      <c r="M12" s="520"/>
      <c r="N12" s="520">
        <f>(1 + $E$28)^0.25-1</f>
        <v>0</v>
      </c>
      <c r="O12" s="520">
        <f>(1 + $E$28)^0.25-1</f>
        <v>0</v>
      </c>
      <c r="P12" s="520">
        <f>(1 + $F$28)^0.25-1</f>
        <v>2.1178433383513662E-2</v>
      </c>
      <c r="Q12" s="570">
        <f>(1 +$F$28)^0.25-1</f>
        <v>2.1178433383513662E-2</v>
      </c>
      <c r="R12" s="521">
        <f>(1 +$F$28)^0.25-1</f>
        <v>2.1178433383513662E-2</v>
      </c>
      <c r="S12" s="521">
        <f>(1 +$F$28)^0.25-1</f>
        <v>2.1178433383513662E-2</v>
      </c>
      <c r="T12" s="521">
        <f>(1 +$G$28)^0.25-1</f>
        <v>1.9719733758816194E-2</v>
      </c>
      <c r="U12" s="521">
        <f>(1 +$G$28)^0.25-1</f>
        <v>1.9719733758816194E-2</v>
      </c>
      <c r="V12" s="521">
        <f>(1 +$G$28)^0.25-1</f>
        <v>1.9719733758816194E-2</v>
      </c>
      <c r="W12" s="521">
        <f>(1 +$G$28)^0.25-1</f>
        <v>1.9719733758816194E-2</v>
      </c>
      <c r="X12" s="521">
        <f t="shared" ref="X12:AC12" si="1">(1 +$H$28)^0.25-1</f>
        <v>2.4113689084445111E-2</v>
      </c>
      <c r="Y12" s="521">
        <f t="shared" si="1"/>
        <v>2.4113689084445111E-2</v>
      </c>
      <c r="Z12" s="521">
        <f t="shared" si="1"/>
        <v>2.4113689084445111E-2</v>
      </c>
      <c r="AA12" s="521">
        <f t="shared" si="1"/>
        <v>2.4113689084445111E-2</v>
      </c>
      <c r="AB12" s="521">
        <f t="shared" si="1"/>
        <v>2.4113689084445111E-2</v>
      </c>
      <c r="AC12" s="541">
        <f t="shared" si="1"/>
        <v>2.4113689084445111E-2</v>
      </c>
    </row>
    <row r="13" spans="2:29" x14ac:dyDescent="0.25">
      <c r="B13" s="587"/>
      <c r="C13" s="527"/>
      <c r="D13" s="517"/>
      <c r="E13" s="517"/>
      <c r="F13" s="517"/>
      <c r="G13" s="517"/>
      <c r="H13" s="517"/>
      <c r="I13" s="517"/>
      <c r="J13" s="518"/>
      <c r="K13" s="518"/>
      <c r="L13" s="518"/>
      <c r="M13" s="518"/>
      <c r="N13" s="518"/>
    </row>
    <row r="14" spans="2:29" x14ac:dyDescent="0.25">
      <c r="B14" s="587"/>
      <c r="C14" s="527"/>
      <c r="D14" s="517"/>
      <c r="E14" s="517"/>
      <c r="F14" s="517"/>
      <c r="G14" s="517"/>
      <c r="H14" s="517"/>
      <c r="I14" s="517"/>
      <c r="J14" s="518"/>
      <c r="K14" s="518"/>
      <c r="L14" s="518"/>
      <c r="M14" s="518"/>
      <c r="N14" s="1025" t="s">
        <v>992</v>
      </c>
      <c r="O14" s="1025"/>
      <c r="P14" s="1025"/>
      <c r="Q14" s="571">
        <v>875</v>
      </c>
      <c r="R14" s="544">
        <v>891.08013752972386</v>
      </c>
      <c r="S14" s="544">
        <v>907.46093880709282</v>
      </c>
      <c r="T14" s="544">
        <v>924.14802559305156</v>
      </c>
      <c r="U14" s="544">
        <v>925.12135244243177</v>
      </c>
      <c r="V14" s="544">
        <v>942.4115625893894</v>
      </c>
      <c r="W14" s="544">
        <v>960.02457208239116</v>
      </c>
      <c r="X14" s="544">
        <v>962.96640741949125</v>
      </c>
      <c r="Y14" s="544">
        <v>980.98175187447646</v>
      </c>
      <c r="Z14" s="544">
        <v>999.32862214421073</v>
      </c>
      <c r="AA14" s="544">
        <v>1018.0131191037631</v>
      </c>
      <c r="AB14" s="544">
        <v>1037.0414558990274</v>
      </c>
      <c r="AC14" s="524">
        <v>1056.4199600127756</v>
      </c>
    </row>
    <row r="15" spans="2:29" ht="14.45" customHeight="1" x14ac:dyDescent="0.25">
      <c r="B15" s="587"/>
      <c r="C15" s="527"/>
      <c r="D15" s="517"/>
      <c r="E15" s="517"/>
      <c r="F15" s="517"/>
      <c r="G15" s="517"/>
      <c r="H15" s="517"/>
      <c r="I15" s="517"/>
      <c r="J15" s="518"/>
      <c r="K15" s="518"/>
      <c r="L15" s="518"/>
      <c r="M15" s="518"/>
      <c r="N15" s="518"/>
      <c r="Q15" s="546">
        <v>875</v>
      </c>
      <c r="R15" s="408">
        <v>891.08013752972386</v>
      </c>
      <c r="S15" s="408">
        <v>907.46093880709282</v>
      </c>
      <c r="T15" s="408">
        <v>924.14802559305156</v>
      </c>
      <c r="U15" s="408">
        <v>941.12135244243177</v>
      </c>
      <c r="V15" s="408">
        <v>958.4115625893894</v>
      </c>
      <c r="W15" s="408">
        <v>976.02457208239116</v>
      </c>
      <c r="X15" s="408">
        <v>978.96640741949125</v>
      </c>
      <c r="Y15" s="408">
        <v>996.98175187447646</v>
      </c>
      <c r="Z15" s="408">
        <v>1015.3286221442107</v>
      </c>
      <c r="AA15" s="408">
        <v>1034.0131191037631</v>
      </c>
      <c r="AB15" s="408">
        <v>1053.0414558990274</v>
      </c>
      <c r="AC15" s="409">
        <v>1072.4199600127756</v>
      </c>
    </row>
    <row r="16" spans="2:29" x14ac:dyDescent="0.25">
      <c r="B16" s="587"/>
      <c r="C16" s="527"/>
      <c r="D16" s="517"/>
      <c r="E16" s="517"/>
      <c r="F16" s="517"/>
      <c r="G16" s="517"/>
      <c r="H16" s="517"/>
      <c r="I16" s="517"/>
      <c r="J16" s="518"/>
      <c r="K16" s="518"/>
      <c r="L16" s="518"/>
      <c r="M16" s="518"/>
      <c r="N16" s="518"/>
      <c r="Q16" s="546">
        <v>860</v>
      </c>
      <c r="R16" s="408">
        <v>876.08013752972386</v>
      </c>
      <c r="S16" s="408">
        <v>892.46093880709282</v>
      </c>
      <c r="T16" s="408">
        <v>909.14802559305156</v>
      </c>
      <c r="U16" s="408">
        <v>926.12135244243177</v>
      </c>
      <c r="V16" s="408">
        <v>943.4115625893894</v>
      </c>
      <c r="W16" s="408">
        <v>961.02457208239116</v>
      </c>
      <c r="X16" s="408">
        <v>978.96640741949125</v>
      </c>
      <c r="Y16" s="408">
        <v>996.98175187447646</v>
      </c>
      <c r="Z16" s="408">
        <v>1015.3286221442107</v>
      </c>
      <c r="AA16" s="408">
        <v>1034.0131191037631</v>
      </c>
      <c r="AB16" s="408">
        <v>1053.0414558990274</v>
      </c>
      <c r="AC16" s="409">
        <v>1072.4199600127756</v>
      </c>
    </row>
    <row r="17" spans="2:29" x14ac:dyDescent="0.25">
      <c r="B17" s="587"/>
      <c r="C17" s="527"/>
      <c r="D17" s="517"/>
      <c r="E17" s="517"/>
      <c r="F17" s="517"/>
      <c r="G17" s="517"/>
      <c r="H17" s="517"/>
      <c r="I17" s="517"/>
      <c r="J17" s="518"/>
      <c r="K17" s="518"/>
      <c r="L17" s="518"/>
      <c r="M17" s="518"/>
      <c r="N17" s="518"/>
      <c r="Q17" s="421"/>
      <c r="R17" s="576"/>
      <c r="S17" s="576"/>
      <c r="T17" s="576"/>
      <c r="U17" s="576">
        <v>-16</v>
      </c>
      <c r="V17" s="576">
        <v>-16</v>
      </c>
      <c r="W17" s="576">
        <v>-16</v>
      </c>
      <c r="X17" s="576">
        <v>-16</v>
      </c>
      <c r="Y17" s="576">
        <v>-16</v>
      </c>
      <c r="Z17" s="576">
        <v>-16</v>
      </c>
      <c r="AA17" s="576">
        <v>-16</v>
      </c>
      <c r="AB17" s="576">
        <v>-16</v>
      </c>
      <c r="AC17" s="586">
        <v>-16</v>
      </c>
    </row>
    <row r="18" spans="2:29" x14ac:dyDescent="0.25">
      <c r="B18" s="587"/>
      <c r="C18" s="527"/>
      <c r="D18" s="517"/>
      <c r="E18" s="517"/>
      <c r="F18" s="517"/>
      <c r="G18" s="517"/>
      <c r="H18" s="517"/>
      <c r="I18" s="517"/>
      <c r="J18" s="518"/>
      <c r="K18" s="518"/>
      <c r="L18" s="518"/>
      <c r="M18" s="518"/>
      <c r="N18" s="518"/>
      <c r="Q18" s="421">
        <v>15</v>
      </c>
      <c r="R18" s="576">
        <v>15</v>
      </c>
      <c r="S18" s="576">
        <v>15</v>
      </c>
      <c r="T18" s="576">
        <v>15</v>
      </c>
      <c r="U18" s="576">
        <v>15</v>
      </c>
      <c r="V18" s="576">
        <v>15</v>
      </c>
      <c r="W18" s="576">
        <v>15</v>
      </c>
      <c r="X18" s="576"/>
      <c r="Y18" s="576"/>
      <c r="Z18" s="576"/>
      <c r="AA18" s="576"/>
      <c r="AB18" s="576"/>
      <c r="AC18" s="586"/>
    </row>
    <row r="19" spans="2:29" x14ac:dyDescent="0.25">
      <c r="B19" s="587"/>
      <c r="C19" s="527"/>
      <c r="D19" s="517"/>
      <c r="E19" s="517"/>
      <c r="F19" s="517"/>
      <c r="G19" s="517"/>
      <c r="H19" s="517"/>
      <c r="I19" s="517"/>
      <c r="J19" s="518"/>
      <c r="K19" s="518"/>
      <c r="L19" s="518"/>
      <c r="M19" s="518"/>
      <c r="N19" s="518"/>
      <c r="Q19" s="570">
        <v>1.8697834336888208E-2</v>
      </c>
      <c r="R19" s="521">
        <v>1.8697834336888208E-2</v>
      </c>
      <c r="S19" s="521">
        <v>1.8697834336888208E-2</v>
      </c>
      <c r="T19" s="521">
        <v>1.8669486564971915E-2</v>
      </c>
      <c r="U19" s="521">
        <v>1.8669486564971915E-2</v>
      </c>
      <c r="V19" s="521">
        <v>1.8669486564971915E-2</v>
      </c>
      <c r="W19" s="521">
        <v>1.8669486564971915E-2</v>
      </c>
      <c r="X19" s="521">
        <v>1.8402413319240196E-2</v>
      </c>
      <c r="Y19" s="521">
        <v>1.8402413319240196E-2</v>
      </c>
      <c r="Z19" s="521">
        <v>1.8402413319240196E-2</v>
      </c>
      <c r="AA19" s="521">
        <v>1.8402413319240196E-2</v>
      </c>
      <c r="AB19" s="521">
        <v>1.8402413319240196E-2</v>
      </c>
      <c r="AC19" s="541">
        <v>1.8402413319240196E-2</v>
      </c>
    </row>
    <row r="20" spans="2:29" x14ac:dyDescent="0.25">
      <c r="B20" s="587"/>
      <c r="C20" s="527"/>
      <c r="D20" s="517"/>
      <c r="E20" s="517"/>
      <c r="F20" s="517"/>
      <c r="G20" s="517"/>
      <c r="H20" s="517"/>
      <c r="I20" s="517"/>
      <c r="J20" s="518"/>
      <c r="K20" s="518"/>
      <c r="L20" s="518"/>
      <c r="M20" s="518"/>
      <c r="N20" s="518"/>
    </row>
    <row r="21" spans="2:29" ht="14.45" customHeight="1" x14ac:dyDescent="0.25">
      <c r="B21" s="257" t="s">
        <v>400</v>
      </c>
    </row>
    <row r="22" spans="2:29" x14ac:dyDescent="0.25">
      <c r="B22" s="580" t="s">
        <v>493</v>
      </c>
      <c r="C22" s="580">
        <v>2019</v>
      </c>
      <c r="D22" s="581">
        <v>2020</v>
      </c>
      <c r="E22" s="581">
        <v>2021</v>
      </c>
      <c r="F22" s="581">
        <v>2022</v>
      </c>
      <c r="G22" s="581">
        <v>2023</v>
      </c>
      <c r="H22" s="582">
        <v>2024</v>
      </c>
      <c r="I22" s="582">
        <v>2025</v>
      </c>
      <c r="J22" s="582">
        <v>2026</v>
      </c>
      <c r="P22" s="363"/>
      <c r="Q22" s="363"/>
      <c r="R22" s="363"/>
      <c r="S22" s="363"/>
      <c r="T22" s="363"/>
      <c r="U22" s="363"/>
      <c r="V22" s="363"/>
      <c r="W22" s="363"/>
      <c r="X22" s="363"/>
      <c r="Y22" s="363"/>
      <c r="Z22" s="363"/>
      <c r="AA22" s="363"/>
      <c r="AB22" s="363"/>
      <c r="AC22" s="363"/>
    </row>
    <row r="23" spans="2:29" ht="21" customHeight="1" x14ac:dyDescent="0.25">
      <c r="B23" s="569" t="s">
        <v>991</v>
      </c>
      <c r="C23" s="584"/>
      <c r="D23" s="575"/>
      <c r="E23" s="559">
        <v>867.67600000000004</v>
      </c>
      <c r="F23" s="559">
        <v>941.351</v>
      </c>
      <c r="G23" s="559">
        <v>1008.7670000000001</v>
      </c>
      <c r="H23" s="559">
        <v>1085.711</v>
      </c>
      <c r="I23" s="559">
        <v>1165.28</v>
      </c>
      <c r="J23" s="559">
        <v>1262.203</v>
      </c>
      <c r="K23" s="575"/>
      <c r="L23" s="575"/>
      <c r="M23" s="575"/>
      <c r="N23" s="575"/>
      <c r="O23" s="575"/>
      <c r="P23" s="363"/>
      <c r="Q23" s="363"/>
      <c r="R23" s="363"/>
      <c r="S23" s="363"/>
      <c r="T23" s="363"/>
      <c r="U23" s="363"/>
      <c r="V23" s="363"/>
      <c r="W23" s="363"/>
      <c r="X23" s="363"/>
      <c r="Y23" s="363"/>
      <c r="Z23" s="363"/>
      <c r="AA23" s="363"/>
      <c r="AB23" s="363"/>
      <c r="AC23" s="363"/>
    </row>
    <row r="24" spans="2:29" ht="21" customHeight="1" x14ac:dyDescent="0.25">
      <c r="B24" s="569"/>
      <c r="C24" s="584"/>
      <c r="D24" s="575"/>
      <c r="E24" s="559">
        <f>AVERAGE(L10:O10)</f>
        <v>819.22499999999991</v>
      </c>
      <c r="F24" s="559">
        <f>AVERAGE(P10:S10)</f>
        <v>862.23422197292382</v>
      </c>
      <c r="G24" s="559">
        <f>AVERAGE(T10:W10)</f>
        <v>924.07489345776605</v>
      </c>
      <c r="H24" s="559">
        <f>AVERAGE(X10:AA10)</f>
        <v>1005.731564496296</v>
      </c>
      <c r="I24" s="559">
        <f>AVERAGE(AB10:AE10)</f>
        <v>1079.949183091431</v>
      </c>
      <c r="J24" s="36"/>
      <c r="K24" s="575"/>
      <c r="L24" s="575"/>
      <c r="M24" s="575"/>
      <c r="N24" s="575"/>
      <c r="O24" s="575"/>
      <c r="P24" s="363"/>
      <c r="Q24" s="363"/>
      <c r="R24" s="363"/>
      <c r="S24" s="363"/>
      <c r="T24" s="363"/>
      <c r="U24" s="363"/>
      <c r="V24" s="363"/>
      <c r="W24" s="363"/>
      <c r="X24" s="363"/>
      <c r="Y24" s="363"/>
      <c r="Z24" s="363"/>
      <c r="AA24" s="363"/>
      <c r="AB24" s="363"/>
      <c r="AC24" s="363"/>
    </row>
    <row r="25" spans="2:29" ht="21" customHeight="1" x14ac:dyDescent="0.25">
      <c r="B25" s="255" t="s">
        <v>517</v>
      </c>
      <c r="C25" s="255"/>
      <c r="D25" s="183">
        <v>47</v>
      </c>
      <c r="E25" s="183">
        <v>48</v>
      </c>
      <c r="F25">
        <v>-50</v>
      </c>
      <c r="G25" s="36">
        <v>-45</v>
      </c>
      <c r="J25" s="578">
        <f>SUM(D25:G25)</f>
        <v>0</v>
      </c>
      <c r="M25" s="575"/>
      <c r="N25" s="575"/>
      <c r="O25" s="575"/>
      <c r="P25" s="363"/>
      <c r="Q25" s="363"/>
      <c r="R25" s="363"/>
      <c r="S25" s="363"/>
      <c r="T25" s="363"/>
      <c r="U25" s="363"/>
      <c r="V25" s="363"/>
      <c r="W25" s="363"/>
      <c r="X25" s="363"/>
      <c r="Y25" s="363"/>
      <c r="Z25" s="363"/>
      <c r="AA25" s="363"/>
      <c r="AB25" s="363"/>
      <c r="AC25" s="363"/>
    </row>
    <row r="26" spans="2:29" x14ac:dyDescent="0.25">
      <c r="B26" s="255" t="s">
        <v>518</v>
      </c>
      <c r="C26" s="584"/>
      <c r="D26" s="256"/>
      <c r="E26" s="256">
        <f>E23-E25</f>
        <v>819.67600000000004</v>
      </c>
      <c r="F26" s="256">
        <f t="shared" ref="F26:I26" si="2">F23+F25</f>
        <v>891.351</v>
      </c>
      <c r="G26" s="256">
        <f t="shared" si="2"/>
        <v>963.76700000000005</v>
      </c>
      <c r="H26" s="256">
        <f t="shared" si="2"/>
        <v>1085.711</v>
      </c>
      <c r="I26" s="256">
        <f t="shared" si="2"/>
        <v>1165.28</v>
      </c>
      <c r="J26" s="578"/>
      <c r="N26" s="579"/>
      <c r="O26" s="527"/>
      <c r="P26" s="363"/>
      <c r="Q26" s="363"/>
      <c r="R26" s="363"/>
      <c r="S26" s="363"/>
      <c r="T26" s="363"/>
      <c r="U26" s="363"/>
      <c r="V26" s="363"/>
      <c r="W26" s="363"/>
      <c r="X26" s="363"/>
      <c r="Y26" s="363"/>
      <c r="Z26" s="363"/>
      <c r="AA26" s="363"/>
      <c r="AB26" s="363"/>
      <c r="AC26" s="363"/>
    </row>
    <row r="27" spans="2:29" x14ac:dyDescent="0.25">
      <c r="B27" s="255" t="s">
        <v>520</v>
      </c>
      <c r="C27" s="585">
        <f>AVERAGE(D10:G10)</f>
        <v>773.92499999999995</v>
      </c>
      <c r="D27" s="202">
        <f>AVERAGE(H10:K10)</f>
        <v>814.3</v>
      </c>
      <c r="E27" s="256">
        <f>AVERAGE(L10:O10)</f>
        <v>819.22499999999991</v>
      </c>
      <c r="J27" s="578"/>
      <c r="K27" s="183" t="s">
        <v>519</v>
      </c>
      <c r="P27" s="363"/>
      <c r="Q27" s="363"/>
      <c r="R27" s="363"/>
      <c r="S27" s="363"/>
      <c r="T27" s="363"/>
      <c r="U27" s="363"/>
      <c r="V27" s="363"/>
      <c r="W27" s="363"/>
      <c r="X27" s="363"/>
      <c r="Y27" s="363"/>
      <c r="Z27" s="363"/>
      <c r="AA27" s="363"/>
      <c r="AB27" s="363"/>
      <c r="AC27" s="363"/>
    </row>
    <row r="28" spans="2:29" x14ac:dyDescent="0.25">
      <c r="B28" s="583" t="s">
        <v>521</v>
      </c>
      <c r="C28" s="168"/>
      <c r="D28" s="192"/>
      <c r="E28" s="192"/>
      <c r="F28" s="192">
        <f>F26/E26-1</f>
        <v>8.7443087268628039E-2</v>
      </c>
      <c r="G28" s="192">
        <f t="shared" ref="G28:I28" si="3">G26/F26-1</f>
        <v>8.1242967136403221E-2</v>
      </c>
      <c r="H28" s="192">
        <v>0.1</v>
      </c>
      <c r="I28" s="192">
        <f t="shared" si="3"/>
        <v>7.328745863309849E-2</v>
      </c>
      <c r="J28" s="203" t="e">
        <f>#REF!/#REF!-1</f>
        <v>#REF!</v>
      </c>
      <c r="P28" s="183"/>
      <c r="Q28" s="183"/>
      <c r="R28" s="183"/>
      <c r="S28" s="183"/>
      <c r="T28" s="183"/>
      <c r="U28" s="183"/>
      <c r="V28" s="183"/>
      <c r="W28" s="183"/>
      <c r="X28" s="183"/>
      <c r="Y28" s="183"/>
      <c r="Z28" s="183"/>
      <c r="AA28" s="183"/>
      <c r="AB28" s="183"/>
      <c r="AC28" s="183"/>
    </row>
    <row r="29" spans="2:29" x14ac:dyDescent="0.25">
      <c r="P29" s="183"/>
      <c r="Q29" s="183"/>
      <c r="R29" s="183"/>
      <c r="S29" s="183"/>
      <c r="T29" s="183"/>
      <c r="U29" s="183"/>
      <c r="V29" s="183"/>
      <c r="W29" s="183"/>
      <c r="X29" s="183"/>
      <c r="Y29" s="183"/>
      <c r="Z29" s="183"/>
      <c r="AA29" s="183"/>
      <c r="AB29" s="183"/>
      <c r="AC29" s="183"/>
    </row>
    <row r="30" spans="2:29" x14ac:dyDescent="0.25">
      <c r="C30" s="577"/>
      <c r="D30" s="577"/>
      <c r="E30" s="577"/>
      <c r="F30" s="577"/>
      <c r="G30" s="577"/>
      <c r="H30" s="577"/>
      <c r="I30" s="577"/>
      <c r="J30" s="577"/>
      <c r="P30" s="183"/>
      <c r="Q30" s="183"/>
      <c r="R30" s="183"/>
      <c r="S30" s="183"/>
      <c r="T30" s="183"/>
      <c r="U30" s="183"/>
      <c r="V30" s="183"/>
      <c r="W30" s="183"/>
      <c r="X30" s="183"/>
      <c r="Y30" s="183"/>
      <c r="Z30" s="183"/>
      <c r="AA30" s="183"/>
      <c r="AB30" s="183"/>
      <c r="AC30" s="183"/>
    </row>
    <row r="31" spans="2:29" x14ac:dyDescent="0.25">
      <c r="K31" s="577"/>
      <c r="L31" s="577"/>
      <c r="M31" s="577"/>
      <c r="N31" s="577"/>
      <c r="P31" s="183"/>
      <c r="Q31" s="183"/>
      <c r="R31" s="183"/>
      <c r="S31" s="183"/>
      <c r="T31" s="183"/>
      <c r="U31" s="183"/>
      <c r="V31" s="183"/>
      <c r="W31" s="183"/>
      <c r="X31" s="183"/>
      <c r="Y31" s="183"/>
      <c r="Z31" s="183"/>
      <c r="AA31" s="183"/>
      <c r="AB31" s="183"/>
      <c r="AC31" s="183"/>
    </row>
    <row r="32" spans="2:29" x14ac:dyDescent="0.25">
      <c r="P32" s="183"/>
      <c r="Q32" s="183"/>
      <c r="R32" s="183"/>
      <c r="S32" s="183"/>
      <c r="T32" s="183"/>
      <c r="U32" s="183"/>
      <c r="V32" s="183"/>
      <c r="W32" s="183"/>
      <c r="X32" s="183"/>
      <c r="Y32" s="183"/>
      <c r="Z32" s="183"/>
      <c r="AA32" s="183"/>
      <c r="AB32" s="183"/>
      <c r="AC32" s="183"/>
    </row>
    <row r="33" spans="6:32" x14ac:dyDescent="0.25">
      <c r="S33" s="183"/>
      <c r="T33" s="183"/>
      <c r="U33" s="183"/>
      <c r="V33" s="183"/>
      <c r="W33" s="183"/>
      <c r="X33" s="183"/>
      <c r="Y33" s="183"/>
      <c r="Z33" s="183"/>
      <c r="AA33" s="183"/>
      <c r="AB33" s="183"/>
      <c r="AC33" s="183"/>
      <c r="AD33" s="183"/>
      <c r="AE33" s="183"/>
      <c r="AF33" s="183"/>
    </row>
    <row r="34" spans="6:32" x14ac:dyDescent="0.25">
      <c r="P34" s="183"/>
      <c r="Q34" s="183"/>
      <c r="R34" s="183"/>
      <c r="S34" s="183"/>
      <c r="T34" s="183"/>
      <c r="U34" s="183"/>
      <c r="V34" s="183"/>
      <c r="W34" s="183"/>
      <c r="X34" s="183"/>
      <c r="Y34" s="183"/>
      <c r="Z34" s="183"/>
      <c r="AA34" s="183"/>
      <c r="AB34" s="183"/>
      <c r="AC34" s="183"/>
    </row>
    <row r="35" spans="6:32" x14ac:dyDescent="0.25">
      <c r="F35" s="36"/>
      <c r="G35" s="36"/>
      <c r="P35" s="183"/>
      <c r="Q35" s="183"/>
      <c r="R35" s="183"/>
      <c r="S35" s="183"/>
      <c r="T35" s="183"/>
      <c r="U35" s="183"/>
      <c r="V35" s="183"/>
      <c r="W35" s="183"/>
      <c r="X35" s="183"/>
      <c r="Y35" s="183"/>
      <c r="Z35" s="183"/>
      <c r="AA35" s="183"/>
      <c r="AB35" s="183"/>
      <c r="AC35" s="183"/>
    </row>
    <row r="36" spans="6:32" x14ac:dyDescent="0.25">
      <c r="P36" s="183"/>
      <c r="Q36" s="183"/>
      <c r="R36" s="183"/>
      <c r="S36" s="183"/>
      <c r="T36" s="183"/>
      <c r="U36" s="183"/>
      <c r="V36" s="183"/>
      <c r="W36" s="183"/>
      <c r="X36" s="183"/>
      <c r="Y36" s="183"/>
      <c r="Z36" s="183"/>
      <c r="AA36" s="183"/>
      <c r="AB36" s="183"/>
      <c r="AC36" s="183"/>
    </row>
    <row r="37" spans="6:32" x14ac:dyDescent="0.25">
      <c r="P37" s="183"/>
      <c r="Q37" s="183"/>
      <c r="R37" s="183"/>
      <c r="S37" s="183"/>
      <c r="T37" s="183"/>
      <c r="U37" s="183"/>
      <c r="V37" s="183"/>
      <c r="W37" s="183"/>
      <c r="X37" s="183"/>
      <c r="Y37" s="183"/>
      <c r="Z37" s="183"/>
      <c r="AA37" s="183"/>
      <c r="AB37" s="183"/>
      <c r="AC37" s="183"/>
    </row>
  </sheetData>
  <mergeCells count="11">
    <mergeCell ref="N14:P14"/>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zoomScale="73" zoomScaleNormal="143" workbookViewId="0">
      <selection activeCell="D4" sqref="D4"/>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900" t="s">
        <v>37</v>
      </c>
      <c r="B2" s="901"/>
      <c r="C2" s="901"/>
      <c r="D2" s="902"/>
      <c r="E2" s="15"/>
      <c r="F2" s="15"/>
    </row>
    <row r="3" spans="1:7" ht="158.65" customHeight="1" x14ac:dyDescent="0.25">
      <c r="A3" s="18" t="s">
        <v>923</v>
      </c>
      <c r="B3" s="14" t="s">
        <v>924</v>
      </c>
      <c r="C3" s="14" t="s">
        <v>950</v>
      </c>
      <c r="D3" s="22" t="s">
        <v>954</v>
      </c>
      <c r="E3" s="14"/>
      <c r="F3" s="14"/>
    </row>
    <row r="4" spans="1:7" ht="99.4" customHeight="1" x14ac:dyDescent="0.25">
      <c r="A4" s="18" t="s">
        <v>925</v>
      </c>
      <c r="B4" s="14" t="s">
        <v>38</v>
      </c>
      <c r="C4" s="14" t="s">
        <v>39</v>
      </c>
      <c r="D4" s="22" t="s">
        <v>954</v>
      </c>
      <c r="E4" s="14"/>
      <c r="F4" s="14"/>
    </row>
    <row r="5" spans="1:7" ht="85.5" customHeight="1" x14ac:dyDescent="0.25">
      <c r="A5" s="18" t="s">
        <v>926</v>
      </c>
      <c r="B5" s="14" t="s">
        <v>40</v>
      </c>
      <c r="C5" s="14" t="s">
        <v>928</v>
      </c>
      <c r="D5" s="22" t="s">
        <v>954</v>
      </c>
      <c r="E5" s="14"/>
      <c r="F5" s="14"/>
    </row>
    <row r="6" spans="1:7" ht="61.5" customHeight="1" x14ac:dyDescent="0.25">
      <c r="A6" s="18" t="s">
        <v>927</v>
      </c>
      <c r="B6" s="14" t="s">
        <v>905</v>
      </c>
      <c r="C6" s="14" t="s">
        <v>906</v>
      </c>
      <c r="D6" s="22" t="s">
        <v>954</v>
      </c>
      <c r="E6" s="14"/>
      <c r="F6" s="14"/>
    </row>
    <row r="7" spans="1:7" ht="100.15" customHeight="1" x14ac:dyDescent="0.25">
      <c r="A7" s="18" t="s">
        <v>42</v>
      </c>
      <c r="B7" s="14" t="s">
        <v>43</v>
      </c>
      <c r="C7" s="28" t="s">
        <v>44</v>
      </c>
      <c r="D7" s="22" t="s">
        <v>954</v>
      </c>
      <c r="E7" s="16"/>
      <c r="F7" s="14"/>
      <c r="G7" s="29"/>
    </row>
    <row r="8" spans="1:7" ht="78" customHeight="1" x14ac:dyDescent="0.25">
      <c r="A8" s="18" t="s">
        <v>45</v>
      </c>
      <c r="B8" s="14" t="s">
        <v>46</v>
      </c>
      <c r="C8" s="14" t="s">
        <v>959</v>
      </c>
      <c r="D8" s="22" t="s">
        <v>954</v>
      </c>
      <c r="E8" s="14"/>
      <c r="F8" s="14"/>
    </row>
    <row r="9" spans="1:7" ht="67.5" customHeight="1" x14ac:dyDescent="0.25">
      <c r="A9" s="18" t="s">
        <v>895</v>
      </c>
      <c r="B9" s="14" t="s">
        <v>907</v>
      </c>
      <c r="C9" s="14" t="s">
        <v>973</v>
      </c>
      <c r="D9" s="22" t="s">
        <v>954</v>
      </c>
      <c r="E9" s="14"/>
      <c r="F9" s="14"/>
    </row>
    <row r="10" spans="1:7" ht="63.4" customHeight="1" x14ac:dyDescent="0.25">
      <c r="A10" s="18" t="s">
        <v>47</v>
      </c>
      <c r="B10" s="14" t="s">
        <v>48</v>
      </c>
      <c r="C10" s="14" t="s">
        <v>929</v>
      </c>
      <c r="D10" s="23" t="s">
        <v>954</v>
      </c>
      <c r="E10" s="14"/>
      <c r="F10" s="14"/>
    </row>
    <row r="11" spans="1:7" ht="15" customHeight="1" x14ac:dyDescent="0.25">
      <c r="A11" s="900" t="s">
        <v>930</v>
      </c>
      <c r="B11" s="901"/>
      <c r="C11" s="901"/>
      <c r="D11" s="902"/>
      <c r="E11" s="15"/>
      <c r="F11" s="14"/>
    </row>
    <row r="12" spans="1:7" ht="29.65" customHeight="1" x14ac:dyDescent="0.25">
      <c r="A12" s="19" t="s">
        <v>9</v>
      </c>
      <c r="B12" s="906" t="s">
        <v>932</v>
      </c>
      <c r="C12" s="906"/>
      <c r="D12" s="24"/>
      <c r="E12" s="15"/>
      <c r="F12" s="14"/>
    </row>
    <row r="13" spans="1:7" ht="48.4" customHeight="1" x14ac:dyDescent="0.25">
      <c r="A13" s="17" t="s">
        <v>931</v>
      </c>
      <c r="B13" s="906" t="s">
        <v>942</v>
      </c>
      <c r="C13" s="906"/>
      <c r="D13" s="22"/>
      <c r="E13" s="15"/>
      <c r="F13" s="14"/>
    </row>
    <row r="14" spans="1:7" ht="48.4" customHeight="1" x14ac:dyDescent="0.25">
      <c r="A14" s="17" t="s">
        <v>933</v>
      </c>
      <c r="B14" s="906" t="s">
        <v>934</v>
      </c>
      <c r="C14" s="906"/>
      <c r="D14" s="23"/>
      <c r="E14" s="15"/>
      <c r="F14" s="14"/>
    </row>
    <row r="15" spans="1:7" x14ac:dyDescent="0.25">
      <c r="A15" s="903" t="s">
        <v>59</v>
      </c>
      <c r="B15" s="904"/>
      <c r="C15" s="904"/>
      <c r="D15" s="905"/>
      <c r="E15" s="14"/>
      <c r="F15" s="14"/>
    </row>
    <row r="16" spans="1:7" ht="22.9" customHeight="1" x14ac:dyDescent="0.25">
      <c r="A16" s="898" t="s">
        <v>935</v>
      </c>
      <c r="B16" s="899"/>
      <c r="C16" s="899"/>
      <c r="D16" s="24"/>
      <c r="E16" s="14"/>
      <c r="F16" s="14"/>
    </row>
    <row r="17" spans="1:6" ht="42.4" customHeight="1" x14ac:dyDescent="0.25">
      <c r="A17" s="18" t="s">
        <v>60</v>
      </c>
      <c r="B17" s="14" t="s">
        <v>960</v>
      </c>
      <c r="C17" s="14" t="s">
        <v>967</v>
      </c>
      <c r="D17" s="22"/>
      <c r="E17" s="14"/>
      <c r="F17" s="14"/>
    </row>
    <row r="18" spans="1:6" ht="63.4" customHeight="1" x14ac:dyDescent="0.25">
      <c r="A18" s="18" t="s">
        <v>61</v>
      </c>
      <c r="B18" s="14" t="s">
        <v>961</v>
      </c>
      <c r="C18" s="14" t="s">
        <v>962</v>
      </c>
      <c r="D18" s="22"/>
      <c r="E18" s="14"/>
      <c r="F18" s="14"/>
    </row>
    <row r="19" spans="1:6" ht="63.4" customHeight="1" x14ac:dyDescent="0.25">
      <c r="A19" s="18" t="s">
        <v>963</v>
      </c>
      <c r="B19" s="14" t="s">
        <v>964</v>
      </c>
      <c r="C19" s="14" t="s">
        <v>965</v>
      </c>
      <c r="D19" s="22"/>
      <c r="E19" s="14"/>
      <c r="F19" s="14"/>
    </row>
    <row r="20" spans="1:6" ht="34.15" customHeight="1" x14ac:dyDescent="0.25">
      <c r="A20" s="898" t="s">
        <v>902</v>
      </c>
      <c r="B20" s="899"/>
      <c r="C20" s="899"/>
      <c r="D20" s="23"/>
      <c r="E20" s="14"/>
      <c r="F20" s="14"/>
    </row>
    <row r="21" spans="1:6" x14ac:dyDescent="0.25">
      <c r="A21" s="903" t="s">
        <v>62</v>
      </c>
      <c r="B21" s="904"/>
      <c r="C21" s="904"/>
      <c r="D21" s="905"/>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949</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O13" sqref="O13:AD20"/>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930" t="s">
        <v>56</v>
      </c>
      <c r="C1" s="930"/>
      <c r="D1" s="930"/>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1:29" ht="14.65" customHeight="1" x14ac:dyDescent="0.25">
      <c r="B2" s="931" t="s">
        <v>522</v>
      </c>
      <c r="C2" s="931"/>
      <c r="D2" s="931"/>
      <c r="E2" s="931"/>
      <c r="F2" s="931"/>
      <c r="G2" s="931"/>
      <c r="H2" s="931"/>
      <c r="I2" s="931"/>
      <c r="J2" s="931"/>
      <c r="K2" s="931"/>
      <c r="L2" s="931"/>
      <c r="M2" s="931"/>
      <c r="N2" s="931"/>
      <c r="O2" s="931"/>
      <c r="P2" s="931"/>
      <c r="Q2" s="931"/>
      <c r="R2" s="931"/>
      <c r="S2" s="931"/>
      <c r="T2" s="931"/>
      <c r="U2" s="931"/>
      <c r="V2" s="931"/>
      <c r="W2" s="931"/>
      <c r="X2" s="931"/>
      <c r="Y2" s="931"/>
      <c r="Z2" s="931"/>
      <c r="AA2" s="931"/>
      <c r="AB2" s="931"/>
      <c r="AC2" s="931"/>
    </row>
    <row r="3" spans="1:29" x14ac:dyDescent="0.25">
      <c r="B3" s="931"/>
      <c r="C3" s="931"/>
      <c r="D3" s="931"/>
      <c r="E3" s="931"/>
      <c r="F3" s="931"/>
      <c r="G3" s="931"/>
      <c r="H3" s="931"/>
      <c r="I3" s="931"/>
      <c r="J3" s="931"/>
      <c r="K3" s="931"/>
      <c r="L3" s="931"/>
      <c r="M3" s="931"/>
      <c r="N3" s="931"/>
      <c r="O3" s="931"/>
      <c r="P3" s="931"/>
      <c r="Q3" s="931"/>
      <c r="R3" s="931"/>
      <c r="S3" s="931"/>
      <c r="T3" s="931"/>
      <c r="U3" s="931"/>
      <c r="V3" s="931"/>
      <c r="W3" s="931"/>
      <c r="X3" s="931"/>
      <c r="Y3" s="931"/>
      <c r="Z3" s="931"/>
      <c r="AA3" s="931"/>
      <c r="AB3" s="931"/>
      <c r="AC3" s="931"/>
    </row>
    <row r="4" spans="1:29" x14ac:dyDescent="0.25">
      <c r="B4" s="931"/>
      <c r="C4" s="931"/>
      <c r="D4" s="931"/>
      <c r="E4" s="931"/>
      <c r="F4" s="931"/>
      <c r="G4" s="931"/>
      <c r="H4" s="931"/>
      <c r="I4" s="931"/>
      <c r="J4" s="931"/>
      <c r="K4" s="931"/>
      <c r="L4" s="931"/>
      <c r="M4" s="931"/>
      <c r="N4" s="931"/>
      <c r="O4" s="931"/>
      <c r="P4" s="931"/>
      <c r="Q4" s="931"/>
      <c r="R4" s="931"/>
      <c r="S4" s="931"/>
      <c r="T4" s="931"/>
      <c r="U4" s="931"/>
      <c r="V4" s="931"/>
      <c r="W4" s="931"/>
      <c r="X4" s="931"/>
      <c r="Y4" s="931"/>
      <c r="Z4" s="931"/>
      <c r="AA4" s="931"/>
      <c r="AB4" s="931"/>
      <c r="AC4" s="931"/>
    </row>
    <row r="5" spans="1:29" x14ac:dyDescent="0.25">
      <c r="B5" s="357"/>
      <c r="C5" s="183"/>
      <c r="D5" s="183"/>
      <c r="E5" s="183"/>
      <c r="F5" s="183"/>
      <c r="G5" s="183"/>
      <c r="H5" s="183"/>
      <c r="I5" s="183"/>
      <c r="J5" s="183"/>
      <c r="K5" s="183"/>
      <c r="L5" s="183"/>
      <c r="M5" s="183"/>
      <c r="N5" s="183"/>
      <c r="O5" s="183"/>
      <c r="P5" s="183"/>
      <c r="Q5" s="183"/>
      <c r="R5" s="183"/>
      <c r="S5" s="183"/>
      <c r="T5" s="183"/>
      <c r="U5" s="183"/>
      <c r="V5" s="183"/>
      <c r="W5" s="183"/>
      <c r="X5" s="183"/>
      <c r="Y5" s="183"/>
    </row>
    <row r="6" spans="1:29" x14ac:dyDescent="0.25">
      <c r="B6" s="935" t="s">
        <v>465</v>
      </c>
      <c r="C6" s="936"/>
      <c r="D6" s="945" t="s">
        <v>325</v>
      </c>
      <c r="E6" s="946"/>
      <c r="F6" s="946"/>
      <c r="G6" s="946"/>
      <c r="H6" s="946"/>
      <c r="I6" s="946"/>
      <c r="J6" s="946"/>
      <c r="K6" s="946"/>
      <c r="L6" s="946"/>
      <c r="M6" s="946"/>
      <c r="N6" s="946"/>
      <c r="O6" s="946"/>
      <c r="P6" s="946"/>
      <c r="Q6" s="947"/>
      <c r="R6" s="942" t="s">
        <v>326</v>
      </c>
      <c r="S6" s="943"/>
      <c r="T6" s="943"/>
      <c r="U6" s="943"/>
      <c r="V6" s="943"/>
      <c r="W6" s="943"/>
      <c r="X6" s="943"/>
      <c r="Y6" s="943"/>
      <c r="Z6" s="943"/>
      <c r="AA6" s="943"/>
      <c r="AB6" s="943"/>
      <c r="AC6" s="944"/>
    </row>
    <row r="7" spans="1:29" x14ac:dyDescent="0.25">
      <c r="B7" s="937"/>
      <c r="C7" s="938"/>
      <c r="D7" s="178">
        <v>2018</v>
      </c>
      <c r="E7" s="932">
        <v>2019</v>
      </c>
      <c r="F7" s="933"/>
      <c r="G7" s="933"/>
      <c r="H7" s="934"/>
      <c r="I7" s="932">
        <v>2020</v>
      </c>
      <c r="J7" s="933"/>
      <c r="K7" s="933"/>
      <c r="L7" s="933"/>
      <c r="M7" s="932">
        <v>2021</v>
      </c>
      <c r="N7" s="933"/>
      <c r="O7" s="933"/>
      <c r="P7" s="934"/>
      <c r="Q7" s="172"/>
      <c r="R7" s="171">
        <v>2022</v>
      </c>
      <c r="S7" s="171"/>
      <c r="T7" s="431"/>
      <c r="U7" s="939">
        <v>2023</v>
      </c>
      <c r="V7" s="940"/>
      <c r="W7" s="940"/>
      <c r="X7" s="940"/>
      <c r="Y7" s="939">
        <v>2024</v>
      </c>
      <c r="Z7" s="940"/>
      <c r="AA7" s="940"/>
      <c r="AB7" s="941"/>
      <c r="AC7" s="185">
        <v>2025</v>
      </c>
    </row>
    <row r="8" spans="1:29" x14ac:dyDescent="0.25">
      <c r="B8" s="974"/>
      <c r="C8" s="975"/>
      <c r="D8" s="180" t="s">
        <v>327</v>
      </c>
      <c r="E8" s="180" t="s">
        <v>328</v>
      </c>
      <c r="F8" s="177" t="s">
        <v>329</v>
      </c>
      <c r="G8" s="177" t="s">
        <v>238</v>
      </c>
      <c r="H8" s="179" t="s">
        <v>327</v>
      </c>
      <c r="I8" s="177" t="s">
        <v>328</v>
      </c>
      <c r="J8" s="177" t="s">
        <v>329</v>
      </c>
      <c r="K8" s="177" t="s">
        <v>238</v>
      </c>
      <c r="L8" s="177" t="s">
        <v>327</v>
      </c>
      <c r="M8" s="180" t="s">
        <v>328</v>
      </c>
      <c r="N8" s="177" t="s">
        <v>329</v>
      </c>
      <c r="O8" s="177" t="s">
        <v>238</v>
      </c>
      <c r="P8" s="179" t="s">
        <v>327</v>
      </c>
      <c r="Q8" s="173" t="s">
        <v>328</v>
      </c>
      <c r="R8" s="360" t="s">
        <v>329</v>
      </c>
      <c r="S8" s="360" t="s">
        <v>238</v>
      </c>
      <c r="T8" s="360" t="s">
        <v>327</v>
      </c>
      <c r="U8" s="359" t="s">
        <v>328</v>
      </c>
      <c r="V8" s="360" t="s">
        <v>329</v>
      </c>
      <c r="W8" s="360" t="s">
        <v>238</v>
      </c>
      <c r="X8" s="360" t="s">
        <v>327</v>
      </c>
      <c r="Y8" s="359" t="s">
        <v>328</v>
      </c>
      <c r="Z8" s="196" t="s">
        <v>329</v>
      </c>
      <c r="AA8" s="360" t="s">
        <v>238</v>
      </c>
      <c r="AB8" s="383" t="s">
        <v>327</v>
      </c>
      <c r="AC8" s="400" t="s">
        <v>328</v>
      </c>
    </row>
    <row r="9" spans="1:29" x14ac:dyDescent="0.25">
      <c r="B9" s="522" t="s">
        <v>56</v>
      </c>
      <c r="C9" s="181" t="s">
        <v>523</v>
      </c>
      <c r="D9" s="522"/>
      <c r="E9" s="181"/>
      <c r="F9" s="181"/>
      <c r="G9" s="181"/>
      <c r="H9" s="181"/>
      <c r="I9" s="181"/>
      <c r="J9" s="221">
        <f>'Haver Pivoted'!GU45</f>
        <v>1078.0999999999999</v>
      </c>
      <c r="K9" s="221">
        <f>'Haver Pivoted'!GV45</f>
        <v>15.6</v>
      </c>
      <c r="L9" s="221">
        <f>'Haver Pivoted'!GW45</f>
        <v>5</v>
      </c>
      <c r="M9" s="221">
        <f>'Haver Pivoted'!GX45</f>
        <v>1933.7</v>
      </c>
      <c r="N9" s="221">
        <f>'Haver Pivoted'!GY45</f>
        <v>290.10000000000002</v>
      </c>
      <c r="O9" s="221">
        <f>'Haver Pivoted'!GZ45</f>
        <v>38.9</v>
      </c>
      <c r="P9" s="599">
        <f>'Haver Pivoted'!HA45</f>
        <v>14.2</v>
      </c>
      <c r="Q9" s="599">
        <f>'Haver Pivoted'!HB45</f>
        <v>0</v>
      </c>
      <c r="R9" s="234"/>
      <c r="S9" s="234"/>
      <c r="T9" s="234"/>
      <c r="U9" s="234"/>
      <c r="V9" s="234"/>
      <c r="W9" s="234"/>
      <c r="X9" s="234"/>
      <c r="Y9" s="234"/>
      <c r="Z9" s="234"/>
      <c r="AA9" s="234"/>
      <c r="AB9" s="234"/>
      <c r="AC9" s="235"/>
    </row>
    <row r="10" spans="1:29" x14ac:dyDescent="0.25">
      <c r="B10" s="523" t="s">
        <v>214</v>
      </c>
      <c r="C10" s="170"/>
      <c r="D10" s="523"/>
      <c r="E10" s="170"/>
      <c r="F10" s="170"/>
      <c r="G10" s="170"/>
      <c r="H10" s="170"/>
      <c r="I10" s="170"/>
      <c r="J10" s="598"/>
      <c r="K10" s="598"/>
      <c r="L10" s="598"/>
      <c r="M10" s="598">
        <f>M9-M11</f>
        <v>1348.1</v>
      </c>
      <c r="N10" s="598">
        <f>N9-N11</f>
        <v>290.10000000000002</v>
      </c>
      <c r="O10" s="598">
        <f>O9-O11</f>
        <v>38.9</v>
      </c>
      <c r="P10" s="588">
        <f>P9-P11</f>
        <v>14.2</v>
      </c>
      <c r="Q10" s="588">
        <f>Q9-Q11</f>
        <v>0</v>
      </c>
      <c r="R10" s="490">
        <v>0</v>
      </c>
      <c r="S10" s="595"/>
      <c r="T10" s="595"/>
      <c r="U10" s="595"/>
      <c r="V10" s="595"/>
      <c r="W10" s="595"/>
      <c r="X10" s="595"/>
      <c r="Y10" s="595"/>
      <c r="Z10" s="595"/>
      <c r="AA10" s="595"/>
      <c r="AB10" s="595"/>
      <c r="AC10" s="597"/>
    </row>
    <row r="11" spans="1:29" x14ac:dyDescent="0.25">
      <c r="B11" s="494" t="s">
        <v>524</v>
      </c>
      <c r="C11" s="497"/>
      <c r="D11" s="494"/>
      <c r="E11" s="497"/>
      <c r="F11" s="497"/>
      <c r="G11" s="497"/>
      <c r="H11" s="497"/>
      <c r="I11" s="497"/>
      <c r="J11" s="596">
        <f t="shared" ref="J11:L11" si="0">J9-J10</f>
        <v>1078.0999999999999</v>
      </c>
      <c r="K11" s="596">
        <f t="shared" si="0"/>
        <v>15.6</v>
      </c>
      <c r="L11" s="596">
        <f t="shared" si="0"/>
        <v>5</v>
      </c>
      <c r="M11" s="596">
        <f>SUM(C17:D17)/12*4</f>
        <v>585.6</v>
      </c>
      <c r="N11" s="596">
        <v>0</v>
      </c>
      <c r="O11" s="598">
        <v>0</v>
      </c>
      <c r="P11" s="588">
        <v>0</v>
      </c>
      <c r="Q11" s="588">
        <v>0</v>
      </c>
      <c r="R11" s="595"/>
      <c r="S11" s="595"/>
      <c r="T11" s="595"/>
      <c r="U11" s="595"/>
      <c r="V11" s="595"/>
      <c r="W11" s="595"/>
      <c r="X11" s="595"/>
      <c r="Y11" s="595"/>
      <c r="Z11" s="595"/>
      <c r="AA11" s="595"/>
      <c r="AB11" s="595"/>
      <c r="AC11" s="597"/>
    </row>
    <row r="12" spans="1:29" x14ac:dyDescent="0.25">
      <c r="B12" s="183"/>
      <c r="C12" s="183"/>
      <c r="D12" s="183"/>
      <c r="E12" s="183"/>
      <c r="F12" s="183"/>
      <c r="G12" s="183"/>
      <c r="H12" s="183"/>
      <c r="I12" s="183"/>
      <c r="J12" s="183"/>
      <c r="K12" s="183"/>
      <c r="L12" s="183"/>
      <c r="M12" s="183"/>
      <c r="N12" s="183"/>
      <c r="O12" s="183"/>
      <c r="P12" s="183"/>
      <c r="Q12" s="183"/>
      <c r="R12" s="183"/>
      <c r="S12" s="183"/>
      <c r="T12" s="183"/>
      <c r="U12" s="183"/>
      <c r="V12" s="183"/>
      <c r="W12" s="183"/>
      <c r="X12" s="183"/>
      <c r="Y12" s="183"/>
      <c r="Z12" s="36"/>
      <c r="AA12" s="36"/>
      <c r="AB12" s="36"/>
      <c r="AC12" s="36"/>
    </row>
    <row r="13" spans="1:29" x14ac:dyDescent="0.25">
      <c r="A13" s="74"/>
      <c r="B13" s="74"/>
      <c r="C13" s="74"/>
      <c r="D13" s="74"/>
      <c r="E13" s="74"/>
      <c r="F13" s="74"/>
      <c r="G13" s="74"/>
      <c r="H13" s="74"/>
      <c r="I13" s="74"/>
      <c r="J13" s="74"/>
      <c r="K13" s="74"/>
      <c r="L13" s="90"/>
      <c r="M13" s="90"/>
      <c r="N13" s="90"/>
    </row>
    <row r="14" spans="1:29" x14ac:dyDescent="0.25">
      <c r="A14" s="74"/>
      <c r="N14" s="36"/>
    </row>
    <row r="15" spans="1:29" x14ac:dyDescent="0.25">
      <c r="A15" s="124"/>
      <c r="B15" s="1026" t="s">
        <v>525</v>
      </c>
      <c r="C15" s="964">
        <v>2021</v>
      </c>
      <c r="D15" s="965"/>
      <c r="E15" s="965"/>
      <c r="F15" s="965"/>
      <c r="G15" s="48"/>
      <c r="K15" s="1012"/>
      <c r="L15" s="1012"/>
      <c r="M15" s="36"/>
      <c r="N15" s="36"/>
    </row>
    <row r="16" spans="1:29" x14ac:dyDescent="0.25">
      <c r="B16" s="1027"/>
      <c r="C16" s="590" t="s">
        <v>234</v>
      </c>
      <c r="D16" s="591" t="s">
        <v>235</v>
      </c>
      <c r="E16" s="591" t="s">
        <v>236</v>
      </c>
      <c r="F16" s="591" t="s">
        <v>237</v>
      </c>
      <c r="G16" s="592"/>
      <c r="H16" s="124"/>
      <c r="I16" s="124"/>
      <c r="J16" s="124"/>
      <c r="K16" s="124"/>
      <c r="L16" s="124"/>
      <c r="M16" s="124"/>
      <c r="N16" s="124"/>
    </row>
    <row r="17" spans="2:25" ht="16.149999999999999" customHeight="1" x14ac:dyDescent="0.25">
      <c r="B17" s="589" t="s">
        <v>526</v>
      </c>
      <c r="C17" s="593">
        <v>1660.9</v>
      </c>
      <c r="D17" s="593">
        <v>95.9</v>
      </c>
      <c r="E17" s="593">
        <v>4044.2</v>
      </c>
      <c r="F17" s="594">
        <v>688</v>
      </c>
      <c r="G17" s="113"/>
      <c r="H17" s="113"/>
      <c r="I17" s="113"/>
      <c r="J17" s="113"/>
      <c r="K17" s="113"/>
      <c r="L17" s="113"/>
      <c r="M17" s="183"/>
      <c r="N17" s="183"/>
    </row>
    <row r="18" spans="2:25" x14ac:dyDescent="0.25">
      <c r="B18" s="239" t="s">
        <v>527</v>
      </c>
      <c r="C18" s="183"/>
      <c r="D18" s="183"/>
      <c r="E18" s="183"/>
      <c r="F18" s="183"/>
      <c r="G18" s="183"/>
      <c r="H18" s="183"/>
      <c r="I18" s="183"/>
      <c r="J18" s="183"/>
      <c r="K18" s="183"/>
      <c r="L18" s="183"/>
      <c r="M18" s="183"/>
      <c r="N18" s="183"/>
    </row>
    <row r="19" spans="2:25" x14ac:dyDescent="0.25">
      <c r="B19" s="183"/>
      <c r="C19" s="183"/>
      <c r="D19" s="183"/>
      <c r="E19" s="183"/>
      <c r="F19" s="183"/>
      <c r="G19" s="183"/>
      <c r="H19" s="183"/>
      <c r="I19" s="183"/>
      <c r="J19" s="183"/>
      <c r="K19" s="183"/>
      <c r="L19" s="183"/>
      <c r="M19" s="183"/>
      <c r="N19" s="183"/>
    </row>
    <row r="20" spans="2:25" x14ac:dyDescent="0.25">
      <c r="B20" s="239"/>
      <c r="C20" s="183"/>
      <c r="D20" s="183"/>
      <c r="E20" s="183"/>
      <c r="F20" s="183"/>
      <c r="G20" s="183"/>
      <c r="H20" s="183"/>
      <c r="I20" s="183"/>
      <c r="J20" s="183"/>
      <c r="K20" s="183"/>
      <c r="L20" s="183"/>
      <c r="M20" s="183"/>
      <c r="N20" s="183"/>
    </row>
    <row r="21" spans="2:25" x14ac:dyDescent="0.25">
      <c r="B21" s="183"/>
      <c r="C21" s="183"/>
      <c r="D21" s="183"/>
      <c r="E21" s="183"/>
      <c r="F21" s="183"/>
      <c r="G21" s="183"/>
      <c r="H21" s="183"/>
      <c r="I21" s="183"/>
      <c r="J21" s="183"/>
      <c r="K21" s="183"/>
      <c r="L21" s="183"/>
      <c r="M21" s="183"/>
      <c r="N21" s="183"/>
      <c r="O21" s="183"/>
      <c r="P21" s="183"/>
      <c r="Q21" s="183"/>
      <c r="R21" s="183"/>
      <c r="S21" s="183"/>
      <c r="T21" s="183"/>
      <c r="U21" s="183"/>
      <c r="V21" s="183"/>
      <c r="W21" s="183"/>
      <c r="X21" s="183"/>
      <c r="Y21" s="183"/>
    </row>
    <row r="22" spans="2:25" x14ac:dyDescent="0.25">
      <c r="B22" s="183"/>
      <c r="C22" s="183"/>
      <c r="D22" s="183"/>
      <c r="E22" s="183"/>
      <c r="F22" s="183"/>
      <c r="G22" s="183"/>
      <c r="H22" s="183"/>
      <c r="I22" s="183"/>
      <c r="J22" s="183"/>
      <c r="K22" s="183"/>
      <c r="L22" s="183"/>
      <c r="M22" s="183"/>
      <c r="N22" s="183"/>
      <c r="O22" s="183"/>
      <c r="P22" s="183"/>
      <c r="Q22" s="183"/>
      <c r="R22" s="183"/>
      <c r="S22" s="183"/>
      <c r="T22" s="183"/>
      <c r="U22" s="183"/>
      <c r="V22" s="183"/>
      <c r="W22" s="183"/>
      <c r="X22" s="183"/>
      <c r="Y22" s="183"/>
    </row>
    <row r="23" spans="2:25" x14ac:dyDescent="0.25">
      <c r="B23" s="183"/>
      <c r="C23" s="183"/>
      <c r="D23" s="183"/>
      <c r="E23" s="183"/>
      <c r="F23" s="183"/>
      <c r="G23" s="183"/>
      <c r="H23" s="183"/>
      <c r="I23" s="183"/>
      <c r="J23" s="183"/>
      <c r="K23" s="183"/>
      <c r="L23" s="183"/>
      <c r="M23" s="183"/>
      <c r="N23" s="183"/>
      <c r="O23" s="183"/>
      <c r="P23" s="183"/>
      <c r="Q23" s="183"/>
      <c r="R23" s="183"/>
      <c r="S23" s="183"/>
      <c r="T23" s="183"/>
      <c r="U23" s="183"/>
      <c r="V23" s="183"/>
      <c r="W23" s="183"/>
      <c r="X23" s="183"/>
      <c r="Y23" s="183"/>
    </row>
    <row r="24" spans="2:25" x14ac:dyDescent="0.25">
      <c r="B24" s="183"/>
      <c r="C24" s="183"/>
      <c r="D24" s="183"/>
      <c r="E24" s="183"/>
      <c r="F24" s="183"/>
      <c r="G24" s="183"/>
      <c r="H24" s="183"/>
      <c r="I24" s="183"/>
      <c r="J24" s="183"/>
      <c r="K24" s="183"/>
      <c r="L24" s="183"/>
      <c r="M24" s="183"/>
      <c r="N24" s="183"/>
      <c r="O24" s="183"/>
      <c r="P24" s="183"/>
      <c r="Q24" s="183"/>
      <c r="R24" s="183"/>
      <c r="S24" s="183"/>
      <c r="T24" s="183"/>
      <c r="U24" s="183"/>
      <c r="V24" s="183"/>
      <c r="W24" s="183"/>
      <c r="X24" s="183"/>
      <c r="Y24" s="183"/>
    </row>
    <row r="25" spans="2:25" x14ac:dyDescent="0.25">
      <c r="B25" s="183"/>
      <c r="C25" s="183"/>
      <c r="D25" s="183"/>
      <c r="E25" s="183"/>
      <c r="F25" s="183"/>
      <c r="G25" s="183"/>
      <c r="H25" s="183"/>
      <c r="I25" s="183"/>
      <c r="J25" s="183"/>
      <c r="K25" s="183"/>
      <c r="L25" s="183"/>
      <c r="M25" s="183"/>
      <c r="N25" s="183"/>
      <c r="O25" s="183"/>
      <c r="P25" s="183"/>
      <c r="Q25" s="183"/>
      <c r="R25" s="183"/>
      <c r="S25" s="183"/>
      <c r="T25" s="183"/>
      <c r="U25" s="183"/>
      <c r="V25" s="183"/>
      <c r="W25" s="183"/>
      <c r="X25" s="183"/>
      <c r="Y25" s="183"/>
    </row>
    <row r="26" spans="2:25" x14ac:dyDescent="0.25">
      <c r="B26" s="183"/>
      <c r="C26" s="183"/>
      <c r="D26" s="183"/>
      <c r="E26" s="183"/>
      <c r="F26" s="183"/>
      <c r="G26" s="183"/>
      <c r="H26" s="183"/>
      <c r="I26" s="183"/>
      <c r="J26" s="183"/>
      <c r="K26" s="183"/>
      <c r="L26" s="183"/>
      <c r="M26" s="183"/>
      <c r="N26" s="183"/>
      <c r="O26" s="183"/>
      <c r="P26" s="183"/>
      <c r="Q26" s="183"/>
      <c r="R26" s="183"/>
      <c r="S26" s="183"/>
      <c r="T26" s="183"/>
      <c r="U26" s="183"/>
      <c r="V26" s="183"/>
      <c r="W26" s="183"/>
      <c r="X26" s="183"/>
      <c r="Y26" s="183"/>
    </row>
    <row r="27" spans="2:25" x14ac:dyDescent="0.25">
      <c r="B27" s="183"/>
      <c r="C27" s="183"/>
      <c r="D27" s="183"/>
      <c r="E27" s="183"/>
      <c r="F27" s="183"/>
      <c r="G27" s="183"/>
      <c r="H27" s="183"/>
      <c r="I27" s="183"/>
      <c r="J27" s="183"/>
      <c r="K27" s="183"/>
      <c r="L27" s="183"/>
      <c r="M27" s="183"/>
      <c r="N27" s="183"/>
      <c r="O27" s="183"/>
      <c r="P27" s="183"/>
      <c r="Q27" s="183"/>
      <c r="R27" s="183"/>
      <c r="S27" s="183"/>
      <c r="T27" s="183"/>
      <c r="U27" s="183"/>
      <c r="V27" s="183"/>
      <c r="W27" s="183"/>
      <c r="X27" s="183"/>
      <c r="Y27" s="183"/>
    </row>
    <row r="28" spans="2:25" x14ac:dyDescent="0.25">
      <c r="B28" s="183"/>
      <c r="C28" s="183"/>
      <c r="D28" s="183"/>
      <c r="E28" s="183"/>
      <c r="F28" s="183"/>
      <c r="G28" s="183"/>
      <c r="H28" s="183"/>
      <c r="I28" s="183"/>
      <c r="J28" s="183"/>
      <c r="K28" s="183"/>
      <c r="L28" s="183"/>
      <c r="M28" s="183"/>
      <c r="N28" s="183"/>
      <c r="O28" s="183"/>
      <c r="P28" s="183"/>
      <c r="Q28" s="183"/>
      <c r="R28" s="183"/>
      <c r="S28" s="183"/>
      <c r="T28" s="183"/>
      <c r="U28" s="183"/>
      <c r="V28" s="183"/>
      <c r="W28" s="183"/>
      <c r="X28" s="183"/>
      <c r="Y28" s="183"/>
    </row>
    <row r="29" spans="2:25" x14ac:dyDescent="0.25">
      <c r="B29" s="183"/>
      <c r="C29" s="183"/>
      <c r="D29" s="183"/>
      <c r="E29" s="183"/>
      <c r="F29" s="183"/>
      <c r="G29" s="183"/>
      <c r="H29" s="183"/>
      <c r="I29" s="183"/>
      <c r="J29" s="183"/>
      <c r="K29" s="183"/>
      <c r="L29" s="183"/>
      <c r="M29" s="183"/>
      <c r="N29" s="183"/>
      <c r="O29" s="183"/>
      <c r="P29" s="183"/>
      <c r="Q29" s="183"/>
      <c r="R29" s="183"/>
      <c r="S29" s="183"/>
      <c r="T29" s="183"/>
      <c r="U29" s="183"/>
      <c r="V29" s="183"/>
      <c r="W29" s="183"/>
      <c r="X29" s="183"/>
      <c r="Y29" s="183"/>
    </row>
    <row r="30" spans="2:25" x14ac:dyDescent="0.25">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row>
    <row r="31" spans="2:25" x14ac:dyDescent="0.25">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row>
    <row r="32" spans="2:25" x14ac:dyDescent="0.25">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row>
    <row r="33" spans="2:25" x14ac:dyDescent="0.25">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row>
    <row r="34" spans="2:25" x14ac:dyDescent="0.25">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row>
    <row r="35" spans="2:25" x14ac:dyDescent="0.25">
      <c r="B35" s="183"/>
      <c r="C35" s="183"/>
      <c r="D35" s="183"/>
      <c r="E35" s="183"/>
      <c r="F35" s="183"/>
      <c r="G35" s="183"/>
      <c r="H35" s="183"/>
      <c r="I35" s="183"/>
      <c r="J35" s="183"/>
      <c r="K35" s="183"/>
      <c r="L35" s="183"/>
      <c r="M35" s="183"/>
      <c r="N35" s="183"/>
      <c r="O35" s="183"/>
      <c r="P35" s="183"/>
      <c r="Q35" s="183"/>
      <c r="R35" s="183"/>
      <c r="S35" s="183"/>
      <c r="T35" s="183"/>
      <c r="U35" s="183"/>
      <c r="V35" s="183"/>
      <c r="W35" s="183"/>
      <c r="X35" s="183"/>
      <c r="Y35" s="183"/>
    </row>
    <row r="36" spans="2:25" x14ac:dyDescent="0.25">
      <c r="B36" s="183"/>
      <c r="C36" s="183"/>
      <c r="D36" s="183"/>
      <c r="E36" s="183"/>
      <c r="F36" s="183"/>
      <c r="G36" s="183"/>
      <c r="H36" s="183"/>
      <c r="I36" s="183"/>
      <c r="J36" s="183"/>
      <c r="K36" s="183"/>
      <c r="L36" s="183"/>
      <c r="M36" s="183"/>
      <c r="N36" s="183"/>
      <c r="O36" s="183"/>
      <c r="P36" s="183"/>
      <c r="Q36" s="183"/>
      <c r="R36" s="183"/>
      <c r="S36" s="183"/>
      <c r="T36" s="183"/>
      <c r="U36" s="183"/>
      <c r="V36" s="183"/>
      <c r="W36" s="183"/>
      <c r="X36" s="183"/>
      <c r="Y36" s="183"/>
    </row>
    <row r="37" spans="2:25" x14ac:dyDescent="0.25">
      <c r="B37" s="183"/>
      <c r="C37" s="183"/>
      <c r="D37" s="183"/>
      <c r="E37" s="183"/>
      <c r="F37" s="183"/>
      <c r="G37" s="183"/>
      <c r="H37" s="183"/>
      <c r="I37" s="183"/>
      <c r="J37" s="183"/>
      <c r="K37" s="183"/>
      <c r="L37" s="183"/>
      <c r="M37" s="183"/>
      <c r="N37" s="183"/>
      <c r="O37" s="183"/>
      <c r="P37" s="183"/>
      <c r="Q37" s="183"/>
      <c r="R37" s="183"/>
      <c r="S37" s="183"/>
      <c r="T37" s="183"/>
      <c r="U37" s="183"/>
      <c r="V37" s="183"/>
      <c r="W37" s="183"/>
      <c r="X37" s="183"/>
      <c r="Y37" s="183"/>
    </row>
    <row r="38" spans="2:25" x14ac:dyDescent="0.25">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row>
    <row r="39" spans="2:25" x14ac:dyDescent="0.25">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row>
    <row r="40" spans="2:25" x14ac:dyDescent="0.25">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row>
    <row r="41" spans="2:25" x14ac:dyDescent="0.25">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row>
    <row r="42" spans="2:25" x14ac:dyDescent="0.25">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row>
    <row r="43" spans="2:25" x14ac:dyDescent="0.25">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row>
    <row r="44" spans="2:25" x14ac:dyDescent="0.25">
      <c r="B44" s="183"/>
      <c r="C44" s="183"/>
      <c r="D44" s="183"/>
      <c r="E44" s="183"/>
      <c r="F44" s="183"/>
      <c r="G44" s="183"/>
      <c r="H44" s="183"/>
      <c r="I44" s="183"/>
      <c r="J44" s="183"/>
      <c r="K44" s="183"/>
      <c r="L44" s="183"/>
      <c r="M44" s="183"/>
      <c r="N44" s="183"/>
      <c r="O44" s="183"/>
      <c r="P44" s="183"/>
      <c r="Q44" s="183"/>
      <c r="R44" s="183"/>
      <c r="S44" s="183"/>
      <c r="T44" s="183"/>
      <c r="U44" s="183"/>
      <c r="V44" s="183"/>
      <c r="W44" s="183"/>
      <c r="X44" s="183"/>
      <c r="Y44" s="183"/>
    </row>
    <row r="45" spans="2:25" x14ac:dyDescent="0.25">
      <c r="B45" s="183"/>
      <c r="C45" s="183"/>
      <c r="D45" s="183"/>
      <c r="E45" s="183"/>
      <c r="F45" s="183"/>
      <c r="G45" s="183"/>
      <c r="H45" s="183"/>
      <c r="I45" s="183"/>
      <c r="J45" s="183"/>
      <c r="K45" s="183"/>
      <c r="L45" s="183"/>
      <c r="M45" s="183"/>
      <c r="N45" s="183"/>
      <c r="O45" s="183"/>
      <c r="P45" s="183"/>
      <c r="Q45" s="183"/>
      <c r="R45" s="183"/>
      <c r="S45" s="183"/>
      <c r="T45" s="183"/>
      <c r="U45" s="183"/>
      <c r="V45" s="183"/>
      <c r="W45" s="183"/>
      <c r="X45" s="183"/>
      <c r="Y45" s="183"/>
    </row>
    <row r="46" spans="2:25" x14ac:dyDescent="0.25">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row>
    <row r="47" spans="2:25" x14ac:dyDescent="0.25">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row>
    <row r="48" spans="2:25" x14ac:dyDescent="0.25">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row>
    <row r="49" spans="2:25" x14ac:dyDescent="0.25">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row>
    <row r="50" spans="2:25" x14ac:dyDescent="0.25">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row>
    <row r="51" spans="2:25" x14ac:dyDescent="0.25">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row>
    <row r="52" spans="2:25" x14ac:dyDescent="0.25">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row>
    <row r="53" spans="2:25" x14ac:dyDescent="0.25">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row>
    <row r="54" spans="2:25" x14ac:dyDescent="0.25">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row>
    <row r="55" spans="2:25" x14ac:dyDescent="0.25">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62"/>
  <sheetViews>
    <sheetView topLeftCell="A8" zoomScale="80" zoomScaleNormal="80" workbookViewId="0">
      <selection activeCell="U21" sqref="U21"/>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034" t="s">
        <v>528</v>
      </c>
      <c r="C1" s="1034"/>
      <c r="D1" s="1034"/>
      <c r="E1" s="1034"/>
      <c r="F1" s="1034"/>
      <c r="G1" s="1034"/>
      <c r="H1" s="1034"/>
      <c r="I1" s="1034"/>
      <c r="J1" s="1034"/>
      <c r="K1" s="1034"/>
      <c r="L1" s="1034"/>
      <c r="M1" s="1034"/>
      <c r="N1" s="1034"/>
      <c r="O1" s="1034"/>
      <c r="P1" s="1034"/>
      <c r="Q1" s="1034"/>
      <c r="R1" s="1034"/>
      <c r="S1" s="1034"/>
      <c r="T1" s="1034"/>
      <c r="U1" s="1034"/>
      <c r="V1" s="1034"/>
      <c r="W1" s="1034"/>
      <c r="X1" s="1034"/>
      <c r="Y1" s="1034"/>
      <c r="Z1" s="1034"/>
      <c r="AA1" s="1034"/>
      <c r="AB1" s="1034"/>
      <c r="AC1" s="1034"/>
    </row>
    <row r="2" spans="2:29" ht="34.5" customHeight="1" x14ac:dyDescent="0.25">
      <c r="B2" s="931" t="s">
        <v>948</v>
      </c>
      <c r="C2" s="949"/>
      <c r="D2" s="949"/>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2:29" ht="3" customHeight="1" x14ac:dyDescent="0.25">
      <c r="B3" s="949"/>
      <c r="C3" s="949"/>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2:29" ht="10.15" customHeight="1" x14ac:dyDescent="0.25">
      <c r="B4" s="949"/>
      <c r="C4" s="949"/>
      <c r="D4" s="949"/>
      <c r="E4" s="949"/>
      <c r="F4" s="949"/>
      <c r="G4" s="949"/>
      <c r="H4" s="949"/>
      <c r="I4" s="949"/>
      <c r="J4" s="949"/>
      <c r="K4" s="949"/>
      <c r="L4" s="949"/>
      <c r="M4" s="949"/>
      <c r="N4" s="949"/>
      <c r="O4" s="949"/>
      <c r="P4" s="949"/>
      <c r="Q4" s="949"/>
      <c r="R4" s="949"/>
      <c r="S4" s="949"/>
      <c r="T4" s="949"/>
      <c r="U4" s="949"/>
      <c r="V4" s="949"/>
      <c r="W4" s="949"/>
      <c r="X4" s="949"/>
      <c r="Y4" s="949"/>
      <c r="Z4" s="949"/>
      <c r="AA4" s="949"/>
      <c r="AB4" s="949"/>
      <c r="AC4" s="949"/>
    </row>
    <row r="5" spans="2:29" ht="14.25" customHeight="1" x14ac:dyDescent="0.25">
      <c r="B5" s="949"/>
      <c r="C5" s="949"/>
      <c r="D5" s="949"/>
      <c r="E5" s="949"/>
      <c r="F5" s="949"/>
      <c r="G5" s="949"/>
      <c r="H5" s="949"/>
      <c r="I5" s="949"/>
      <c r="J5" s="949"/>
      <c r="K5" s="949"/>
      <c r="L5" s="949"/>
      <c r="M5" s="949"/>
      <c r="N5" s="949"/>
      <c r="O5" s="949"/>
      <c r="P5" s="949"/>
      <c r="Q5" s="949"/>
      <c r="R5" s="949"/>
      <c r="S5" s="949"/>
      <c r="T5" s="949"/>
      <c r="U5" s="949"/>
      <c r="V5" s="949"/>
      <c r="W5" s="949"/>
      <c r="X5" s="949"/>
      <c r="Y5" s="949"/>
      <c r="Z5" s="949"/>
      <c r="AA5" s="949"/>
      <c r="AB5" s="949"/>
      <c r="AC5" s="949"/>
    </row>
    <row r="6" spans="2:29" ht="14.25" customHeight="1" x14ac:dyDescent="0.25">
      <c r="B6" s="949"/>
      <c r="C6" s="949"/>
      <c r="D6" s="949"/>
      <c r="E6" s="949"/>
      <c r="F6" s="949"/>
      <c r="G6" s="949"/>
      <c r="H6" s="949"/>
      <c r="I6" s="949"/>
      <c r="J6" s="949"/>
      <c r="K6" s="949"/>
      <c r="L6" s="949"/>
      <c r="M6" s="949"/>
      <c r="N6" s="949"/>
      <c r="O6" s="949"/>
      <c r="P6" s="949"/>
      <c r="Q6" s="949"/>
      <c r="R6" s="949"/>
      <c r="S6" s="949"/>
      <c r="T6" s="949"/>
      <c r="U6" s="949"/>
      <c r="V6" s="949"/>
      <c r="W6" s="949"/>
      <c r="X6" s="949"/>
      <c r="Y6" s="949"/>
      <c r="Z6" s="949"/>
      <c r="AA6" s="949"/>
      <c r="AB6" s="949"/>
      <c r="AC6" s="949"/>
    </row>
    <row r="7" spans="2:29" x14ac:dyDescent="0.25">
      <c r="B7" s="612" t="s">
        <v>381</v>
      </c>
      <c r="C7" s="197"/>
      <c r="D7" s="197"/>
      <c r="E7" s="197"/>
      <c r="F7" s="197"/>
      <c r="G7" s="197"/>
      <c r="H7" s="198"/>
      <c r="I7" s="198"/>
      <c r="J7" s="198"/>
      <c r="K7" s="198"/>
      <c r="L7" s="198"/>
      <c r="M7" s="198"/>
      <c r="N7" s="198"/>
      <c r="O7" s="198"/>
      <c r="P7" s="198"/>
      <c r="Q7" s="198"/>
      <c r="R7" s="198"/>
      <c r="S7" s="198"/>
      <c r="T7" s="198"/>
      <c r="U7" s="198"/>
    </row>
    <row r="8" spans="2:29" ht="14.65" customHeight="1" x14ac:dyDescent="0.25">
      <c r="B8" s="935" t="s">
        <v>352</v>
      </c>
      <c r="C8" s="936"/>
      <c r="D8" s="945" t="s">
        <v>325</v>
      </c>
      <c r="E8" s="946"/>
      <c r="F8" s="946"/>
      <c r="G8" s="946"/>
      <c r="H8" s="946"/>
      <c r="I8" s="946"/>
      <c r="J8" s="946"/>
      <c r="K8" s="946"/>
      <c r="L8" s="946"/>
      <c r="M8" s="946"/>
      <c r="N8" s="946"/>
      <c r="O8" s="946"/>
      <c r="P8" s="946"/>
      <c r="Q8" s="936"/>
      <c r="R8" s="942" t="s">
        <v>326</v>
      </c>
      <c r="S8" s="943"/>
      <c r="T8" s="943"/>
      <c r="U8" s="943"/>
      <c r="V8" s="943"/>
      <c r="W8" s="943"/>
      <c r="X8" s="943"/>
      <c r="Y8" s="943"/>
      <c r="Z8" s="943"/>
      <c r="AA8" s="943"/>
      <c r="AB8" s="943"/>
      <c r="AC8" s="944"/>
    </row>
    <row r="9" spans="2:29" ht="14.65" customHeight="1" x14ac:dyDescent="0.25">
      <c r="B9" s="937"/>
      <c r="C9" s="1001"/>
      <c r="D9" s="178">
        <v>2018</v>
      </c>
      <c r="E9" s="932">
        <v>2019</v>
      </c>
      <c r="F9" s="933"/>
      <c r="G9" s="933"/>
      <c r="H9" s="934"/>
      <c r="I9" s="932">
        <v>2020</v>
      </c>
      <c r="J9" s="933"/>
      <c r="K9" s="933"/>
      <c r="L9" s="933"/>
      <c r="M9" s="932">
        <v>2021</v>
      </c>
      <c r="N9" s="933"/>
      <c r="O9" s="933"/>
      <c r="P9" s="933"/>
      <c r="Q9" s="172"/>
      <c r="R9" s="171">
        <v>2022</v>
      </c>
      <c r="S9" s="171"/>
      <c r="T9" s="431"/>
      <c r="U9" s="939">
        <v>2023</v>
      </c>
      <c r="V9" s="940"/>
      <c r="W9" s="940"/>
      <c r="X9" s="940"/>
      <c r="Y9" s="939">
        <v>2024</v>
      </c>
      <c r="Z9" s="940"/>
      <c r="AA9" s="940"/>
      <c r="AB9" s="941"/>
      <c r="AC9" s="185">
        <v>2025</v>
      </c>
    </row>
    <row r="10" spans="2:29" x14ac:dyDescent="0.25">
      <c r="B10" s="937"/>
      <c r="C10" s="1001"/>
      <c r="D10" s="180" t="s">
        <v>327</v>
      </c>
      <c r="E10" s="180" t="s">
        <v>328</v>
      </c>
      <c r="F10" s="177" t="s">
        <v>329</v>
      </c>
      <c r="G10" s="177" t="s">
        <v>238</v>
      </c>
      <c r="H10" s="179" t="s">
        <v>327</v>
      </c>
      <c r="I10" s="177" t="s">
        <v>328</v>
      </c>
      <c r="J10" s="177" t="s">
        <v>329</v>
      </c>
      <c r="K10" s="177" t="s">
        <v>238</v>
      </c>
      <c r="L10" s="177" t="s">
        <v>327</v>
      </c>
      <c r="M10" s="180" t="s">
        <v>328</v>
      </c>
      <c r="N10" s="177" t="s">
        <v>329</v>
      </c>
      <c r="O10" s="177" t="s">
        <v>238</v>
      </c>
      <c r="P10" s="177" t="s">
        <v>327</v>
      </c>
      <c r="Q10" s="173" t="s">
        <v>328</v>
      </c>
      <c r="R10" s="360" t="s">
        <v>329</v>
      </c>
      <c r="S10" s="360" t="s">
        <v>238</v>
      </c>
      <c r="T10" s="360" t="s">
        <v>327</v>
      </c>
      <c r="U10" s="359" t="s">
        <v>328</v>
      </c>
      <c r="V10" s="360" t="s">
        <v>329</v>
      </c>
      <c r="W10" s="360" t="s">
        <v>238</v>
      </c>
      <c r="X10" s="360" t="s">
        <v>327</v>
      </c>
      <c r="Y10" s="359" t="s">
        <v>328</v>
      </c>
      <c r="Z10" s="196" t="s">
        <v>329</v>
      </c>
      <c r="AA10" s="360" t="s">
        <v>238</v>
      </c>
      <c r="AB10" s="383" t="s">
        <v>327</v>
      </c>
      <c r="AC10" s="400" t="s">
        <v>328</v>
      </c>
    </row>
    <row r="11" spans="2:29" x14ac:dyDescent="0.25">
      <c r="B11" s="1031" t="s">
        <v>529</v>
      </c>
      <c r="C11" s="1032"/>
      <c r="D11" s="600"/>
      <c r="E11" s="601"/>
      <c r="F11" s="601"/>
      <c r="G11" s="601"/>
      <c r="H11" s="221"/>
      <c r="I11" s="221"/>
      <c r="J11" s="221"/>
      <c r="K11" s="221"/>
      <c r="L11" s="221"/>
      <c r="M11" s="528"/>
      <c r="N11" s="528"/>
      <c r="O11" s="528"/>
      <c r="P11" s="221"/>
      <c r="Q11" s="182"/>
      <c r="R11" s="234"/>
      <c r="S11" s="234"/>
      <c r="T11" s="234"/>
      <c r="U11" s="234"/>
      <c r="V11" s="234"/>
      <c r="W11" s="234"/>
      <c r="X11" s="234"/>
      <c r="Y11" s="234"/>
      <c r="Z11" s="234"/>
      <c r="AA11" s="234"/>
      <c r="AB11" s="234"/>
      <c r="AC11" s="235"/>
    </row>
    <row r="12" spans="2:29" ht="16.899999999999999" customHeight="1" x14ac:dyDescent="0.25">
      <c r="B12" s="436" t="s">
        <v>530</v>
      </c>
      <c r="C12" s="183" t="s">
        <v>531</v>
      </c>
      <c r="D12" s="552">
        <f>'Haver Pivoted'!GO31</f>
        <v>2222.3000000000002</v>
      </c>
      <c r="E12" s="517">
        <f>'Haver Pivoted'!GP31</f>
        <v>2298.1</v>
      </c>
      <c r="F12" s="517">
        <f>'Haver Pivoted'!GQ31</f>
        <v>2315.5</v>
      </c>
      <c r="G12" s="517">
        <f>'Haver Pivoted'!GR31</f>
        <v>2333.1999999999998</v>
      </c>
      <c r="H12" s="517">
        <f>'Haver Pivoted'!GS31</f>
        <v>2350.8000000000002</v>
      </c>
      <c r="I12" s="517">
        <f>'Haver Pivoted'!GT31</f>
        <v>2417.9</v>
      </c>
      <c r="J12" s="517">
        <f>'Haver Pivoted'!GU31</f>
        <v>4766.7</v>
      </c>
      <c r="K12" s="517">
        <f>'Haver Pivoted'!GV31</f>
        <v>3468.3</v>
      </c>
      <c r="L12" s="517">
        <f>'Haver Pivoted'!GW31</f>
        <v>2839.1</v>
      </c>
      <c r="M12" s="517">
        <f>'Haver Pivoted'!GX31</f>
        <v>5070.6000000000004</v>
      </c>
      <c r="N12" s="517">
        <f>'Haver Pivoted'!GY31</f>
        <v>3372.3</v>
      </c>
      <c r="O12" s="517">
        <f>'Haver Pivoted'!GZ31</f>
        <v>3136.3</v>
      </c>
      <c r="P12" s="517">
        <f>'Haver Pivoted'!HA31</f>
        <v>2936.3</v>
      </c>
      <c r="Q12" s="546">
        <f>'Haver Pivoted'!HB31</f>
        <v>2880.7</v>
      </c>
      <c r="R12" s="516">
        <f t="shared" ref="R12:AC12" si="0">SUM(R14:R25)-R24</f>
        <v>2849.7920368936125</v>
      </c>
      <c r="S12" s="516">
        <f>SUM(S14:S25)-S24</f>
        <v>2810.6395962612432</v>
      </c>
      <c r="T12" s="516">
        <f t="shared" si="0"/>
        <v>2836.9975748793299</v>
      </c>
      <c r="U12" s="516">
        <f>SUM(U14:U25)-U24</f>
        <v>2839.5912480082443</v>
      </c>
      <c r="V12" s="516">
        <f t="shared" si="0"/>
        <v>2865.0919805598824</v>
      </c>
      <c r="W12" s="516">
        <f t="shared" si="0"/>
        <v>2890.9549009099301</v>
      </c>
      <c r="X12" s="516">
        <f t="shared" si="0"/>
        <v>2929.4848667891579</v>
      </c>
      <c r="Y12" s="516">
        <f t="shared" si="0"/>
        <v>2985.7189950995735</v>
      </c>
      <c r="Z12" s="516">
        <f t="shared" si="0"/>
        <v>3017.1732797779882</v>
      </c>
      <c r="AA12" s="516">
        <f t="shared" si="0"/>
        <v>3049.1217626342636</v>
      </c>
      <c r="AB12" s="516">
        <f t="shared" si="0"/>
        <v>3100.0398997838629</v>
      </c>
      <c r="AC12" s="630">
        <f t="shared" si="0"/>
        <v>3159.1505021884782</v>
      </c>
    </row>
    <row r="13" spans="2:29" x14ac:dyDescent="0.25">
      <c r="B13" s="436"/>
      <c r="C13" s="183"/>
      <c r="D13" s="552"/>
      <c r="E13" s="517"/>
      <c r="F13" s="517"/>
      <c r="G13" s="517"/>
      <c r="H13" s="517"/>
      <c r="I13" s="517"/>
      <c r="J13" s="517"/>
      <c r="K13" s="517"/>
      <c r="L13" s="517"/>
      <c r="M13" s="517"/>
      <c r="N13" s="517"/>
      <c r="O13" s="517"/>
      <c r="P13" s="183"/>
      <c r="Q13" s="182"/>
      <c r="R13" s="360"/>
      <c r="S13" s="360"/>
      <c r="T13" s="360"/>
      <c r="U13" s="360"/>
      <c r="V13" s="360"/>
      <c r="W13" s="360"/>
      <c r="X13" s="360"/>
      <c r="Y13" s="360"/>
      <c r="Z13" s="360"/>
      <c r="AA13" s="360"/>
      <c r="AB13" s="360"/>
      <c r="AC13" s="383"/>
    </row>
    <row r="14" spans="2:29" ht="35.65" customHeight="1" x14ac:dyDescent="0.25">
      <c r="B14" s="200" t="s">
        <v>532</v>
      </c>
      <c r="C14" s="183"/>
      <c r="D14" s="552">
        <f>'Unemployment Insurance'!D20+'Unemployment Insurance'!D19</f>
        <v>27.1</v>
      </c>
      <c r="E14" s="517">
        <f>'Unemployment Insurance'!E20+'Unemployment Insurance'!E19</f>
        <v>28.4</v>
      </c>
      <c r="F14" s="517">
        <f>'Unemployment Insurance'!F20+'Unemployment Insurance'!F19</f>
        <v>27.8</v>
      </c>
      <c r="G14" s="517">
        <f>'Unemployment Insurance'!G20+'Unemployment Insurance'!G19</f>
        <v>27.4</v>
      </c>
      <c r="H14" s="517">
        <f>'Unemployment Insurance'!H20+'Unemployment Insurance'!H19</f>
        <v>26.8</v>
      </c>
      <c r="I14" s="517">
        <f>'Unemployment Insurance'!I20+'Unemployment Insurance'!I19</f>
        <v>39.5</v>
      </c>
      <c r="J14" s="517">
        <f>'Unemployment Insurance'!J20+'Unemployment Insurance'!J19</f>
        <v>1039.4000000000001</v>
      </c>
      <c r="K14" s="517">
        <f>'Unemployment Insurance'!K20+'Unemployment Insurance'!K19</f>
        <v>767.8</v>
      </c>
      <c r="L14" s="517">
        <f>'Unemployment Insurance'!L20+'Unemployment Insurance'!L19</f>
        <v>299.89999999999998</v>
      </c>
      <c r="M14" s="517">
        <f>'Unemployment Insurance'!M20+'Unemployment Insurance'!M19</f>
        <v>565.79999999999995</v>
      </c>
      <c r="N14" s="517">
        <f>'Unemployment Insurance'!N20+'Unemployment Insurance'!N19</f>
        <v>480.4</v>
      </c>
      <c r="O14" s="517">
        <f>'Unemployment Insurance'!O20+'Unemployment Insurance'!O19</f>
        <v>272.3</v>
      </c>
      <c r="P14" s="517">
        <f>'Unemployment Insurance'!P20+'Unemployment Insurance'!P19</f>
        <v>37.700000000000003</v>
      </c>
      <c r="Q14" s="546">
        <f>'Unemployment Insurance'!Q20+'Unemployment Insurance'!Q19</f>
        <v>25.1</v>
      </c>
      <c r="R14" s="516">
        <f>'Unemployment Insurance'!R20+'Unemployment Insurance'!R19</f>
        <v>23.11578947368421</v>
      </c>
      <c r="S14" s="516">
        <f>'Unemployment Insurance'!S20+'Unemployment Insurance'!S19</f>
        <v>23.642315789473685</v>
      </c>
      <c r="T14" s="516">
        <f>'Unemployment Insurance'!T20+'Unemployment Insurance'!T19</f>
        <v>23.353368421052632</v>
      </c>
      <c r="U14" s="516">
        <f>'Unemployment Insurance'!U20+'Unemployment Insurance'!U19</f>
        <v>23.513894736842104</v>
      </c>
      <c r="V14" s="516">
        <f>'Unemployment Insurance'!V20+'Unemployment Insurance'!V19</f>
        <v>23.873473684210527</v>
      </c>
      <c r="W14" s="516">
        <f>'Unemployment Insurance'!W20+'Unemployment Insurance'!W19</f>
        <v>24.239473684210527</v>
      </c>
      <c r="X14" s="516">
        <f>'Unemployment Insurance'!X20+'Unemployment Insurance'!X19</f>
        <v>24.624736842105264</v>
      </c>
      <c r="Y14" s="516">
        <f>'Unemployment Insurance'!Y20+'Unemployment Insurance'!Y19</f>
        <v>25.106315789473687</v>
      </c>
      <c r="Z14" s="516">
        <f>'Unemployment Insurance'!Z20+'Unemployment Insurance'!Z19</f>
        <v>25.504421052631582</v>
      </c>
      <c r="AA14" s="516">
        <f>'Unemployment Insurance'!AA20+'Unemployment Insurance'!AA19</f>
        <v>25.819052631578948</v>
      </c>
      <c r="AB14" s="516">
        <f>'Unemployment Insurance'!AB20+'Unemployment Insurance'!AB19</f>
        <v>26.210736842105263</v>
      </c>
      <c r="AC14" s="630">
        <f>'Unemployment Insurance'!AC20+'Unemployment Insurance'!AC19</f>
        <v>26.58957894736842</v>
      </c>
    </row>
    <row r="15" spans="2:29" ht="17.649999999999999" customHeight="1" x14ac:dyDescent="0.25">
      <c r="B15" s="200" t="s">
        <v>55</v>
      </c>
      <c r="C15" s="183"/>
      <c r="D15" s="552">
        <f>Medicare!D10</f>
        <v>754.2</v>
      </c>
      <c r="E15" s="517">
        <f>Medicare!E10</f>
        <v>768.3</v>
      </c>
      <c r="F15" s="517">
        <f>Medicare!F10</f>
        <v>781.1</v>
      </c>
      <c r="G15" s="517">
        <f>Medicare!G10</f>
        <v>792.1</v>
      </c>
      <c r="H15" s="517">
        <f>Medicare!H10</f>
        <v>801.3</v>
      </c>
      <c r="I15" s="517">
        <f>Medicare!I10</f>
        <v>808.5</v>
      </c>
      <c r="J15" s="517">
        <f>Medicare!J10</f>
        <v>821.6</v>
      </c>
      <c r="K15" s="517">
        <f>Medicare!K10</f>
        <v>825.8</v>
      </c>
      <c r="L15" s="517">
        <f>Medicare!L10</f>
        <v>821</v>
      </c>
      <c r="M15" s="517">
        <f>Medicare!M10</f>
        <v>814.1</v>
      </c>
      <c r="N15" s="517">
        <f>Medicare!N10</f>
        <v>815.3</v>
      </c>
      <c r="O15" s="517">
        <f>Medicare!O10</f>
        <v>826.5</v>
      </c>
      <c r="P15" s="517">
        <f>Medicare!P10</f>
        <v>847.9</v>
      </c>
      <c r="Q15" s="546">
        <f>Medicare!Q10</f>
        <v>862.1</v>
      </c>
      <c r="R15" s="516">
        <f>Medicare!R10</f>
        <v>860.35792741992714</v>
      </c>
      <c r="S15" s="516">
        <f>Medicare!S10</f>
        <v>878.57896047176791</v>
      </c>
      <c r="T15" s="516">
        <f>Medicare!T10</f>
        <v>897.18588645827595</v>
      </c>
      <c r="U15" s="516">
        <f>Medicare!U10</f>
        <v>914.87815327140061</v>
      </c>
      <c r="V15" s="516">
        <f>Medicare!V10</f>
        <v>932.91930687567003</v>
      </c>
      <c r="W15" s="516">
        <f>Medicare!W10</f>
        <v>951.31622722571763</v>
      </c>
      <c r="X15" s="516">
        <f>Medicare!X10</f>
        <v>970.07592994705021</v>
      </c>
      <c r="Y15" s="516">
        <f>Medicare!Y10</f>
        <v>993.46803931009731</v>
      </c>
      <c r="Z15" s="516">
        <f>Medicare!Z10</f>
        <v>1017.4242187253543</v>
      </c>
      <c r="AA15" s="516">
        <f>Medicare!AA10</f>
        <v>1041.958070002682</v>
      </c>
      <c r="AB15" s="516">
        <f>Medicare!AB10</f>
        <v>1067.0835229417551</v>
      </c>
      <c r="AC15" s="630">
        <f>Medicare!AC10</f>
        <v>1092.8148432411069</v>
      </c>
    </row>
    <row r="16" spans="2:29" ht="18" customHeight="1" x14ac:dyDescent="0.25">
      <c r="B16" s="436" t="s">
        <v>533</v>
      </c>
      <c r="C16" s="183"/>
      <c r="D16" s="222"/>
      <c r="E16" s="226"/>
      <c r="F16" s="226"/>
      <c r="G16" s="226"/>
      <c r="H16" s="517">
        <f>'Rebate Checks'!H10 +'Rebate Checks'!H11</f>
        <v>0</v>
      </c>
      <c r="I16" s="517">
        <f>'Rebate Checks'!I10 +'Rebate Checks'!I11</f>
        <v>0</v>
      </c>
      <c r="J16" s="517">
        <f>'Rebate Checks'!J10 +'Rebate Checks'!J11</f>
        <v>1078.0999999999999</v>
      </c>
      <c r="K16" s="517">
        <f>'Rebate Checks'!K10 +'Rebate Checks'!K11</f>
        <v>15.6</v>
      </c>
      <c r="L16" s="517">
        <f>'Rebate Checks'!L10 +'Rebate Checks'!L11</f>
        <v>5</v>
      </c>
      <c r="M16" s="517">
        <f>'Rebate Checks'!M10 +'Rebate Checks'!M11</f>
        <v>1933.6999999999998</v>
      </c>
      <c r="N16" s="517">
        <f>'Rebate Checks'!N10 +'Rebate Checks'!N11</f>
        <v>290.10000000000002</v>
      </c>
      <c r="O16" s="517">
        <f>'Rebate Checks'!O10 +'Rebate Checks'!O11</f>
        <v>38.9</v>
      </c>
      <c r="P16" s="517">
        <f>'Rebate Checks'!P10 +'Rebate Checks'!P11</f>
        <v>14.2</v>
      </c>
      <c r="Q16" s="546">
        <f>'Rebate Checks'!Q10 +'Rebate Checks'!Q11</f>
        <v>0</v>
      </c>
      <c r="R16" s="516">
        <f>'Rebate Checks'!Q10 +'Rebate Checks'!R11</f>
        <v>0</v>
      </c>
      <c r="S16" s="516">
        <f>'Rebate Checks'!S10 +'Rebate Checks'!S11</f>
        <v>0</v>
      </c>
      <c r="T16" s="516">
        <f>'Rebate Checks'!T10 +'Rebate Checks'!T11</f>
        <v>0</v>
      </c>
      <c r="U16" s="516">
        <f>'Rebate Checks'!U10 +'Rebate Checks'!U11</f>
        <v>0</v>
      </c>
      <c r="V16" s="516">
        <f>'Rebate Checks'!V10 +'Rebate Checks'!V11</f>
        <v>0</v>
      </c>
      <c r="W16" s="516">
        <f>'Rebate Checks'!W10 +'Rebate Checks'!W11</f>
        <v>0</v>
      </c>
      <c r="X16" s="516">
        <f>'Rebate Checks'!X10 +'Rebate Checks'!X11</f>
        <v>0</v>
      </c>
      <c r="Y16" s="516">
        <f>'Rebate Checks'!Y10 +'Rebate Checks'!Y11</f>
        <v>0</v>
      </c>
      <c r="Z16" s="516">
        <f>'Rebate Checks'!Z10 +'Rebate Checks'!Z11</f>
        <v>0</v>
      </c>
      <c r="AA16" s="516">
        <f>'Rebate Checks'!AA10 +'Rebate Checks'!AA11</f>
        <v>0</v>
      </c>
      <c r="AB16" s="516">
        <f>'Rebate Checks'!AB10 +'Rebate Checks'!AB11</f>
        <v>0</v>
      </c>
      <c r="AC16" s="630">
        <f>'Rebate Checks'!AC10 +'Rebate Checks'!AC11</f>
        <v>0</v>
      </c>
    </row>
    <row r="17" spans="2:101" ht="19.899999999999999" customHeight="1" x14ac:dyDescent="0.25">
      <c r="B17" s="201" t="s">
        <v>536</v>
      </c>
      <c r="C17" s="170"/>
      <c r="D17" s="623"/>
      <c r="E17" s="598"/>
      <c r="F17" s="598"/>
      <c r="G17" s="598"/>
      <c r="H17" s="602"/>
      <c r="I17" s="602"/>
      <c r="J17" s="602"/>
      <c r="K17" s="602"/>
      <c r="L17" s="602"/>
      <c r="M17" s="602">
        <f>'ARP Quarterly'!C5</f>
        <v>0</v>
      </c>
      <c r="N17" s="602">
        <f>'ARP Quarterly'!D5</f>
        <v>33.921840000000024</v>
      </c>
      <c r="O17" s="602">
        <f>'ARP Quarterly'!E5</f>
        <v>44.966160000000031</v>
      </c>
      <c r="P17" s="602">
        <f>'ARP Quarterly'!F5</f>
        <v>52.756999999999998</v>
      </c>
      <c r="Q17" s="550">
        <f>'ARP Quarterly'!G5</f>
        <v>52.756999999999998</v>
      </c>
      <c r="R17" s="530">
        <f>'ARP Quarterly'!H5</f>
        <v>52.756999999999998</v>
      </c>
      <c r="S17" s="530">
        <f>'ARP Quarterly'!I5</f>
        <v>52.756999999999998</v>
      </c>
      <c r="T17" s="530">
        <f>'ARP Quarterly'!J5</f>
        <v>12</v>
      </c>
      <c r="U17" s="530">
        <f>'ARP Quarterly'!K5</f>
        <v>12</v>
      </c>
      <c r="V17" s="530">
        <f>'ARP Quarterly'!L5</f>
        <v>12</v>
      </c>
      <c r="W17" s="530">
        <f>'ARP Quarterly'!M5</f>
        <v>12</v>
      </c>
      <c r="X17" s="530">
        <f>'ARP Quarterly'!N5</f>
        <v>4.2219999999999995</v>
      </c>
      <c r="Y17" s="530">
        <f>'ARP Quarterly'!O5</f>
        <v>4.2219999999999995</v>
      </c>
      <c r="Z17" s="530">
        <f>'ARP Quarterly'!P5</f>
        <v>4.2219999999999995</v>
      </c>
      <c r="AA17" s="530">
        <f>'ARP Quarterly'!Q5</f>
        <v>4.2219999999999995</v>
      </c>
      <c r="AB17" s="530">
        <f>'ARP Quarterly'!R5</f>
        <v>2.3719999999999999</v>
      </c>
      <c r="AC17" s="531">
        <f>'ARP Quarterly'!S5</f>
        <v>2.3719999999999999</v>
      </c>
    </row>
    <row r="18" spans="2:101" ht="22.15" customHeight="1" x14ac:dyDescent="0.25">
      <c r="B18" s="200" t="s">
        <v>218</v>
      </c>
      <c r="C18" s="613"/>
      <c r="D18" s="217"/>
      <c r="E18" s="169"/>
      <c r="F18" s="169"/>
      <c r="G18" s="169"/>
      <c r="H18" s="169"/>
      <c r="I18" s="169"/>
      <c r="J18" s="169"/>
      <c r="K18" s="169"/>
      <c r="L18" s="169"/>
      <c r="M18" s="517">
        <f>'ARP Quarterly'!C4</f>
        <v>0</v>
      </c>
      <c r="N18" s="517">
        <f>'ARP Quarterly'!D4</f>
        <v>0</v>
      </c>
      <c r="O18" s="517">
        <f>'ARP Quarterly'!E4</f>
        <v>3.1040000000000418</v>
      </c>
      <c r="P18" s="517">
        <f>'ARP Quarterly'!F4</f>
        <v>19.719000000000005</v>
      </c>
      <c r="Q18" s="546">
        <f>'ARP Quarterly'!G4</f>
        <v>19.719000000000005</v>
      </c>
      <c r="R18" s="516">
        <f>'ARP Quarterly'!H4</f>
        <v>19.719000000000005</v>
      </c>
      <c r="S18" s="516">
        <f>'ARP Quarterly'!I4</f>
        <v>19.719000000000005</v>
      </c>
      <c r="T18" s="516">
        <f>'ARP Quarterly'!J4</f>
        <v>1.4159999999999999</v>
      </c>
      <c r="U18" s="516">
        <f>'ARP Quarterly'!K4</f>
        <v>1.4159999999999999</v>
      </c>
      <c r="V18" s="516">
        <f>'ARP Quarterly'!L4</f>
        <v>1.4159999999999999</v>
      </c>
      <c r="W18" s="516">
        <f>'ARP Quarterly'!M4</f>
        <v>1.4159999999999999</v>
      </c>
      <c r="X18" s="516">
        <f>'ARP Quarterly'!N4</f>
        <v>1.4790000000000001</v>
      </c>
      <c r="Y18" s="516">
        <f>'ARP Quarterly'!O4</f>
        <v>1.4790000000000001</v>
      </c>
      <c r="Z18" s="516">
        <f>'ARP Quarterly'!P4</f>
        <v>1.4790000000000001</v>
      </c>
      <c r="AA18" s="516">
        <f>'ARP Quarterly'!Q4</f>
        <v>1.4790000000000001</v>
      </c>
      <c r="AB18" s="516">
        <f>'ARP Quarterly'!R4</f>
        <v>1.63</v>
      </c>
      <c r="AC18" s="630">
        <f>'ARP Quarterly'!S4</f>
        <v>1.63</v>
      </c>
      <c r="AD18" s="613"/>
      <c r="AE18" s="613"/>
      <c r="AF18" s="613"/>
      <c r="AG18" s="613"/>
      <c r="AH18" s="613"/>
      <c r="AI18" s="613"/>
      <c r="AJ18" s="613"/>
      <c r="AK18" s="613"/>
      <c r="AL18" s="613"/>
      <c r="AM18" s="613"/>
      <c r="AN18" s="613"/>
      <c r="AO18" s="613"/>
      <c r="AP18" s="613"/>
      <c r="AQ18" s="613"/>
      <c r="AR18" s="613"/>
      <c r="AS18" s="613"/>
      <c r="AT18" s="613"/>
      <c r="AU18" s="613"/>
      <c r="AV18" s="613"/>
      <c r="AW18" s="613"/>
      <c r="AX18" s="613"/>
      <c r="AY18" s="613"/>
      <c r="AZ18" s="613"/>
      <c r="BA18" s="613"/>
      <c r="BB18" s="613"/>
      <c r="BC18" s="613"/>
      <c r="BD18" s="613"/>
      <c r="BE18" s="613"/>
      <c r="BF18" s="613"/>
      <c r="BG18" s="613"/>
      <c r="BH18" s="613"/>
      <c r="BI18" s="613"/>
      <c r="BJ18" s="613"/>
      <c r="BK18" s="613"/>
      <c r="BL18" s="613"/>
      <c r="BM18" s="613"/>
      <c r="BN18" s="613"/>
      <c r="BO18" s="613"/>
      <c r="BP18" s="613"/>
      <c r="BQ18" s="613"/>
      <c r="BR18" s="613"/>
      <c r="BS18" s="613"/>
      <c r="BT18" s="613"/>
      <c r="BU18" s="613"/>
      <c r="BV18" s="613"/>
      <c r="BW18" s="613"/>
      <c r="BX18" s="613"/>
      <c r="BY18" s="613"/>
      <c r="BZ18" s="613"/>
      <c r="CA18" s="613"/>
      <c r="CB18" s="613"/>
      <c r="CC18" s="613"/>
      <c r="CD18" s="613"/>
      <c r="CE18" s="613"/>
      <c r="CF18" s="613"/>
      <c r="CG18" s="613"/>
      <c r="CH18" s="613"/>
      <c r="CI18" s="613"/>
      <c r="CJ18" s="613"/>
      <c r="CK18" s="613"/>
      <c r="CL18" s="613"/>
      <c r="CM18" s="613"/>
      <c r="CN18" s="613"/>
      <c r="CO18" s="613"/>
      <c r="CP18" s="613"/>
      <c r="CQ18" s="613"/>
      <c r="CR18" s="613"/>
      <c r="CS18" s="613"/>
      <c r="CT18" s="613"/>
      <c r="CU18" s="613"/>
      <c r="CV18" s="613"/>
      <c r="CW18" s="613"/>
    </row>
    <row r="19" spans="2:101" ht="19.5" customHeight="1" x14ac:dyDescent="0.25">
      <c r="B19" s="200" t="s">
        <v>49</v>
      </c>
      <c r="C19" s="613"/>
      <c r="D19" s="217">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42.8</v>
      </c>
      <c r="N19" s="169">
        <f>'Provider Relief'!N11</f>
        <v>26.6</v>
      </c>
      <c r="O19" s="169">
        <f>'Provider Relief'!O11</f>
        <v>37.4</v>
      </c>
      <c r="P19" s="169">
        <f>'Provider Relief'!P11</f>
        <v>64.400000000000006</v>
      </c>
      <c r="Q19" s="164">
        <f>'Provider Relief'!Q11</f>
        <v>53.7</v>
      </c>
      <c r="R19" s="608">
        <f>'Provider Relief'!R11</f>
        <v>50</v>
      </c>
      <c r="S19" s="608">
        <f>'Provider Relief'!S11</f>
        <v>0</v>
      </c>
      <c r="T19" s="608">
        <f>'Provider Relief'!T11</f>
        <v>0</v>
      </c>
      <c r="U19" s="608">
        <f>'Provider Relief'!U11</f>
        <v>0</v>
      </c>
      <c r="V19" s="608">
        <f>'Provider Relief'!V11</f>
        <v>0</v>
      </c>
      <c r="W19" s="608">
        <f>'Provider Relief'!W11</f>
        <v>0</v>
      </c>
      <c r="X19" s="608">
        <f>'Provider Relief'!X11</f>
        <v>0</v>
      </c>
      <c r="Y19" s="608">
        <f>'Provider Relief'!Y11</f>
        <v>0</v>
      </c>
      <c r="Z19" s="608">
        <f>'Provider Relief'!Z11</f>
        <v>0</v>
      </c>
      <c r="AA19" s="608">
        <f>'Provider Relief'!AA11</f>
        <v>0</v>
      </c>
      <c r="AB19" s="608">
        <f>'Provider Relief'!AB11</f>
        <v>0</v>
      </c>
      <c r="AC19" s="614">
        <f>'Provider Relief'!AC11</f>
        <v>0</v>
      </c>
      <c r="AD19" s="613"/>
      <c r="AE19" s="613"/>
      <c r="AF19" s="613"/>
      <c r="AG19" s="613"/>
      <c r="AH19" s="613"/>
      <c r="AI19" s="613"/>
      <c r="AJ19" s="613"/>
      <c r="AK19" s="613"/>
      <c r="AL19" s="613"/>
      <c r="AM19" s="613"/>
      <c r="AN19" s="613"/>
      <c r="AO19" s="613"/>
      <c r="AP19" s="613"/>
      <c r="AQ19" s="613"/>
      <c r="AR19" s="613"/>
      <c r="AS19" s="613"/>
      <c r="AT19" s="613"/>
      <c r="AU19" s="613"/>
      <c r="AV19" s="613"/>
      <c r="AW19" s="613"/>
      <c r="AX19" s="613"/>
      <c r="AY19" s="613"/>
      <c r="AZ19" s="613"/>
      <c r="BA19" s="613"/>
      <c r="BB19" s="613"/>
      <c r="BC19" s="613"/>
      <c r="BD19" s="613"/>
      <c r="BE19" s="613"/>
      <c r="BF19" s="613"/>
      <c r="BG19" s="613"/>
      <c r="BH19" s="613"/>
      <c r="BI19" s="613"/>
      <c r="BJ19" s="613"/>
      <c r="BK19" s="613"/>
      <c r="BL19" s="613"/>
      <c r="BM19" s="613"/>
      <c r="BN19" s="613"/>
      <c r="BO19" s="613"/>
      <c r="BP19" s="613"/>
      <c r="BQ19" s="613"/>
      <c r="BR19" s="613"/>
      <c r="BS19" s="613"/>
      <c r="BT19" s="613"/>
      <c r="BU19" s="613"/>
      <c r="BV19" s="613"/>
      <c r="BW19" s="613"/>
      <c r="BX19" s="613"/>
      <c r="BY19" s="613"/>
      <c r="BZ19" s="613"/>
      <c r="CA19" s="613"/>
      <c r="CB19" s="613"/>
      <c r="CC19" s="613"/>
      <c r="CD19" s="613"/>
      <c r="CE19" s="613"/>
      <c r="CF19" s="613"/>
      <c r="CG19" s="613"/>
      <c r="CH19" s="613"/>
      <c r="CI19" s="613"/>
      <c r="CJ19" s="613"/>
      <c r="CK19" s="613"/>
      <c r="CL19" s="613"/>
      <c r="CM19" s="613"/>
      <c r="CN19" s="613"/>
      <c r="CO19" s="613"/>
      <c r="CP19" s="613"/>
      <c r="CQ19" s="613"/>
      <c r="CR19" s="613"/>
      <c r="CS19" s="613"/>
      <c r="CT19" s="613"/>
      <c r="CU19" s="613"/>
      <c r="CV19" s="613"/>
      <c r="CW19" s="613"/>
    </row>
    <row r="20" spans="2:101" ht="36.4" customHeight="1" x14ac:dyDescent="0.25">
      <c r="B20" s="200" t="s">
        <v>872</v>
      </c>
      <c r="C20" s="183"/>
      <c r="D20" s="222">
        <f>D39</f>
        <v>0</v>
      </c>
      <c r="E20" s="226">
        <f t="shared" ref="E20:AC20" si="1">E39</f>
        <v>0</v>
      </c>
      <c r="F20" s="226">
        <f t="shared" si="1"/>
        <v>0</v>
      </c>
      <c r="G20" s="226">
        <f t="shared" si="1"/>
        <v>0</v>
      </c>
      <c r="H20" s="226">
        <f t="shared" si="1"/>
        <v>0</v>
      </c>
      <c r="I20" s="226">
        <f t="shared" si="1"/>
        <v>2.5817499999999995</v>
      </c>
      <c r="J20" s="226">
        <f t="shared" si="1"/>
        <v>37.358750000000001</v>
      </c>
      <c r="K20" s="226">
        <f t="shared" si="1"/>
        <v>38.026749999999993</v>
      </c>
      <c r="L20" s="226">
        <f t="shared" si="1"/>
        <v>38.350750000000005</v>
      </c>
      <c r="M20" s="226">
        <f t="shared" si="1"/>
        <v>54.966750000000005</v>
      </c>
      <c r="N20" s="226">
        <f t="shared" si="1"/>
        <v>74.252749999999992</v>
      </c>
      <c r="O20" s="226">
        <f t="shared" si="1"/>
        <v>80.97475</v>
      </c>
      <c r="P20" s="226">
        <f t="shared" si="1"/>
        <v>85.163749999999993</v>
      </c>
      <c r="Q20" s="182">
        <f t="shared" si="1"/>
        <v>80.249750000000006</v>
      </c>
      <c r="R20" s="360">
        <f t="shared" si="1"/>
        <v>20</v>
      </c>
      <c r="S20" s="360">
        <f t="shared" si="1"/>
        <v>5</v>
      </c>
      <c r="T20" s="360">
        <f t="shared" si="1"/>
        <v>0</v>
      </c>
      <c r="U20" s="360">
        <f t="shared" si="1"/>
        <v>0</v>
      </c>
      <c r="V20" s="360">
        <f t="shared" si="1"/>
        <v>0</v>
      </c>
      <c r="W20" s="360">
        <f t="shared" si="1"/>
        <v>0</v>
      </c>
      <c r="X20" s="360">
        <f t="shared" si="1"/>
        <v>0</v>
      </c>
      <c r="Y20" s="360">
        <f t="shared" si="1"/>
        <v>0</v>
      </c>
      <c r="Z20" s="360">
        <f t="shared" si="1"/>
        <v>0</v>
      </c>
      <c r="AA20" s="360">
        <f t="shared" si="1"/>
        <v>0</v>
      </c>
      <c r="AB20" s="360">
        <f t="shared" si="1"/>
        <v>0</v>
      </c>
      <c r="AC20" s="383">
        <f t="shared" si="1"/>
        <v>0</v>
      </c>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c r="CR20" s="183"/>
      <c r="CS20" s="183"/>
      <c r="CT20" s="183"/>
      <c r="CU20" s="183"/>
      <c r="CV20" s="183"/>
    </row>
    <row r="21" spans="2:101" ht="15.4" customHeight="1" x14ac:dyDescent="0.25">
      <c r="B21" s="200" t="s">
        <v>870</v>
      </c>
      <c r="C21" s="183" t="s">
        <v>904</v>
      </c>
      <c r="D21" s="217">
        <v>30</v>
      </c>
      <c r="E21" s="169">
        <v>30</v>
      </c>
      <c r="F21" s="169">
        <v>30</v>
      </c>
      <c r="G21" s="169">
        <v>30</v>
      </c>
      <c r="H21" s="169">
        <v>30</v>
      </c>
      <c r="I21" s="169">
        <v>30</v>
      </c>
      <c r="J21" s="169">
        <v>30</v>
      </c>
      <c r="K21" s="157">
        <v>30.2</v>
      </c>
      <c r="L21" s="157">
        <v>30.2</v>
      </c>
      <c r="M21" s="157">
        <f>'Haver Pivoted'!GX89</f>
        <v>34.4</v>
      </c>
      <c r="N21" s="157">
        <f>'Haver Pivoted'!GY89</f>
        <v>34.4</v>
      </c>
      <c r="O21" s="157">
        <f>'Haver Pivoted'!GZ89</f>
        <v>218.933333333333</v>
      </c>
      <c r="P21" s="157">
        <f>'Haver Pivoted'!HA89</f>
        <v>223.13333333333301</v>
      </c>
      <c r="Q21" s="166">
        <f>'Haver Pivoted'!HB89</f>
        <v>105.6</v>
      </c>
      <c r="R21" s="516">
        <f>Q21</f>
        <v>105.6</v>
      </c>
      <c r="S21" s="516">
        <f t="shared" ref="S21:T21" si="2">R21</f>
        <v>105.6</v>
      </c>
      <c r="T21" s="516">
        <f t="shared" si="2"/>
        <v>105.6</v>
      </c>
      <c r="U21" s="516">
        <v>34</v>
      </c>
      <c r="V21" s="516">
        <v>34</v>
      </c>
      <c r="W21" s="516">
        <v>34</v>
      </c>
      <c r="X21" s="516">
        <v>34</v>
      </c>
      <c r="Y21" s="516">
        <v>34</v>
      </c>
      <c r="Z21" s="516">
        <v>34</v>
      </c>
      <c r="AA21" s="516">
        <v>34</v>
      </c>
      <c r="AB21" s="516">
        <v>34</v>
      </c>
      <c r="AC21" s="630">
        <v>34</v>
      </c>
    </row>
    <row r="22" spans="2:101" ht="21.4" customHeight="1" x14ac:dyDescent="0.25">
      <c r="B22" s="200" t="s">
        <v>534</v>
      </c>
      <c r="C22" s="183"/>
      <c r="D22" s="222"/>
      <c r="E22" s="226"/>
      <c r="F22" s="226"/>
      <c r="G22" s="226"/>
      <c r="H22" s="517"/>
      <c r="I22" s="517"/>
      <c r="J22" s="517">
        <f>PPP!J53</f>
        <v>57.2</v>
      </c>
      <c r="K22" s="517">
        <f>PPP!K53</f>
        <v>81.2</v>
      </c>
      <c r="L22" s="517">
        <f>PPP!L53</f>
        <v>24.4</v>
      </c>
      <c r="M22" s="517">
        <f>PPP!M53</f>
        <v>10.8</v>
      </c>
      <c r="N22" s="517">
        <f>PPP!N53</f>
        <v>24.7</v>
      </c>
      <c r="O22" s="517">
        <f>PPP!O53</f>
        <v>14</v>
      </c>
      <c r="P22" s="517">
        <f>PPP!P53</f>
        <v>2</v>
      </c>
      <c r="Q22" s="546">
        <f>PPP!Q53</f>
        <v>0</v>
      </c>
      <c r="R22" s="516">
        <f>PPP!Q61</f>
        <v>0</v>
      </c>
      <c r="S22" s="516">
        <f>PPP!S53</f>
        <v>0</v>
      </c>
      <c r="T22" s="516">
        <f>PPP!T53</f>
        <v>0</v>
      </c>
      <c r="U22" s="516">
        <f>PPP!U53</f>
        <v>0</v>
      </c>
      <c r="V22" s="516">
        <f>PPP!V53</f>
        <v>0</v>
      </c>
      <c r="W22" s="516">
        <f>PPP!W53</f>
        <v>0</v>
      </c>
      <c r="X22" s="516">
        <f>PPP!X53</f>
        <v>0</v>
      </c>
      <c r="Y22" s="516">
        <f>PPP!Y53</f>
        <v>0</v>
      </c>
      <c r="Z22" s="516">
        <f>PPP!Z53</f>
        <v>0</v>
      </c>
      <c r="AA22" s="516">
        <f>PPP!AA53</f>
        <v>0</v>
      </c>
      <c r="AB22" s="516">
        <f>PPP!AB53</f>
        <v>0</v>
      </c>
      <c r="AC22" s="630">
        <f>PPP!AC53</f>
        <v>0</v>
      </c>
    </row>
    <row r="23" spans="2:101" ht="21.4" customHeight="1" x14ac:dyDescent="0.25">
      <c r="B23" s="436" t="s">
        <v>871</v>
      </c>
      <c r="C23" s="183"/>
      <c r="D23" s="552">
        <f t="shared" ref="D23:AC23" si="3">D52</f>
        <v>0</v>
      </c>
      <c r="E23" s="517">
        <f t="shared" si="3"/>
        <v>0</v>
      </c>
      <c r="F23" s="517">
        <f t="shared" si="3"/>
        <v>0</v>
      </c>
      <c r="G23" s="517">
        <f t="shared" si="3"/>
        <v>0</v>
      </c>
      <c r="H23" s="517">
        <f t="shared" si="3"/>
        <v>0</v>
      </c>
      <c r="I23" s="517">
        <f t="shared" si="3"/>
        <v>-2.5817500000000564</v>
      </c>
      <c r="J23" s="517">
        <f t="shared" si="3"/>
        <v>-4.8587500000001</v>
      </c>
      <c r="K23" s="517">
        <f t="shared" si="3"/>
        <v>97.173249999999825</v>
      </c>
      <c r="L23" s="517">
        <f t="shared" si="3"/>
        <v>24.54924999999912</v>
      </c>
      <c r="M23" s="517">
        <f t="shared" si="3"/>
        <v>28.23224999999934</v>
      </c>
      <c r="N23" s="517">
        <f t="shared" si="3"/>
        <v>-0.27559000000042033</v>
      </c>
      <c r="O23" s="517">
        <f t="shared" si="3"/>
        <v>-0.77924333333385221</v>
      </c>
      <c r="P23" s="517">
        <f t="shared" si="3"/>
        <v>-17.77408333333392</v>
      </c>
      <c r="Q23" s="546">
        <f t="shared" si="3"/>
        <v>-4.6680700000013076</v>
      </c>
      <c r="R23" s="516">
        <f t="shared" si="3"/>
        <v>25</v>
      </c>
      <c r="S23" s="516">
        <f t="shared" si="3"/>
        <v>25</v>
      </c>
      <c r="T23" s="516">
        <f t="shared" si="3"/>
        <v>90</v>
      </c>
      <c r="U23" s="516">
        <f t="shared" si="3"/>
        <v>90</v>
      </c>
      <c r="V23" s="516">
        <f t="shared" si="3"/>
        <v>90</v>
      </c>
      <c r="W23" s="516">
        <f t="shared" si="3"/>
        <v>90</v>
      </c>
      <c r="X23" s="516">
        <f t="shared" si="3"/>
        <v>110</v>
      </c>
      <c r="Y23" s="516">
        <f t="shared" si="3"/>
        <v>110</v>
      </c>
      <c r="Z23" s="516">
        <f t="shared" si="3"/>
        <v>110</v>
      </c>
      <c r="AA23" s="516">
        <f t="shared" si="3"/>
        <v>110</v>
      </c>
      <c r="AB23" s="516">
        <f t="shared" si="3"/>
        <v>130</v>
      </c>
      <c r="AC23" s="630">
        <f t="shared" si="3"/>
        <v>130</v>
      </c>
    </row>
    <row r="24" spans="2:101" ht="21" customHeight="1" x14ac:dyDescent="0.25">
      <c r="B24" s="201" t="s">
        <v>868</v>
      </c>
      <c r="C24" s="170"/>
      <c r="D24" s="623">
        <f t="shared" ref="D24:AC24" si="4">D18+D19</f>
        <v>0</v>
      </c>
      <c r="E24" s="598">
        <f t="shared" si="4"/>
        <v>0</v>
      </c>
      <c r="F24" s="598">
        <f t="shared" si="4"/>
        <v>0</v>
      </c>
      <c r="G24" s="598">
        <f t="shared" si="4"/>
        <v>0</v>
      </c>
      <c r="H24" s="598">
        <f t="shared" si="4"/>
        <v>0</v>
      </c>
      <c r="I24" s="598">
        <f t="shared" si="4"/>
        <v>0</v>
      </c>
      <c r="J24" s="598">
        <f t="shared" si="4"/>
        <v>160.9</v>
      </c>
      <c r="K24" s="598">
        <f t="shared" si="4"/>
        <v>58.4</v>
      </c>
      <c r="L24" s="598">
        <f t="shared" si="4"/>
        <v>34.5</v>
      </c>
      <c r="M24" s="598">
        <f t="shared" si="4"/>
        <v>42.8</v>
      </c>
      <c r="N24" s="598">
        <f t="shared" si="4"/>
        <v>26.6</v>
      </c>
      <c r="O24" s="598">
        <f t="shared" si="4"/>
        <v>40.50400000000004</v>
      </c>
      <c r="P24" s="602">
        <f>P18+P19</f>
        <v>84.119000000000014</v>
      </c>
      <c r="Q24" s="588">
        <f t="shared" si="4"/>
        <v>73.419000000000011</v>
      </c>
      <c r="R24" s="595">
        <f t="shared" si="4"/>
        <v>69.719000000000008</v>
      </c>
      <c r="S24" s="595">
        <f t="shared" si="4"/>
        <v>19.719000000000005</v>
      </c>
      <c r="T24" s="595">
        <f t="shared" si="4"/>
        <v>1.4159999999999999</v>
      </c>
      <c r="U24" s="595">
        <f t="shared" si="4"/>
        <v>1.4159999999999999</v>
      </c>
      <c r="V24" s="595">
        <f t="shared" si="4"/>
        <v>1.4159999999999999</v>
      </c>
      <c r="W24" s="595">
        <f t="shared" si="4"/>
        <v>1.4159999999999999</v>
      </c>
      <c r="X24" s="595">
        <f t="shared" si="4"/>
        <v>1.4790000000000001</v>
      </c>
      <c r="Y24" s="595">
        <f t="shared" si="4"/>
        <v>1.4790000000000001</v>
      </c>
      <c r="Z24" s="595">
        <f t="shared" si="4"/>
        <v>1.4790000000000001</v>
      </c>
      <c r="AA24" s="595">
        <f t="shared" si="4"/>
        <v>1.4790000000000001</v>
      </c>
      <c r="AB24" s="595">
        <f t="shared" si="4"/>
        <v>1.63</v>
      </c>
      <c r="AC24" s="597">
        <f t="shared" si="4"/>
        <v>1.63</v>
      </c>
    </row>
    <row r="25" spans="2:101" ht="44.65" customHeight="1" x14ac:dyDescent="0.25">
      <c r="B25" s="200" t="s">
        <v>877</v>
      </c>
      <c r="C25" s="183"/>
      <c r="D25" s="552">
        <f t="shared" ref="D25:AC25" si="5">D50</f>
        <v>1411.0000000000002</v>
      </c>
      <c r="E25" s="517">
        <f t="shared" si="5"/>
        <v>1471.3999999999999</v>
      </c>
      <c r="F25" s="517">
        <f t="shared" si="5"/>
        <v>1476.6</v>
      </c>
      <c r="G25" s="517">
        <f t="shared" si="5"/>
        <v>1483.6999999999998</v>
      </c>
      <c r="H25" s="517">
        <f t="shared" si="5"/>
        <v>1492.7</v>
      </c>
      <c r="I25" s="517">
        <f t="shared" si="5"/>
        <v>1539.9</v>
      </c>
      <c r="J25" s="517">
        <f t="shared" si="5"/>
        <v>1547.0000000000002</v>
      </c>
      <c r="K25" s="517">
        <f t="shared" si="5"/>
        <v>1554.1000000000004</v>
      </c>
      <c r="L25" s="517">
        <f t="shared" si="5"/>
        <v>1561.2000000000005</v>
      </c>
      <c r="M25" s="517">
        <f t="shared" si="5"/>
        <v>1585.8010000000006</v>
      </c>
      <c r="N25" s="517">
        <f t="shared" si="5"/>
        <v>1592.9010000000007</v>
      </c>
      <c r="O25" s="517">
        <f t="shared" si="5"/>
        <v>1600.0010000000009</v>
      </c>
      <c r="P25" s="517">
        <f>P50</f>
        <v>1607.101000000001</v>
      </c>
      <c r="Q25" s="546">
        <f t="shared" si="5"/>
        <v>1686.1423200000011</v>
      </c>
      <c r="R25" s="516">
        <f t="shared" si="5"/>
        <v>1693.2423200000012</v>
      </c>
      <c r="S25" s="516">
        <f t="shared" si="5"/>
        <v>1700.3423200000013</v>
      </c>
      <c r="T25" s="516">
        <f t="shared" si="5"/>
        <v>1707.4423200000015</v>
      </c>
      <c r="U25" s="516">
        <f t="shared" si="5"/>
        <v>1763.7832000000017</v>
      </c>
      <c r="V25" s="516">
        <f t="shared" si="5"/>
        <v>1770.8832000000018</v>
      </c>
      <c r="W25" s="516">
        <f t="shared" si="5"/>
        <v>1777.9832000000019</v>
      </c>
      <c r="X25" s="516">
        <f t="shared" si="5"/>
        <v>1785.0832000000021</v>
      </c>
      <c r="Y25" s="516">
        <f t="shared" si="5"/>
        <v>1817.4436400000022</v>
      </c>
      <c r="Z25" s="516">
        <f t="shared" si="5"/>
        <v>1824.5436400000024</v>
      </c>
      <c r="AA25" s="516">
        <f t="shared" si="5"/>
        <v>1831.6436400000025</v>
      </c>
      <c r="AB25" s="516">
        <f t="shared" si="5"/>
        <v>1838.7436400000026</v>
      </c>
      <c r="AC25" s="630">
        <f t="shared" si="5"/>
        <v>1871.7440800000027</v>
      </c>
    </row>
    <row r="26" spans="2:101" ht="44.65" customHeight="1" x14ac:dyDescent="0.25">
      <c r="B26" s="418" t="s">
        <v>890</v>
      </c>
      <c r="D26" s="552"/>
      <c r="E26" s="517"/>
      <c r="F26" s="517"/>
      <c r="G26" s="517"/>
      <c r="H26" s="517"/>
      <c r="I26" s="517"/>
      <c r="J26" s="517"/>
      <c r="K26" s="517"/>
      <c r="L26" s="517"/>
      <c r="M26" s="517"/>
      <c r="N26" s="517"/>
      <c r="O26" s="517"/>
      <c r="P26" s="517"/>
      <c r="Q26" s="546">
        <v>-2.5</v>
      </c>
      <c r="R26" s="516">
        <v>-2.5</v>
      </c>
      <c r="S26" s="516">
        <v>-2.5</v>
      </c>
      <c r="T26" s="516">
        <v>-6</v>
      </c>
      <c r="U26" s="516">
        <v>-6</v>
      </c>
      <c r="V26" s="516">
        <v>-6</v>
      </c>
      <c r="W26" s="516">
        <v>-6</v>
      </c>
      <c r="X26" s="516">
        <v>-4.3</v>
      </c>
      <c r="Y26" s="516">
        <v>-4.3</v>
      </c>
      <c r="Z26" s="516">
        <v>-4.3</v>
      </c>
      <c r="AA26" s="516">
        <v>-4.3</v>
      </c>
      <c r="AB26" s="516">
        <v>-4.8</v>
      </c>
      <c r="AC26" s="630">
        <v>-4.8</v>
      </c>
    </row>
    <row r="27" spans="2:101" ht="31.15" customHeight="1" x14ac:dyDescent="0.25">
      <c r="B27" s="523" t="s">
        <v>873</v>
      </c>
      <c r="C27" s="170"/>
      <c r="D27" s="632">
        <f>D25+SUM(D20:D23) + D26</f>
        <v>1441.0000000000002</v>
      </c>
      <c r="E27" s="609">
        <f t="shared" ref="E27:O27" si="6">E25+SUM(E20:E23) + E26</f>
        <v>1501.3999999999999</v>
      </c>
      <c r="F27" s="609">
        <f t="shared" si="6"/>
        <v>1506.6</v>
      </c>
      <c r="G27" s="609">
        <f t="shared" si="6"/>
        <v>1513.6999999999998</v>
      </c>
      <c r="H27" s="609">
        <f t="shared" si="6"/>
        <v>1522.7</v>
      </c>
      <c r="I27" s="609">
        <f t="shared" si="6"/>
        <v>1569.9</v>
      </c>
      <c r="J27" s="609">
        <f t="shared" si="6"/>
        <v>1666.7</v>
      </c>
      <c r="K27" s="609">
        <f>K25+SUM(K20:K23) + K26</f>
        <v>1800.7000000000003</v>
      </c>
      <c r="L27" s="609">
        <f t="shared" si="6"/>
        <v>1678.6999999999996</v>
      </c>
      <c r="M27" s="609">
        <f t="shared" si="6"/>
        <v>1714.1999999999998</v>
      </c>
      <c r="N27" s="609">
        <f t="shared" si="6"/>
        <v>1725.9781600000003</v>
      </c>
      <c r="O27" s="609">
        <f t="shared" si="6"/>
        <v>1913.1298400000001</v>
      </c>
      <c r="P27" s="609">
        <f>P25+SUM(P20:P23) + P26</f>
        <v>1899.6240000000003</v>
      </c>
      <c r="Q27" s="611">
        <f>Q25+SUM(Q20:Q23) + Q26</f>
        <v>1864.8239999999998</v>
      </c>
      <c r="R27" s="530">
        <f t="shared" ref="R27" si="7">R25+SUM(R20:R23) + R26</f>
        <v>1841.3423200000011</v>
      </c>
      <c r="S27" s="530">
        <f t="shared" ref="S27" si="8">S25+SUM(S20:S23) + S26</f>
        <v>1833.4423200000012</v>
      </c>
      <c r="T27" s="530">
        <f t="shared" ref="T27" si="9">T25+SUM(T20:T23) + T26</f>
        <v>1897.0423200000014</v>
      </c>
      <c r="U27" s="530">
        <f t="shared" ref="U27" si="10">U25+SUM(U20:U23) + U26</f>
        <v>1881.7832000000017</v>
      </c>
      <c r="V27" s="530">
        <f t="shared" ref="V27" si="11">V25+SUM(V20:V23) + V26</f>
        <v>1888.8832000000018</v>
      </c>
      <c r="W27" s="530">
        <f t="shared" ref="W27" si="12">W25+SUM(W20:W23) + W26</f>
        <v>1895.9832000000019</v>
      </c>
      <c r="X27" s="530">
        <f t="shared" ref="X27" si="13">X25+SUM(X20:X23) + X26</f>
        <v>1924.7832000000021</v>
      </c>
      <c r="Y27" s="530">
        <f t="shared" ref="Y27" si="14">Y25+SUM(Y20:Y23) + Y26</f>
        <v>1957.1436400000023</v>
      </c>
      <c r="Z27" s="530">
        <f t="shared" ref="Z27" si="15">Z25+SUM(Z20:Z23) + Z26</f>
        <v>1964.2436400000024</v>
      </c>
      <c r="AA27" s="530">
        <f t="shared" ref="AA27" si="16">AA25+SUM(AA20:AA23) + AA26</f>
        <v>1971.3436400000026</v>
      </c>
      <c r="AB27" s="530">
        <f t="shared" ref="AB27" si="17">AB25+SUM(AB20:AB23) + AB26</f>
        <v>1997.9436400000027</v>
      </c>
      <c r="AC27" s="531">
        <f t="shared" ref="AC27" si="18">AC25+SUM(AC20:AC23) + AC26</f>
        <v>2030.9440800000027</v>
      </c>
    </row>
    <row r="28" spans="2:101" ht="31.15" customHeight="1" x14ac:dyDescent="0.25">
      <c r="B28" s="1031" t="s">
        <v>537</v>
      </c>
      <c r="C28" s="1032"/>
      <c r="D28" s="549"/>
      <c r="E28" s="602"/>
      <c r="F28" s="602"/>
      <c r="G28" s="602"/>
      <c r="H28" s="602"/>
      <c r="I28" s="602"/>
      <c r="J28" s="602"/>
      <c r="K28" s="602"/>
      <c r="L28" s="602"/>
      <c r="M28" s="602"/>
      <c r="N28" s="602"/>
      <c r="O28" s="602"/>
      <c r="P28" s="602"/>
      <c r="Q28" s="549"/>
      <c r="R28" s="530"/>
      <c r="S28" s="530"/>
      <c r="T28" s="530"/>
      <c r="U28" s="530"/>
      <c r="V28" s="530"/>
      <c r="W28" s="530"/>
      <c r="X28" s="530"/>
      <c r="Y28" s="530"/>
      <c r="Z28" s="530"/>
      <c r="AA28" s="530"/>
      <c r="AB28" s="530"/>
      <c r="AC28" s="531"/>
    </row>
    <row r="29" spans="2:101" x14ac:dyDescent="0.25">
      <c r="B29" s="436" t="s">
        <v>879</v>
      </c>
      <c r="C29" s="183" t="s">
        <v>538</v>
      </c>
      <c r="D29" s="255">
        <f>'Haver Pivoted'!GO37</f>
        <v>731.6</v>
      </c>
      <c r="E29" s="183">
        <f>'Haver Pivoted'!GP37</f>
        <v>741.5</v>
      </c>
      <c r="F29" s="183">
        <f>'Haver Pivoted'!GQ37</f>
        <v>758.6</v>
      </c>
      <c r="G29" s="183">
        <f>'Haver Pivoted'!GR37</f>
        <v>767.8</v>
      </c>
      <c r="H29" s="183">
        <f>'Haver Pivoted'!GS37</f>
        <v>767.1</v>
      </c>
      <c r="I29" s="183">
        <f>'Haver Pivoted'!GT37</f>
        <v>755.9</v>
      </c>
      <c r="J29" s="183">
        <f>'Haver Pivoted'!GU37</f>
        <v>803.8</v>
      </c>
      <c r="K29" s="183">
        <f>'Haver Pivoted'!GV37</f>
        <v>842.2</v>
      </c>
      <c r="L29" s="183">
        <f>'Haver Pivoted'!GW37</f>
        <v>831.1</v>
      </c>
      <c r="M29" s="183">
        <f>'Haver Pivoted'!GX37</f>
        <v>850</v>
      </c>
      <c r="N29" s="183">
        <f>'Haver Pivoted'!GY37</f>
        <v>885.5</v>
      </c>
      <c r="O29" s="183">
        <f>'Haver Pivoted'!GZ37</f>
        <v>933.2</v>
      </c>
      <c r="P29" s="183">
        <f>'Haver Pivoted'!HA37</f>
        <v>939.2</v>
      </c>
      <c r="Q29" s="183">
        <f>'Haver Pivoted'!HB37</f>
        <v>948.5</v>
      </c>
      <c r="R29" s="610"/>
      <c r="S29" s="610"/>
      <c r="T29" s="610"/>
      <c r="U29" s="610"/>
      <c r="V29" s="610"/>
      <c r="W29" s="610"/>
      <c r="X29" s="610"/>
      <c r="Y29" s="610"/>
      <c r="Z29" s="610"/>
      <c r="AA29" s="610"/>
      <c r="AB29" s="610"/>
      <c r="AC29" s="631"/>
    </row>
    <row r="30" spans="2:101" x14ac:dyDescent="0.25">
      <c r="B30" s="255" t="s">
        <v>209</v>
      </c>
      <c r="C30" s="183"/>
      <c r="D30" s="552">
        <f>Medicaid!D26</f>
        <v>589.5</v>
      </c>
      <c r="E30" s="517">
        <f>Medicaid!E26</f>
        <v>598.79999999999995</v>
      </c>
      <c r="F30" s="517">
        <f>Medicaid!F26</f>
        <v>614.5</v>
      </c>
      <c r="G30" s="517">
        <f>Medicaid!G26</f>
        <v>622.4</v>
      </c>
      <c r="H30" s="517">
        <f>Medicaid!H26</f>
        <v>620.5</v>
      </c>
      <c r="I30" s="517">
        <f>Medicaid!I26</f>
        <v>606.20000000000005</v>
      </c>
      <c r="J30" s="517">
        <f>Medicaid!J26</f>
        <v>654.20000000000005</v>
      </c>
      <c r="K30" s="517">
        <f>Medicaid!K26</f>
        <v>690.4</v>
      </c>
      <c r="L30" s="517">
        <f>Medicaid!L26</f>
        <v>678.3</v>
      </c>
      <c r="M30" s="517">
        <f>Medicaid!M26</f>
        <v>695.9</v>
      </c>
      <c r="N30" s="517">
        <f>Medicaid!N26</f>
        <v>730.5</v>
      </c>
      <c r="O30" s="517">
        <f>Medicaid!O26</f>
        <v>775</v>
      </c>
      <c r="P30" s="517">
        <f>Medicaid!P26</f>
        <v>782.9</v>
      </c>
      <c r="Q30" s="552">
        <f>Medicaid!Q26</f>
        <v>791.3</v>
      </c>
      <c r="R30" s="516">
        <f>Medicaid!R26</f>
        <v>793.00154133708929</v>
      </c>
      <c r="S30" s="516">
        <f>Medicaid!S26</f>
        <v>807.75619867781165</v>
      </c>
      <c r="T30" s="516">
        <f>Medicaid!T26</f>
        <v>825.34765926715204</v>
      </c>
      <c r="U30" s="516">
        <f>Medicaid!U26</f>
        <v>843.32222986688032</v>
      </c>
      <c r="V30" s="516">
        <f>Medicaid!V26</f>
        <v>861.68825391609369</v>
      </c>
      <c r="W30" s="516">
        <f>Medicaid!W26</f>
        <v>880.45425655881513</v>
      </c>
      <c r="X30" s="516">
        <f>Medicaid!X26</f>
        <v>871.06266187471999</v>
      </c>
      <c r="Y30" s="516">
        <f>Medicaid!Y26</f>
        <v>861.77124508181373</v>
      </c>
      <c r="Z30" s="516">
        <f>Medicaid!Z26</f>
        <v>852.57893760652382</v>
      </c>
      <c r="AA30" s="516">
        <f>Medicaid!AA26</f>
        <v>843.48468227349622</v>
      </c>
      <c r="AB30" s="516">
        <f>Medicaid!AB26</f>
        <v>834.48743318401296</v>
      </c>
      <c r="AC30" s="630">
        <f>Medicaid!AC26</f>
        <v>825.5861555957074</v>
      </c>
    </row>
    <row r="31" spans="2:101" ht="14.45" customHeight="1" x14ac:dyDescent="0.25">
      <c r="B31" s="523" t="s">
        <v>880</v>
      </c>
      <c r="C31" s="170"/>
      <c r="D31" s="549">
        <f>D29-D30</f>
        <v>142.10000000000002</v>
      </c>
      <c r="E31" s="602">
        <f t="shared" ref="E31:O31" si="19">E29-E30</f>
        <v>142.70000000000005</v>
      </c>
      <c r="F31" s="602">
        <f t="shared" si="19"/>
        <v>144.10000000000002</v>
      </c>
      <c r="G31" s="602">
        <f t="shared" si="19"/>
        <v>145.39999999999998</v>
      </c>
      <c r="H31" s="602">
        <f t="shared" si="19"/>
        <v>146.60000000000002</v>
      </c>
      <c r="I31" s="602">
        <f t="shared" si="19"/>
        <v>149.69999999999993</v>
      </c>
      <c r="J31" s="602">
        <f t="shared" si="19"/>
        <v>149.59999999999991</v>
      </c>
      <c r="K31" s="602">
        <f t="shared" si="19"/>
        <v>151.80000000000007</v>
      </c>
      <c r="L31" s="602">
        <f t="shared" si="19"/>
        <v>152.80000000000007</v>
      </c>
      <c r="M31" s="602">
        <f t="shared" si="19"/>
        <v>154.10000000000002</v>
      </c>
      <c r="N31" s="602">
        <f t="shared" si="19"/>
        <v>155</v>
      </c>
      <c r="O31" s="602">
        <f t="shared" si="19"/>
        <v>158.20000000000005</v>
      </c>
      <c r="P31" s="602">
        <f>P29-P30</f>
        <v>156.30000000000007</v>
      </c>
      <c r="Q31" s="602">
        <f>Q29-Q30</f>
        <v>157.20000000000005</v>
      </c>
      <c r="R31" s="530">
        <f>Q31*(1+AVERAGE($F$32:$I$32))</f>
        <v>159.09549303998926</v>
      </c>
      <c r="S31" s="530">
        <f t="shared" ref="S31:AC31" si="20">R31*(1+AVERAGE($F$32:$I$32))</f>
        <v>161.0138416389139</v>
      </c>
      <c r="T31" s="530">
        <f t="shared" si="20"/>
        <v>162.95532138553278</v>
      </c>
      <c r="U31" s="530">
        <f t="shared" si="20"/>
        <v>164.92021119161092</v>
      </c>
      <c r="V31" s="530">
        <f t="shared" si="20"/>
        <v>166.90879333198782</v>
      </c>
      <c r="W31" s="530">
        <f t="shared" si="20"/>
        <v>168.92135348512892</v>
      </c>
      <c r="X31" s="530">
        <f t="shared" si="20"/>
        <v>170.95818077416595</v>
      </c>
      <c r="Y31" s="530">
        <f t="shared" si="20"/>
        <v>173.01956780843219</v>
      </c>
      <c r="Z31" s="530">
        <f t="shared" si="20"/>
        <v>175.10581072549851</v>
      </c>
      <c r="AA31" s="530">
        <f t="shared" si="20"/>
        <v>177.2172092337164</v>
      </c>
      <c r="AB31" s="530">
        <f t="shared" si="20"/>
        <v>179.35406665527381</v>
      </c>
      <c r="AC31" s="531">
        <f t="shared" si="20"/>
        <v>181.51668996977023</v>
      </c>
    </row>
    <row r="32" spans="2:101" x14ac:dyDescent="0.25">
      <c r="B32" s="583" t="s">
        <v>881</v>
      </c>
      <c r="C32" s="192"/>
      <c r="D32" s="555"/>
      <c r="E32" s="520">
        <f>E31/D31-1</f>
        <v>4.2223786066151181E-3</v>
      </c>
      <c r="F32" s="520">
        <f t="shared" ref="F32:N32" si="21">F31/E31-1</f>
        <v>9.8107918710579334E-3</v>
      </c>
      <c r="G32" s="520">
        <f t="shared" si="21"/>
        <v>9.0215128383064336E-3</v>
      </c>
      <c r="H32" s="520">
        <f t="shared" si="21"/>
        <v>8.253094910591896E-3</v>
      </c>
      <c r="I32" s="520">
        <f t="shared" si="21"/>
        <v>2.1145975443382703E-2</v>
      </c>
      <c r="J32" s="520">
        <f t="shared" si="21"/>
        <v>-6.6800267201083674E-4</v>
      </c>
      <c r="K32" s="520">
        <f t="shared" si="21"/>
        <v>1.4705882352942234E-2</v>
      </c>
      <c r="L32" s="520">
        <f t="shared" si="21"/>
        <v>6.5876152832673451E-3</v>
      </c>
      <c r="M32" s="520">
        <f t="shared" si="21"/>
        <v>8.5078534031410857E-3</v>
      </c>
      <c r="N32" s="520">
        <f t="shared" si="21"/>
        <v>5.8403634003891813E-3</v>
      </c>
      <c r="O32" s="520">
        <f>O31/N31-1</f>
        <v>2.06451612903229E-2</v>
      </c>
      <c r="P32" s="518">
        <f t="shared" ref="P32:Q32" si="22">P31/O31-1</f>
        <v>-1.2010113780025145E-2</v>
      </c>
      <c r="Q32" s="518">
        <f t="shared" si="22"/>
        <v>5.7581573896352545E-3</v>
      </c>
      <c r="R32" s="516"/>
      <c r="S32" s="516"/>
      <c r="T32" s="516"/>
      <c r="U32" s="516"/>
      <c r="V32" s="516"/>
      <c r="W32" s="516"/>
      <c r="X32" s="516"/>
      <c r="Y32" s="516"/>
      <c r="Z32" s="516"/>
      <c r="AA32" s="516"/>
      <c r="AB32" s="516"/>
      <c r="AC32" s="630"/>
    </row>
    <row r="33" spans="2:29" x14ac:dyDescent="0.25">
      <c r="P33" s="426"/>
      <c r="Q33" s="426"/>
      <c r="R33" s="426"/>
      <c r="S33" s="426"/>
      <c r="T33" s="426"/>
      <c r="U33" s="426"/>
      <c r="V33" s="426"/>
      <c r="W33" s="426"/>
      <c r="X33" s="426"/>
      <c r="Y33" s="426"/>
      <c r="Z33" s="426"/>
      <c r="AA33" s="426"/>
      <c r="AB33" s="426"/>
      <c r="AC33" s="426"/>
    </row>
    <row r="34" spans="2:29" x14ac:dyDescent="0.25">
      <c r="B34" s="257" t="s">
        <v>400</v>
      </c>
      <c r="D34" s="517"/>
      <c r="E34" s="517"/>
      <c r="F34" s="517"/>
      <c r="G34" s="517"/>
      <c r="H34" s="517"/>
      <c r="I34" s="517"/>
      <c r="J34" s="517"/>
      <c r="K34" s="517"/>
      <c r="L34" s="517"/>
      <c r="M34" s="517"/>
      <c r="N34" s="517"/>
      <c r="O34" s="517"/>
      <c r="P34" s="517"/>
      <c r="Q34" s="517"/>
      <c r="R34" s="517"/>
      <c r="S34" s="517"/>
      <c r="T34" s="517"/>
      <c r="U34" s="517"/>
      <c r="V34" s="517"/>
      <c r="W34" s="517"/>
      <c r="X34" s="517"/>
      <c r="Y34" s="517"/>
      <c r="Z34" s="517"/>
      <c r="AA34" s="517"/>
      <c r="AB34" s="517"/>
      <c r="AC34" s="517"/>
    </row>
    <row r="35" spans="2:29" ht="45.75" customHeight="1" x14ac:dyDescent="0.25">
      <c r="B35" s="1033" t="s">
        <v>541</v>
      </c>
      <c r="C35" s="1033"/>
      <c r="D35" s="1033"/>
      <c r="E35" s="1033"/>
      <c r="F35" s="1033"/>
      <c r="G35" s="1033"/>
      <c r="H35" s="1033"/>
      <c r="I35" s="1033"/>
      <c r="J35" s="1033"/>
      <c r="K35" s="1033"/>
      <c r="L35" s="1033"/>
      <c r="M35" s="1033"/>
      <c r="N35" s="1033"/>
      <c r="O35" s="1033"/>
      <c r="P35" s="1033"/>
      <c r="Q35" s="1033"/>
      <c r="R35" s="1033"/>
      <c r="S35" s="1033"/>
      <c r="T35" s="1033"/>
      <c r="U35" s="1033"/>
      <c r="V35" s="1033"/>
      <c r="W35" s="1033"/>
      <c r="X35" s="1033"/>
      <c r="Y35" s="1033"/>
      <c r="Z35" s="1033"/>
      <c r="AA35" s="1033"/>
      <c r="AB35" s="1033"/>
      <c r="AC35" s="1033"/>
    </row>
    <row r="36" spans="2:29" ht="14.65" customHeight="1" x14ac:dyDescent="0.25">
      <c r="B36" s="937" t="s">
        <v>542</v>
      </c>
      <c r="C36" s="938"/>
      <c r="D36" s="956" t="s">
        <v>325</v>
      </c>
      <c r="E36" s="957"/>
      <c r="F36" s="957"/>
      <c r="G36" s="957"/>
      <c r="H36" s="957"/>
      <c r="I36" s="957"/>
      <c r="J36" s="957"/>
      <c r="K36" s="957"/>
      <c r="L36" s="957"/>
      <c r="M36" s="957"/>
      <c r="N36" s="957"/>
      <c r="O36" s="957"/>
      <c r="P36" s="1004"/>
      <c r="Q36" s="1028" t="s">
        <v>326</v>
      </c>
      <c r="R36" s="1029"/>
      <c r="S36" s="1029"/>
      <c r="T36" s="1029"/>
      <c r="U36" s="1029"/>
      <c r="V36" s="1029"/>
      <c r="W36" s="1029"/>
      <c r="X36" s="1029"/>
      <c r="Y36" s="1029"/>
      <c r="Z36" s="1029"/>
      <c r="AA36" s="1029"/>
      <c r="AB36" s="1029"/>
      <c r="AC36" s="1030"/>
    </row>
    <row r="37" spans="2:29" x14ac:dyDescent="0.25">
      <c r="B37" s="937"/>
      <c r="C37" s="938"/>
      <c r="D37" s="178">
        <v>2018</v>
      </c>
      <c r="E37" s="932">
        <v>2019</v>
      </c>
      <c r="F37" s="933"/>
      <c r="G37" s="933"/>
      <c r="H37" s="934"/>
      <c r="I37" s="932">
        <v>2020</v>
      </c>
      <c r="J37" s="933"/>
      <c r="K37" s="933"/>
      <c r="L37" s="933"/>
      <c r="M37" s="932">
        <v>2021</v>
      </c>
      <c r="N37" s="933"/>
      <c r="O37" s="933"/>
      <c r="P37" s="934"/>
      <c r="Q37" s="940">
        <v>2022</v>
      </c>
      <c r="R37" s="940"/>
      <c r="S37" s="940"/>
      <c r="T37" s="941"/>
      <c r="U37" s="939">
        <v>2023</v>
      </c>
      <c r="V37" s="940"/>
      <c r="W37" s="940"/>
      <c r="X37" s="940"/>
      <c r="Y37" s="939">
        <v>2024</v>
      </c>
      <c r="Z37" s="940"/>
      <c r="AA37" s="940"/>
      <c r="AB37" s="941"/>
      <c r="AC37" s="185">
        <v>2025</v>
      </c>
    </row>
    <row r="38" spans="2:29" x14ac:dyDescent="0.25">
      <c r="B38" s="974"/>
      <c r="C38" s="975"/>
      <c r="D38" s="180" t="s">
        <v>327</v>
      </c>
      <c r="E38" s="180" t="s">
        <v>328</v>
      </c>
      <c r="F38" s="177" t="s">
        <v>329</v>
      </c>
      <c r="G38" s="177" t="s">
        <v>238</v>
      </c>
      <c r="H38" s="179" t="s">
        <v>327</v>
      </c>
      <c r="I38" s="177" t="s">
        <v>328</v>
      </c>
      <c r="J38" s="177" t="s">
        <v>329</v>
      </c>
      <c r="K38" s="177" t="s">
        <v>238</v>
      </c>
      <c r="L38" s="177" t="s">
        <v>327</v>
      </c>
      <c r="M38" s="180" t="s">
        <v>328</v>
      </c>
      <c r="N38" s="177" t="s">
        <v>329</v>
      </c>
      <c r="O38" s="177" t="s">
        <v>238</v>
      </c>
      <c r="P38" s="179" t="s">
        <v>327</v>
      </c>
      <c r="Q38" s="360" t="s">
        <v>328</v>
      </c>
      <c r="R38" s="360" t="s">
        <v>329</v>
      </c>
      <c r="S38" s="360" t="s">
        <v>238</v>
      </c>
      <c r="T38" s="360" t="s">
        <v>327</v>
      </c>
      <c r="U38" s="359" t="s">
        <v>328</v>
      </c>
      <c r="V38" s="360" t="s">
        <v>329</v>
      </c>
      <c r="W38" s="360" t="s">
        <v>238</v>
      </c>
      <c r="X38" s="360" t="s">
        <v>327</v>
      </c>
      <c r="Y38" s="359" t="s">
        <v>328</v>
      </c>
      <c r="Z38" s="196" t="s">
        <v>329</v>
      </c>
      <c r="AA38" s="360" t="s">
        <v>238</v>
      </c>
      <c r="AB38" s="383" t="s">
        <v>327</v>
      </c>
      <c r="AC38" s="400" t="s">
        <v>328</v>
      </c>
    </row>
    <row r="39" spans="2:29" x14ac:dyDescent="0.25">
      <c r="B39" s="255" t="s">
        <v>543</v>
      </c>
      <c r="D39" s="228"/>
      <c r="E39" s="221"/>
      <c r="F39" s="221"/>
      <c r="G39" s="221"/>
      <c r="H39" s="221"/>
      <c r="I39" s="528">
        <f>(I40-AVERAGE($E40:$H40))</f>
        <v>2.5817499999999995</v>
      </c>
      <c r="J39" s="528">
        <f t="shared" ref="J39:N39" si="23">(J40-AVERAGE($E40:$H40))</f>
        <v>37.358750000000001</v>
      </c>
      <c r="K39" s="528">
        <f t="shared" si="23"/>
        <v>38.026749999999993</v>
      </c>
      <c r="L39" s="528">
        <f t="shared" si="23"/>
        <v>38.350750000000005</v>
      </c>
      <c r="M39" s="528">
        <f t="shared" si="23"/>
        <v>54.966750000000005</v>
      </c>
      <c r="N39" s="528">
        <f t="shared" si="23"/>
        <v>74.252749999999992</v>
      </c>
      <c r="O39" s="528">
        <f>(O40-AVERAGE($E40:$H40))</f>
        <v>80.97475</v>
      </c>
      <c r="P39" s="551">
        <f>(P40-AVERAGE($E40:$H40))</f>
        <v>85.163749999999993</v>
      </c>
      <c r="Q39" s="551">
        <f>(Q40-AVERAGE($E40:$H40))</f>
        <v>80.249750000000006</v>
      </c>
      <c r="R39" s="545">
        <v>20</v>
      </c>
      <c r="S39" s="545">
        <v>5</v>
      </c>
      <c r="T39" s="545">
        <v>0</v>
      </c>
      <c r="U39" s="234"/>
      <c r="V39" s="234"/>
      <c r="W39" s="234"/>
      <c r="X39" s="234"/>
      <c r="Y39" s="234"/>
      <c r="Z39" s="234"/>
      <c r="AA39" s="234"/>
      <c r="AB39" s="234"/>
      <c r="AC39" s="235"/>
    </row>
    <row r="40" spans="2:29" x14ac:dyDescent="0.25">
      <c r="B40" s="255" t="s">
        <v>160</v>
      </c>
      <c r="C40" s="183" t="s">
        <v>544</v>
      </c>
      <c r="D40" s="222">
        <f>'Haver Pivoted'!GO66</f>
        <v>57.116</v>
      </c>
      <c r="E40" s="226">
        <f>'Haver Pivoted'!GP66</f>
        <v>55.898000000000003</v>
      </c>
      <c r="F40" s="226">
        <f>'Haver Pivoted'!GQ66</f>
        <v>54.478000000000002</v>
      </c>
      <c r="G40" s="226">
        <f>'Haver Pivoted'!GR66</f>
        <v>54.216000000000001</v>
      </c>
      <c r="H40" s="226">
        <f>'Haver Pivoted'!GS66</f>
        <v>54.152999999999999</v>
      </c>
      <c r="I40" s="226">
        <f>'Haver Pivoted'!GT66</f>
        <v>57.268000000000001</v>
      </c>
      <c r="J40" s="226">
        <f>'Haver Pivoted'!GU66</f>
        <v>92.045000000000002</v>
      </c>
      <c r="K40" s="226">
        <f>'Haver Pivoted'!GV66</f>
        <v>92.712999999999994</v>
      </c>
      <c r="L40" s="226">
        <f>'Haver Pivoted'!GW66</f>
        <v>93.037000000000006</v>
      </c>
      <c r="M40" s="226">
        <f>'Haver Pivoted'!GX66</f>
        <v>109.65300000000001</v>
      </c>
      <c r="N40" s="226">
        <f>'Haver Pivoted'!GY66</f>
        <v>128.93899999999999</v>
      </c>
      <c r="O40" s="226">
        <f>'Haver Pivoted'!GZ66</f>
        <v>135.661</v>
      </c>
      <c r="P40" s="182">
        <f>'Haver Pivoted'!HA66</f>
        <v>139.85</v>
      </c>
      <c r="Q40" s="182">
        <f>'Haver Pivoted'!HB66</f>
        <v>134.93600000000001</v>
      </c>
      <c r="R40" s="360"/>
      <c r="S40" s="360"/>
      <c r="T40" s="360"/>
      <c r="U40" s="360"/>
      <c r="V40" s="360"/>
      <c r="W40" s="360"/>
      <c r="X40" s="360"/>
      <c r="Y40" s="360"/>
      <c r="Z40" s="360"/>
      <c r="AA40" s="360"/>
      <c r="AB40" s="360"/>
      <c r="AC40" s="383"/>
    </row>
    <row r="41" spans="2:29" ht="28.9" customHeight="1" x14ac:dyDescent="0.25">
      <c r="B41" s="168" t="s">
        <v>545</v>
      </c>
      <c r="C41" s="192"/>
      <c r="D41" s="223"/>
      <c r="E41" s="224"/>
      <c r="F41" s="224"/>
      <c r="G41" s="224"/>
      <c r="H41" s="224"/>
      <c r="I41" s="224"/>
      <c r="J41" s="224">
        <f t="shared" ref="J41:Q41" si="24">J40-$H40</f>
        <v>37.892000000000003</v>
      </c>
      <c r="K41" s="224">
        <f t="shared" si="24"/>
        <v>38.559999999999995</v>
      </c>
      <c r="L41" s="224">
        <f t="shared" si="24"/>
        <v>38.884000000000007</v>
      </c>
      <c r="M41" s="224">
        <f t="shared" si="24"/>
        <v>55.500000000000007</v>
      </c>
      <c r="N41" s="224">
        <f>N40-$H40</f>
        <v>74.786000000000001</v>
      </c>
      <c r="O41" s="224">
        <f>O40-$H40</f>
        <v>81.50800000000001</v>
      </c>
      <c r="P41" s="238">
        <f t="shared" si="24"/>
        <v>85.697000000000003</v>
      </c>
      <c r="Q41" s="238">
        <f t="shared" si="24"/>
        <v>80.783000000000015</v>
      </c>
      <c r="R41" s="205"/>
      <c r="S41" s="205"/>
      <c r="T41" s="205"/>
      <c r="U41" s="205"/>
      <c r="V41" s="205"/>
      <c r="W41" s="205"/>
      <c r="X41" s="205"/>
      <c r="Y41" s="205"/>
      <c r="Z41" s="205"/>
      <c r="AA41" s="205"/>
      <c r="AB41" s="205"/>
      <c r="AC41" s="206"/>
    </row>
    <row r="42" spans="2:29" ht="35.65" customHeight="1" x14ac:dyDescent="0.25"/>
    <row r="43" spans="2:29" x14ac:dyDescent="0.25">
      <c r="B43" s="257" t="s">
        <v>413</v>
      </c>
    </row>
    <row r="44" spans="2:29" x14ac:dyDescent="0.25">
      <c r="B44" s="950" t="s">
        <v>878</v>
      </c>
      <c r="C44" s="951"/>
      <c r="D44" s="956" t="s">
        <v>325</v>
      </c>
      <c r="E44" s="957"/>
      <c r="F44" s="957"/>
      <c r="G44" s="957"/>
      <c r="H44" s="957"/>
      <c r="I44" s="957"/>
      <c r="J44" s="957"/>
      <c r="K44" s="957"/>
      <c r="L44" s="957"/>
      <c r="M44" s="957"/>
      <c r="N44" s="957"/>
      <c r="O44" s="957"/>
      <c r="P44" s="1004"/>
      <c r="Q44" s="1028" t="s">
        <v>326</v>
      </c>
      <c r="R44" s="1029"/>
      <c r="S44" s="1029"/>
      <c r="T44" s="1029"/>
      <c r="U44" s="1029"/>
      <c r="V44" s="1029"/>
      <c r="W44" s="1029"/>
      <c r="X44" s="1029"/>
      <c r="Y44" s="1029"/>
      <c r="Z44" s="1029"/>
      <c r="AA44" s="1029"/>
      <c r="AB44" s="1029"/>
      <c r="AC44" s="1030"/>
    </row>
    <row r="45" spans="2:29" x14ac:dyDescent="0.25">
      <c r="B45" s="952"/>
      <c r="C45" s="953"/>
      <c r="D45" s="178">
        <v>2018</v>
      </c>
      <c r="E45" s="932">
        <v>2019</v>
      </c>
      <c r="F45" s="933"/>
      <c r="G45" s="933"/>
      <c r="H45" s="934"/>
      <c r="I45" s="932">
        <v>2020</v>
      </c>
      <c r="J45" s="933"/>
      <c r="K45" s="933"/>
      <c r="L45" s="933"/>
      <c r="M45" s="932">
        <v>2021</v>
      </c>
      <c r="N45" s="933"/>
      <c r="O45" s="933"/>
      <c r="P45" s="934"/>
      <c r="Q45" s="940">
        <v>2022</v>
      </c>
      <c r="R45" s="940"/>
      <c r="S45" s="940"/>
      <c r="T45" s="941"/>
      <c r="U45" s="939">
        <v>2023</v>
      </c>
      <c r="V45" s="940"/>
      <c r="W45" s="940"/>
      <c r="X45" s="940"/>
      <c r="Y45" s="939">
        <v>2024</v>
      </c>
      <c r="Z45" s="940"/>
      <c r="AA45" s="940"/>
      <c r="AB45" s="941"/>
      <c r="AC45" s="185">
        <v>2025</v>
      </c>
    </row>
    <row r="46" spans="2:29" x14ac:dyDescent="0.25">
      <c r="B46" s="952"/>
      <c r="C46" s="953"/>
      <c r="D46" s="180" t="s">
        <v>327</v>
      </c>
      <c r="E46" s="180" t="s">
        <v>328</v>
      </c>
      <c r="F46" s="177" t="s">
        <v>329</v>
      </c>
      <c r="G46" s="177" t="s">
        <v>238</v>
      </c>
      <c r="H46" s="179" t="s">
        <v>327</v>
      </c>
      <c r="I46" s="177" t="s">
        <v>328</v>
      </c>
      <c r="J46" s="177" t="s">
        <v>329</v>
      </c>
      <c r="K46" s="177" t="s">
        <v>238</v>
      </c>
      <c r="L46" s="177" t="s">
        <v>327</v>
      </c>
      <c r="M46" s="180" t="s">
        <v>328</v>
      </c>
      <c r="N46" s="177" t="s">
        <v>329</v>
      </c>
      <c r="O46" s="177" t="s">
        <v>238</v>
      </c>
      <c r="P46" s="179" t="s">
        <v>327</v>
      </c>
      <c r="Q46" s="360" t="s">
        <v>328</v>
      </c>
      <c r="R46" s="360" t="s">
        <v>329</v>
      </c>
      <c r="S46" s="360" t="s">
        <v>238</v>
      </c>
      <c r="T46" s="360" t="s">
        <v>327</v>
      </c>
      <c r="U46" s="359" t="s">
        <v>328</v>
      </c>
      <c r="V46" s="360" t="s">
        <v>329</v>
      </c>
      <c r="W46" s="360" t="s">
        <v>238</v>
      </c>
      <c r="X46" s="360" t="s">
        <v>327</v>
      </c>
      <c r="Y46" s="359" t="s">
        <v>328</v>
      </c>
      <c r="Z46" s="196" t="s">
        <v>329</v>
      </c>
      <c r="AA46" s="360" t="s">
        <v>238</v>
      </c>
      <c r="AB46" s="383" t="s">
        <v>327</v>
      </c>
      <c r="AC46" s="400" t="s">
        <v>328</v>
      </c>
    </row>
    <row r="47" spans="2:29" x14ac:dyDescent="0.25">
      <c r="B47" s="522" t="s">
        <v>530</v>
      </c>
      <c r="C47" s="181" t="s">
        <v>531</v>
      </c>
      <c r="D47" s="558">
        <f>'Haver Pivoted'!GO31</f>
        <v>2222.3000000000002</v>
      </c>
      <c r="E47" s="528">
        <f>'Haver Pivoted'!GP31</f>
        <v>2298.1</v>
      </c>
      <c r="F47" s="528">
        <f>'Haver Pivoted'!GQ31</f>
        <v>2315.5</v>
      </c>
      <c r="G47" s="528">
        <f>'Haver Pivoted'!GR31</f>
        <v>2333.1999999999998</v>
      </c>
      <c r="H47" s="528">
        <f>'Haver Pivoted'!GS31</f>
        <v>2350.8000000000002</v>
      </c>
      <c r="I47" s="528">
        <f>'Haver Pivoted'!GT31</f>
        <v>2417.9</v>
      </c>
      <c r="J47" s="528">
        <f>'Haver Pivoted'!GU31</f>
        <v>4766.7</v>
      </c>
      <c r="K47" s="528">
        <f>'Haver Pivoted'!GV31</f>
        <v>3468.3</v>
      </c>
      <c r="L47" s="528">
        <f>'Haver Pivoted'!GW31</f>
        <v>2839.1</v>
      </c>
      <c r="M47" s="528">
        <f>'Haver Pivoted'!GX31</f>
        <v>5070.6000000000004</v>
      </c>
      <c r="N47" s="528">
        <f>'Haver Pivoted'!GY31</f>
        <v>3372.3</v>
      </c>
      <c r="O47" s="528">
        <f>'Haver Pivoted'!GZ31</f>
        <v>3136.3</v>
      </c>
      <c r="P47" s="551">
        <f>'Haver Pivoted'!HA31</f>
        <v>2936.3</v>
      </c>
      <c r="Q47" s="551">
        <f>'Haver Pivoted'!HB31</f>
        <v>2880.7</v>
      </c>
      <c r="R47" s="171"/>
      <c r="S47" s="171"/>
      <c r="T47" s="171"/>
      <c r="U47" s="171"/>
      <c r="V47" s="171"/>
      <c r="W47" s="171"/>
      <c r="X47" s="171"/>
      <c r="Y47" s="171"/>
      <c r="Z47" s="171"/>
      <c r="AA47" s="171"/>
      <c r="AB47" s="171"/>
      <c r="AC47" s="431"/>
    </row>
    <row r="48" spans="2:29" ht="27.6" customHeight="1" x14ac:dyDescent="0.25">
      <c r="B48" s="263" t="s">
        <v>874</v>
      </c>
      <c r="C48" s="183"/>
      <c r="D48" s="585">
        <f t="shared" ref="D48:Q48" si="25">SUM(D14:D22)</f>
        <v>811.30000000000007</v>
      </c>
      <c r="E48" s="202">
        <f t="shared" si="25"/>
        <v>826.69999999999993</v>
      </c>
      <c r="F48" s="202">
        <f t="shared" si="25"/>
        <v>838.9</v>
      </c>
      <c r="G48" s="202">
        <f t="shared" si="25"/>
        <v>849.5</v>
      </c>
      <c r="H48" s="202">
        <f t="shared" si="25"/>
        <v>858.09999999999991</v>
      </c>
      <c r="I48" s="202">
        <f t="shared" si="25"/>
        <v>880.58175000000006</v>
      </c>
      <c r="J48" s="202">
        <f t="shared" si="25"/>
        <v>3224.5587499999997</v>
      </c>
      <c r="K48" s="202">
        <f t="shared" si="25"/>
        <v>1817.02675</v>
      </c>
      <c r="L48" s="202">
        <f t="shared" si="25"/>
        <v>1253.3507500000003</v>
      </c>
      <c r="M48" s="202">
        <f t="shared" si="25"/>
        <v>3456.5667500000004</v>
      </c>
      <c r="N48" s="202">
        <f t="shared" si="25"/>
        <v>1779.6745899999999</v>
      </c>
      <c r="O48" s="202">
        <f t="shared" si="25"/>
        <v>1537.0782433333331</v>
      </c>
      <c r="P48" s="634">
        <f t="shared" si="25"/>
        <v>1346.9730833333331</v>
      </c>
      <c r="Q48" s="634">
        <f t="shared" si="25"/>
        <v>1199.2257500000001</v>
      </c>
      <c r="R48" s="610"/>
      <c r="S48" s="610"/>
      <c r="T48" s="610"/>
      <c r="U48" s="610"/>
      <c r="V48" s="610"/>
      <c r="W48" s="610"/>
      <c r="X48" s="610"/>
      <c r="Y48" s="610"/>
      <c r="Z48" s="610"/>
      <c r="AA48" s="610"/>
      <c r="AB48" s="610"/>
      <c r="AC48" s="631"/>
    </row>
    <row r="49" spans="2:29" ht="27.6" customHeight="1" x14ac:dyDescent="0.25">
      <c r="B49" s="263" t="s">
        <v>875</v>
      </c>
      <c r="C49" s="183"/>
      <c r="D49" s="585">
        <f>D47-D48</f>
        <v>1411</v>
      </c>
      <c r="E49" s="202">
        <f t="shared" ref="E49:O49" si="26">E47-E48</f>
        <v>1471.4</v>
      </c>
      <c r="F49" s="202">
        <f t="shared" si="26"/>
        <v>1476.6</v>
      </c>
      <c r="G49" s="202">
        <f t="shared" si="26"/>
        <v>1483.6999999999998</v>
      </c>
      <c r="H49" s="202">
        <f t="shared" si="26"/>
        <v>1492.7000000000003</v>
      </c>
      <c r="I49" s="202">
        <f t="shared" si="26"/>
        <v>1537.31825</v>
      </c>
      <c r="J49" s="202">
        <f t="shared" si="26"/>
        <v>1542.1412500000001</v>
      </c>
      <c r="K49" s="202">
        <f t="shared" si="26"/>
        <v>1651.2732500000002</v>
      </c>
      <c r="L49" s="202">
        <f t="shared" si="26"/>
        <v>1585.7492499999996</v>
      </c>
      <c r="M49" s="202">
        <f t="shared" si="26"/>
        <v>1614.03325</v>
      </c>
      <c r="N49" s="202">
        <f t="shared" si="26"/>
        <v>1592.6254100000003</v>
      </c>
      <c r="O49" s="202">
        <f t="shared" si="26"/>
        <v>1599.221756666667</v>
      </c>
      <c r="P49" s="634">
        <f>P47-P48</f>
        <v>1589.3269166666671</v>
      </c>
      <c r="Q49" s="634">
        <f>Q47-Q48</f>
        <v>1681.4742499999998</v>
      </c>
      <c r="R49" s="610"/>
      <c r="S49" s="610"/>
      <c r="T49" s="610"/>
      <c r="U49" s="610"/>
      <c r="V49" s="610"/>
      <c r="W49" s="610"/>
      <c r="X49" s="610"/>
      <c r="Y49" s="610"/>
      <c r="Z49" s="610"/>
      <c r="AA49" s="610"/>
      <c r="AB49" s="610"/>
      <c r="AC49" s="631"/>
    </row>
    <row r="50" spans="2:29" ht="24" customHeight="1" x14ac:dyDescent="0.25">
      <c r="B50" s="255" t="s">
        <v>876</v>
      </c>
      <c r="C50" s="183"/>
      <c r="D50" s="585">
        <f t="shared" ref="D50:I50" si="27">D12-D14-D15-D21</f>
        <v>1411.0000000000002</v>
      </c>
      <c r="E50" s="202">
        <f t="shared" si="27"/>
        <v>1471.3999999999999</v>
      </c>
      <c r="F50" s="202">
        <f t="shared" si="27"/>
        <v>1476.6</v>
      </c>
      <c r="G50" s="202">
        <f t="shared" si="27"/>
        <v>1483.6999999999998</v>
      </c>
      <c r="H50" s="202">
        <f t="shared" si="27"/>
        <v>1492.7</v>
      </c>
      <c r="I50" s="202">
        <f t="shared" si="27"/>
        <v>1539.9</v>
      </c>
      <c r="J50" s="615">
        <f>I50+($H$50-$E$50)/3</f>
        <v>1547.0000000000002</v>
      </c>
      <c r="K50" s="615">
        <f>J50+($H$50-$E$50)/3</f>
        <v>1554.1000000000004</v>
      </c>
      <c r="L50" s="615">
        <f>K50+($H$50-$E$50)/3</f>
        <v>1561.2000000000005</v>
      </c>
      <c r="M50" s="616">
        <f>L50+($H$50-$E$50)/3 +(M51-L51)</f>
        <v>1585.8010000000006</v>
      </c>
      <c r="N50" s="615">
        <f>M50+($H$50-$E$50)/3</f>
        <v>1592.9010000000007</v>
      </c>
      <c r="O50" s="615">
        <f>N50+($H$50-$E$50)/3</f>
        <v>1600.0010000000009</v>
      </c>
      <c r="P50" s="635">
        <f>O50+($H$50-$E$50)/3</f>
        <v>1607.101000000001</v>
      </c>
      <c r="Q50" s="618">
        <f>P50+($H$50-$E$50)/3 + 0.06*Q51</f>
        <v>1686.1423200000011</v>
      </c>
      <c r="R50" s="617">
        <f>Q50+($H$50-$E$50)/3</f>
        <v>1693.2423200000012</v>
      </c>
      <c r="S50" s="617">
        <f>R50+($H$50-$E$50)/3</f>
        <v>1700.3423200000013</v>
      </c>
      <c r="T50" s="617">
        <f>S50+($H$50-$E$50)/3</f>
        <v>1707.4423200000015</v>
      </c>
      <c r="U50" s="618">
        <f>T50+($H$50-$E$50)/3 + 0.04 *U51</f>
        <v>1763.7832000000017</v>
      </c>
      <c r="V50" s="617">
        <f>U50+($H$50-$E$50)/3</f>
        <v>1770.8832000000018</v>
      </c>
      <c r="W50" s="617">
        <f>V50+($H$50-$E$50)/3</f>
        <v>1777.9832000000019</v>
      </c>
      <c r="X50" s="617">
        <f>W50+($H$50-$E$50)/3</f>
        <v>1785.0832000000021</v>
      </c>
      <c r="Y50" s="618">
        <f>X50+($H$50-$E$50)/3 + 0.02*Y51</f>
        <v>1817.4436400000022</v>
      </c>
      <c r="Z50" s="617">
        <f>Y50+($H$50-$E$50)/3</f>
        <v>1824.5436400000024</v>
      </c>
      <c r="AA50" s="617">
        <f>Z50+($H$50-$E$50)/3</f>
        <v>1831.6436400000025</v>
      </c>
      <c r="AB50" s="617">
        <f>AA50+($H$50-$E$50)/3</f>
        <v>1838.7436400000026</v>
      </c>
      <c r="AC50" s="619">
        <f>AB50+($H$50-$E$50)/3 + 0.02*AC51</f>
        <v>1871.7440800000027</v>
      </c>
    </row>
    <row r="51" spans="2:29" x14ac:dyDescent="0.25">
      <c r="B51" s="255" t="s">
        <v>539</v>
      </c>
      <c r="C51" s="183" t="s">
        <v>540</v>
      </c>
      <c r="D51" s="255">
        <f>'Haver Pivoted'!GO88/1000</f>
        <v>983.95899999999995</v>
      </c>
      <c r="E51" s="183">
        <f>'Haver Pivoted'!GP88/1000</f>
        <v>1019.419</v>
      </c>
      <c r="F51" s="183">
        <f>'Haver Pivoted'!GQ88/1000</f>
        <v>1026.4179999999999</v>
      </c>
      <c r="G51" s="183">
        <f>'Haver Pivoted'!GR88/1000</f>
        <v>1034.2080000000001</v>
      </c>
      <c r="H51" s="183">
        <f>'Haver Pivoted'!GS88/1000</f>
        <v>1042.9269999999999</v>
      </c>
      <c r="I51" s="183">
        <f>'Haver Pivoted'!GT88/1000</f>
        <v>1067.885</v>
      </c>
      <c r="J51" s="183">
        <f>'Haver Pivoted'!GU88/1000</f>
        <v>1074.7909999999999</v>
      </c>
      <c r="K51" s="183">
        <f>'Haver Pivoted'!GV88/1000</f>
        <v>1080.221</v>
      </c>
      <c r="L51" s="183">
        <f>'Haver Pivoted'!GW88/1000</f>
        <v>1088.8150000000001</v>
      </c>
      <c r="M51" s="183">
        <f>'Haver Pivoted'!GX88/1000</f>
        <v>1106.316</v>
      </c>
      <c r="N51" s="183">
        <f>'Haver Pivoted'!GY88/1000</f>
        <v>1109.664</v>
      </c>
      <c r="O51" s="183">
        <f>'Haver Pivoted'!GZ88/1000</f>
        <v>1117.202</v>
      </c>
      <c r="P51" s="578">
        <f>'Haver Pivoted'!HA88/1000</f>
        <v>1126.867</v>
      </c>
      <c r="Q51" s="578">
        <f>'Haver Pivoted'!HB88/1000</f>
        <v>1199.0219999999999</v>
      </c>
      <c r="R51" s="610">
        <f t="shared" ref="R51:AC51" si="28">Q51+8</f>
        <v>1207.0219999999999</v>
      </c>
      <c r="S51" s="610">
        <f t="shared" si="28"/>
        <v>1215.0219999999999</v>
      </c>
      <c r="T51" s="610">
        <f t="shared" si="28"/>
        <v>1223.0219999999999</v>
      </c>
      <c r="U51" s="610">
        <f t="shared" si="28"/>
        <v>1231.0219999999999</v>
      </c>
      <c r="V51" s="610">
        <f t="shared" si="28"/>
        <v>1239.0219999999999</v>
      </c>
      <c r="W51" s="610">
        <f t="shared" si="28"/>
        <v>1247.0219999999999</v>
      </c>
      <c r="X51" s="610">
        <f t="shared" si="28"/>
        <v>1255.0219999999999</v>
      </c>
      <c r="Y51" s="610">
        <f t="shared" si="28"/>
        <v>1263.0219999999999</v>
      </c>
      <c r="Z51" s="610">
        <f t="shared" si="28"/>
        <v>1271.0219999999999</v>
      </c>
      <c r="AA51" s="610">
        <f t="shared" si="28"/>
        <v>1279.0219999999999</v>
      </c>
      <c r="AB51" s="610">
        <f t="shared" si="28"/>
        <v>1287.0219999999999</v>
      </c>
      <c r="AC51" s="631">
        <f t="shared" si="28"/>
        <v>1295.0219999999999</v>
      </c>
    </row>
    <row r="52" spans="2:29" ht="69" customHeight="1" x14ac:dyDescent="0.25">
      <c r="B52" s="633" t="s">
        <v>889</v>
      </c>
      <c r="C52" s="192"/>
      <c r="D52" s="624">
        <f>D49-D50</f>
        <v>0</v>
      </c>
      <c r="E52" s="620">
        <f t="shared" ref="E52:O52" si="29">E49-E50</f>
        <v>0</v>
      </c>
      <c r="F52" s="620">
        <f t="shared" si="29"/>
        <v>0</v>
      </c>
      <c r="G52" s="620">
        <f t="shared" si="29"/>
        <v>0</v>
      </c>
      <c r="H52" s="620">
        <f t="shared" si="29"/>
        <v>0</v>
      </c>
      <c r="I52" s="620">
        <f t="shared" si="29"/>
        <v>-2.5817500000000564</v>
      </c>
      <c r="J52" s="620">
        <f t="shared" si="29"/>
        <v>-4.8587500000001</v>
      </c>
      <c r="K52" s="620">
        <f t="shared" si="29"/>
        <v>97.173249999999825</v>
      </c>
      <c r="L52" s="620">
        <f t="shared" si="29"/>
        <v>24.54924999999912</v>
      </c>
      <c r="M52" s="620">
        <f t="shared" si="29"/>
        <v>28.23224999999934</v>
      </c>
      <c r="N52" s="620">
        <f t="shared" si="29"/>
        <v>-0.27559000000042033</v>
      </c>
      <c r="O52" s="620">
        <f t="shared" si="29"/>
        <v>-0.77924333333385221</v>
      </c>
      <c r="P52" s="636">
        <f>P49-P50</f>
        <v>-17.77408333333392</v>
      </c>
      <c r="Q52" s="636">
        <f>Q49-Q50</f>
        <v>-4.6680700000013076</v>
      </c>
      <c r="R52" s="621">
        <v>25</v>
      </c>
      <c r="S52" s="621">
        <v>25</v>
      </c>
      <c r="T52" s="621">
        <v>90</v>
      </c>
      <c r="U52" s="621">
        <v>90</v>
      </c>
      <c r="V52" s="621">
        <v>90</v>
      </c>
      <c r="W52" s="621">
        <v>90</v>
      </c>
      <c r="X52" s="621">
        <v>110</v>
      </c>
      <c r="Y52" s="621">
        <v>110</v>
      </c>
      <c r="Z52" s="621">
        <v>110</v>
      </c>
      <c r="AA52" s="621">
        <v>110</v>
      </c>
      <c r="AB52" s="621">
        <v>130</v>
      </c>
      <c r="AC52" s="622">
        <v>130</v>
      </c>
    </row>
    <row r="53" spans="2:29" x14ac:dyDescent="0.25">
      <c r="D53" s="183"/>
      <c r="E53" s="183"/>
      <c r="F53" s="183"/>
      <c r="G53" s="183"/>
      <c r="H53" s="183"/>
      <c r="I53" s="183"/>
      <c r="J53" s="183"/>
      <c r="K53" s="183"/>
      <c r="L53" s="183"/>
      <c r="M53" s="202"/>
      <c r="N53" s="202"/>
      <c r="O53" s="202"/>
      <c r="P53" s="183"/>
    </row>
    <row r="54" spans="2:29" x14ac:dyDescent="0.25">
      <c r="B54" s="522" t="s">
        <v>882</v>
      </c>
      <c r="C54" s="606"/>
      <c r="D54" s="626">
        <v>2021</v>
      </c>
      <c r="E54" s="626">
        <v>2022</v>
      </c>
      <c r="F54" s="626">
        <v>2023</v>
      </c>
      <c r="G54" s="627">
        <v>2024</v>
      </c>
    </row>
    <row r="55" spans="2:29" x14ac:dyDescent="0.25">
      <c r="B55" s="625" t="s">
        <v>883</v>
      </c>
      <c r="C55" s="639"/>
      <c r="D55" s="603">
        <v>3605.8330000000001</v>
      </c>
      <c r="E55" s="603">
        <v>2832.5949999999998</v>
      </c>
      <c r="F55" s="603">
        <v>2833.72</v>
      </c>
      <c r="G55" s="604">
        <v>2976.7339999999999</v>
      </c>
    </row>
    <row r="56" spans="2:29" x14ac:dyDescent="0.25">
      <c r="B56" s="625" t="s">
        <v>886</v>
      </c>
      <c r="C56" s="605"/>
      <c r="D56" s="273">
        <f>AVERAGE(Medicare!L10:O10)</f>
        <v>819.22499999999991</v>
      </c>
      <c r="E56" s="273">
        <f>AVERAGE(Medicare!P10:S10)</f>
        <v>862.23422197292382</v>
      </c>
      <c r="F56" s="273">
        <f>AVERAGE(Medicare!T10:W10)</f>
        <v>924.07489345776605</v>
      </c>
      <c r="G56" s="637">
        <f>AVERAGE(Medicare!X10:AA10)</f>
        <v>1005.731564496296</v>
      </c>
    </row>
    <row r="57" spans="2:29" ht="13.15" customHeight="1" x14ac:dyDescent="0.25">
      <c r="B57" s="625" t="s">
        <v>884</v>
      </c>
      <c r="C57" s="605"/>
      <c r="D57" s="273">
        <f>D55-D56</f>
        <v>2786.6080000000002</v>
      </c>
      <c r="E57" s="273">
        <f t="shared" ref="E57:G57" si="30">E55-E56</f>
        <v>1970.3607780270759</v>
      </c>
      <c r="F57" s="273">
        <f t="shared" si="30"/>
        <v>1909.6451065422339</v>
      </c>
      <c r="G57" s="637">
        <f t="shared" si="30"/>
        <v>1971.002435503704</v>
      </c>
    </row>
    <row r="58" spans="2:29" x14ac:dyDescent="0.25">
      <c r="B58" s="625" t="s">
        <v>887</v>
      </c>
      <c r="C58" s="605"/>
      <c r="D58" s="273">
        <f>AVERAGE(L12:O12)</f>
        <v>3604.5749999999998</v>
      </c>
      <c r="E58" s="273">
        <f>AVERAGE(P12:S12)</f>
        <v>2869.3579082887136</v>
      </c>
      <c r="F58" s="273">
        <f>AVERAGE(T12:W12)</f>
        <v>2858.1589260893466</v>
      </c>
      <c r="G58" s="637">
        <f>AVERAGE(X12:AA12)</f>
        <v>2995.3747260752457</v>
      </c>
    </row>
    <row r="59" spans="2:29" x14ac:dyDescent="0.25">
      <c r="B59" s="625" t="s">
        <v>886</v>
      </c>
      <c r="C59" s="605"/>
      <c r="D59" s="273">
        <f>AVERAGE(Medicare!L10:O10)</f>
        <v>819.22499999999991</v>
      </c>
      <c r="E59" s="273">
        <f>AVERAGE(Medicare!P10:S10)</f>
        <v>862.23422197292382</v>
      </c>
      <c r="F59" s="273">
        <f>AVERAGE(Medicare!T10:W10)</f>
        <v>924.07489345776605</v>
      </c>
      <c r="G59" s="637">
        <f>AVERAGE(Medicare!X10:AA10)</f>
        <v>1005.731564496296</v>
      </c>
    </row>
    <row r="60" spans="2:29" x14ac:dyDescent="0.25">
      <c r="B60" s="625" t="s">
        <v>604</v>
      </c>
      <c r="C60" s="605"/>
      <c r="D60" s="273">
        <f>AVERAGE(L25:O25)</f>
        <v>1584.9757500000007</v>
      </c>
      <c r="E60" s="273">
        <f>AVERAGE(P25:S25)</f>
        <v>1671.7069900000013</v>
      </c>
      <c r="F60" s="273">
        <f>AVERAGE(T25:W25)</f>
        <v>1755.0229800000016</v>
      </c>
      <c r="G60" s="637">
        <f>AVERAGE(X25:AA25)</f>
        <v>1814.6785300000024</v>
      </c>
    </row>
    <row r="61" spans="2:29" ht="27.6" customHeight="1" x14ac:dyDescent="0.25">
      <c r="B61" s="607" t="s">
        <v>885</v>
      </c>
      <c r="C61" s="168"/>
      <c r="D61" s="572"/>
      <c r="E61" s="628">
        <v>1.157</v>
      </c>
      <c r="F61" s="628">
        <v>1.0109999999999999</v>
      </c>
      <c r="G61" s="638">
        <v>1.0529999999999999</v>
      </c>
    </row>
    <row r="62" spans="2:29" x14ac:dyDescent="0.25">
      <c r="B62" s="183" t="s">
        <v>888</v>
      </c>
      <c r="D62" s="629">
        <f>D58-D55</f>
        <v>-1.2580000000002656</v>
      </c>
      <c r="E62" s="629">
        <f>E58-E55</f>
        <v>36.762908288713788</v>
      </c>
      <c r="F62" s="629">
        <f>F58-F55</f>
        <v>24.438926089346751</v>
      </c>
      <c r="G62" s="629">
        <f t="shared" ref="G62" si="31">G58-G55</f>
        <v>18.640726075245766</v>
      </c>
    </row>
  </sheetData>
  <mergeCells count="31">
    <mergeCell ref="B1:AC1"/>
    <mergeCell ref="B2:AC6"/>
    <mergeCell ref="B8:C10"/>
    <mergeCell ref="E9:H9"/>
    <mergeCell ref="I9:L9"/>
    <mergeCell ref="U9:X9"/>
    <mergeCell ref="Y9:AB9"/>
    <mergeCell ref="M9:P9"/>
    <mergeCell ref="D8:Q8"/>
    <mergeCell ref="R8:AC8"/>
    <mergeCell ref="B11:C11"/>
    <mergeCell ref="B35:AC35"/>
    <mergeCell ref="B36:C38"/>
    <mergeCell ref="E37:H37"/>
    <mergeCell ref="I37:L37"/>
    <mergeCell ref="Q37:T37"/>
    <mergeCell ref="Q44:AC44"/>
    <mergeCell ref="M45:P45"/>
    <mergeCell ref="Y45:AB45"/>
    <mergeCell ref="B28:C28"/>
    <mergeCell ref="U37:X37"/>
    <mergeCell ref="Y37:AB37"/>
    <mergeCell ref="B44:C46"/>
    <mergeCell ref="E45:H45"/>
    <mergeCell ref="I45:L45"/>
    <mergeCell ref="Q45:T45"/>
    <mergeCell ref="U45:X45"/>
    <mergeCell ref="D36:P36"/>
    <mergeCell ref="Q36:AC36"/>
    <mergeCell ref="M37:P37"/>
    <mergeCell ref="D44:P44"/>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1" zoomScale="90" zoomScaleNormal="90" workbookViewId="0">
      <selection activeCell="M30" sqref="M30"/>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x14ac:dyDescent="0.25">
      <c r="D1" s="930" t="s">
        <v>58</v>
      </c>
      <c r="E1" s="930"/>
      <c r="F1" s="930"/>
      <c r="G1" s="930"/>
      <c r="H1" s="930"/>
      <c r="I1" s="930"/>
      <c r="J1" s="930"/>
      <c r="K1" s="930"/>
      <c r="L1" s="930"/>
      <c r="M1" s="930"/>
      <c r="N1" s="930"/>
      <c r="O1" s="930"/>
      <c r="P1" s="930"/>
      <c r="Q1" s="930"/>
      <c r="R1" s="930"/>
      <c r="S1" s="930"/>
      <c r="T1" s="930"/>
      <c r="U1" s="930"/>
      <c r="V1" s="930"/>
      <c r="W1" s="930"/>
      <c r="X1" s="930"/>
      <c r="Y1" s="930"/>
      <c r="Z1" s="930"/>
      <c r="AA1" s="930"/>
      <c r="AB1" s="930"/>
      <c r="AC1" s="930"/>
    </row>
    <row r="2" spans="4:56" ht="14.25" customHeight="1" x14ac:dyDescent="0.25">
      <c r="D2" s="931" t="s">
        <v>947</v>
      </c>
      <c r="E2" s="949"/>
      <c r="F2" s="949"/>
      <c r="G2" s="949"/>
      <c r="H2" s="949"/>
      <c r="I2" s="949"/>
      <c r="J2" s="949"/>
      <c r="K2" s="949"/>
      <c r="L2" s="949"/>
      <c r="M2" s="949"/>
      <c r="N2" s="949"/>
      <c r="O2" s="949"/>
      <c r="P2" s="949"/>
      <c r="Q2" s="949"/>
      <c r="R2" s="949"/>
      <c r="S2" s="949"/>
      <c r="T2" s="949"/>
      <c r="U2" s="949"/>
      <c r="V2" s="949"/>
      <c r="W2" s="949"/>
      <c r="X2" s="949"/>
      <c r="Y2" s="949"/>
      <c r="Z2" s="949"/>
      <c r="AA2" s="949"/>
      <c r="AB2" s="949"/>
      <c r="AC2" s="949"/>
    </row>
    <row r="3" spans="4:56" ht="28.5" customHeight="1" x14ac:dyDescent="0.25">
      <c r="D3" s="949"/>
      <c r="E3" s="949"/>
      <c r="F3" s="949"/>
      <c r="G3" s="949"/>
      <c r="H3" s="949"/>
      <c r="I3" s="949"/>
      <c r="J3" s="949"/>
      <c r="K3" s="949"/>
      <c r="L3" s="949"/>
      <c r="M3" s="949"/>
      <c r="N3" s="949"/>
      <c r="O3" s="949"/>
      <c r="P3" s="949"/>
      <c r="Q3" s="949"/>
      <c r="R3" s="949"/>
      <c r="S3" s="949"/>
      <c r="T3" s="949"/>
      <c r="U3" s="949"/>
      <c r="V3" s="949"/>
      <c r="W3" s="949"/>
      <c r="X3" s="949"/>
      <c r="Y3" s="949"/>
      <c r="Z3" s="949"/>
      <c r="AA3" s="949"/>
      <c r="AB3" s="949"/>
      <c r="AC3" s="949"/>
    </row>
    <row r="4" spans="4:56" x14ac:dyDescent="0.25">
      <c r="D4" s="775" t="s">
        <v>381</v>
      </c>
    </row>
    <row r="5" spans="4:56" x14ac:dyDescent="0.25">
      <c r="D5" s="935" t="s">
        <v>465</v>
      </c>
      <c r="E5" s="936"/>
      <c r="F5" s="1040" t="s">
        <v>325</v>
      </c>
      <c r="G5" s="1041"/>
      <c r="H5" s="1041"/>
      <c r="I5" s="1041"/>
      <c r="J5" s="1041"/>
      <c r="K5" s="1041"/>
      <c r="L5" s="1041"/>
      <c r="M5" s="1042"/>
      <c r="N5" s="1042"/>
      <c r="O5" s="1042"/>
      <c r="P5" s="951"/>
      <c r="Q5" s="1028" t="s">
        <v>326</v>
      </c>
      <c r="R5" s="1029"/>
      <c r="S5" s="1029"/>
      <c r="T5" s="1029"/>
      <c r="U5" s="1029"/>
      <c r="V5" s="1029"/>
      <c r="W5" s="1029"/>
      <c r="X5" s="1029"/>
      <c r="Y5" s="1029"/>
      <c r="Z5" s="1029"/>
      <c r="AA5" s="1029"/>
      <c r="AB5" s="1029"/>
      <c r="AC5" s="1030"/>
      <c r="AD5" s="674"/>
      <c r="AE5" s="674"/>
      <c r="AF5" s="674"/>
      <c r="AG5" s="674"/>
      <c r="AH5" s="674"/>
      <c r="AI5" s="674"/>
      <c r="AJ5" s="674"/>
      <c r="AK5" s="674"/>
      <c r="AL5" s="674"/>
      <c r="AM5" s="674"/>
      <c r="AN5" s="674"/>
      <c r="AO5" s="674"/>
      <c r="AP5" s="674"/>
      <c r="AQ5" s="674"/>
      <c r="AR5" s="674"/>
      <c r="AS5" s="674"/>
      <c r="AT5" s="674"/>
      <c r="AU5" s="674"/>
      <c r="AV5" s="674"/>
      <c r="AW5" s="674"/>
      <c r="AX5" s="674"/>
      <c r="AY5" s="674"/>
      <c r="AZ5" s="674"/>
      <c r="BA5" s="674"/>
      <c r="BB5" s="674"/>
      <c r="BC5" s="674"/>
      <c r="BD5" s="674"/>
    </row>
    <row r="6" spans="4:56" x14ac:dyDescent="0.25">
      <c r="D6" s="937"/>
      <c r="E6" s="1001"/>
      <c r="F6" s="976">
        <v>2019</v>
      </c>
      <c r="G6" s="977"/>
      <c r="H6" s="978"/>
      <c r="I6" s="977">
        <v>2020</v>
      </c>
      <c r="J6" s="977"/>
      <c r="K6" s="977"/>
      <c r="L6" s="977"/>
      <c r="M6" s="932">
        <v>2021</v>
      </c>
      <c r="N6" s="933"/>
      <c r="O6" s="933"/>
      <c r="P6" s="934"/>
      <c r="Q6" s="940">
        <v>2022</v>
      </c>
      <c r="R6" s="940"/>
      <c r="S6" s="940"/>
      <c r="T6" s="941"/>
      <c r="U6" s="1038">
        <v>2023</v>
      </c>
      <c r="V6" s="1039"/>
      <c r="W6" s="1039"/>
      <c r="X6" s="1039"/>
      <c r="Y6" s="939">
        <v>2024</v>
      </c>
      <c r="Z6" s="940"/>
      <c r="AA6" s="940"/>
      <c r="AB6" s="940"/>
      <c r="AC6" s="185">
        <v>2025</v>
      </c>
      <c r="AD6" s="670"/>
      <c r="AE6" s="670"/>
      <c r="AF6" s="670"/>
      <c r="AG6" s="675"/>
      <c r="AH6" s="675"/>
      <c r="AI6" s="675"/>
      <c r="AJ6" s="675"/>
      <c r="AK6" s="675"/>
      <c r="AL6" s="675"/>
      <c r="AM6" s="675"/>
      <c r="AN6" s="675"/>
      <c r="AO6" s="675"/>
      <c r="AP6" s="675"/>
      <c r="AQ6" s="675"/>
      <c r="AR6" s="675"/>
      <c r="AS6" s="675"/>
      <c r="AT6" s="675"/>
      <c r="AU6" s="675"/>
      <c r="AV6" s="675"/>
      <c r="AW6" s="675"/>
      <c r="AX6" s="675"/>
      <c r="AY6" s="675"/>
      <c r="AZ6" s="675"/>
      <c r="BA6" s="675"/>
      <c r="BB6" s="675"/>
      <c r="BC6" s="675"/>
    </row>
    <row r="7" spans="4:56" x14ac:dyDescent="0.25">
      <c r="D7" s="974"/>
      <c r="E7" s="1002"/>
      <c r="F7" s="180" t="s">
        <v>329</v>
      </c>
      <c r="G7" s="177" t="s">
        <v>238</v>
      </c>
      <c r="H7" s="179" t="s">
        <v>327</v>
      </c>
      <c r="I7" s="177" t="s">
        <v>328</v>
      </c>
      <c r="J7" s="177" t="s">
        <v>329</v>
      </c>
      <c r="K7" s="177" t="s">
        <v>238</v>
      </c>
      <c r="L7" s="177" t="s">
        <v>327</v>
      </c>
      <c r="M7" s="251" t="s">
        <v>328</v>
      </c>
      <c r="N7" s="253" t="s">
        <v>329</v>
      </c>
      <c r="O7" s="253" t="s">
        <v>238</v>
      </c>
      <c r="P7" s="184" t="s">
        <v>327</v>
      </c>
      <c r="Q7" s="177" t="s">
        <v>328</v>
      </c>
      <c r="R7" s="205" t="s">
        <v>329</v>
      </c>
      <c r="S7" s="205" t="s">
        <v>238</v>
      </c>
      <c r="T7" s="205" t="s">
        <v>327</v>
      </c>
      <c r="U7" s="204" t="s">
        <v>328</v>
      </c>
      <c r="V7" s="205" t="s">
        <v>329</v>
      </c>
      <c r="W7" s="205" t="s">
        <v>238</v>
      </c>
      <c r="X7" s="205" t="s">
        <v>327</v>
      </c>
      <c r="Y7" s="204" t="s">
        <v>328</v>
      </c>
      <c r="Z7" s="199" t="s">
        <v>329</v>
      </c>
      <c r="AA7" s="205" t="s">
        <v>238</v>
      </c>
      <c r="AB7" s="205" t="s">
        <v>327</v>
      </c>
      <c r="AC7" s="208" t="s">
        <v>328</v>
      </c>
      <c r="AD7" s="672"/>
      <c r="AE7" s="672"/>
      <c r="AF7" s="672"/>
      <c r="AG7" s="672"/>
      <c r="AH7" s="672"/>
      <c r="AI7" s="672"/>
      <c r="AJ7" s="672"/>
      <c r="AK7" s="672"/>
      <c r="AL7" s="672"/>
      <c r="AM7" s="672"/>
      <c r="AN7" s="672"/>
      <c r="AO7" s="672"/>
      <c r="AP7" s="672"/>
      <c r="AQ7" s="672"/>
      <c r="AR7" s="672"/>
      <c r="AS7" s="672"/>
      <c r="AT7" s="672"/>
      <c r="AU7" s="672"/>
      <c r="AV7" s="672"/>
      <c r="AW7" s="672"/>
      <c r="AX7" s="672"/>
      <c r="AY7" s="672"/>
      <c r="AZ7" s="672"/>
      <c r="BA7" s="672"/>
      <c r="BB7" s="672"/>
      <c r="BC7" s="672"/>
    </row>
    <row r="8" spans="4:56" x14ac:dyDescent="0.25">
      <c r="D8" s="381" t="s">
        <v>529</v>
      </c>
      <c r="E8" s="69"/>
      <c r="F8" s="647"/>
      <c r="G8" s="663"/>
      <c r="H8" s="663"/>
      <c r="I8" s="663"/>
      <c r="J8" s="663"/>
      <c r="K8" s="663"/>
      <c r="L8" s="663"/>
      <c r="M8" s="663"/>
      <c r="N8" s="663"/>
      <c r="O8" s="663"/>
      <c r="P8" s="663"/>
      <c r="Q8" s="661"/>
      <c r="R8" s="685"/>
      <c r="S8" s="685"/>
      <c r="T8" s="685"/>
      <c r="U8" s="685"/>
      <c r="V8" s="685"/>
      <c r="W8" s="685"/>
      <c r="X8" s="685"/>
      <c r="Y8" s="685"/>
      <c r="Z8" s="685"/>
      <c r="AA8" s="685"/>
      <c r="AB8" s="685"/>
      <c r="AC8" s="779"/>
      <c r="AD8" s="671"/>
      <c r="AE8" s="671"/>
      <c r="AF8" s="671"/>
      <c r="AG8" s="671"/>
      <c r="AH8" s="671"/>
      <c r="AI8" s="671"/>
      <c r="AJ8" s="671"/>
      <c r="AK8" s="671"/>
      <c r="AL8" s="671"/>
      <c r="AM8" s="671"/>
      <c r="AN8" s="671"/>
      <c r="AO8" s="671"/>
      <c r="AP8" s="671"/>
      <c r="AQ8" s="671"/>
      <c r="AR8" s="671"/>
      <c r="AS8" s="671"/>
      <c r="AT8" s="671"/>
      <c r="AU8" s="671"/>
      <c r="AV8" s="671"/>
      <c r="AW8" s="671"/>
      <c r="AX8" s="671"/>
      <c r="AY8" s="671"/>
      <c r="AZ8" s="671"/>
      <c r="BA8" s="671"/>
      <c r="BB8" s="671"/>
      <c r="BC8" s="671"/>
    </row>
    <row r="9" spans="4:56" ht="14.45" customHeight="1" x14ac:dyDescent="0.25">
      <c r="D9" s="465" t="s">
        <v>546</v>
      </c>
      <c r="E9" s="718"/>
      <c r="F9" s="776">
        <f t="shared" ref="F9:P9" si="0">SUM(F10:F12)</f>
        <v>3273.3999999999996</v>
      </c>
      <c r="G9" s="645">
        <f t="shared" si="0"/>
        <v>3290</v>
      </c>
      <c r="H9" s="645">
        <f t="shared" si="0"/>
        <v>3332.9</v>
      </c>
      <c r="I9" s="645">
        <f t="shared" si="0"/>
        <v>3380.8</v>
      </c>
      <c r="J9" s="645">
        <f t="shared" si="0"/>
        <v>3111.4</v>
      </c>
      <c r="K9" s="645">
        <f t="shared" si="0"/>
        <v>3257.3</v>
      </c>
      <c r="L9" s="645">
        <f t="shared" si="0"/>
        <v>3379.5</v>
      </c>
      <c r="M9" s="645">
        <f>SUM(M10:M12)</f>
        <v>3536</v>
      </c>
      <c r="N9" s="645">
        <f t="shared" si="0"/>
        <v>3679.6000000000004</v>
      </c>
      <c r="O9" s="645">
        <f t="shared" si="0"/>
        <v>3803.3</v>
      </c>
      <c r="P9" s="645">
        <f t="shared" si="0"/>
        <v>3943.2000000000003</v>
      </c>
      <c r="Q9" s="664">
        <f t="shared" ref="Q9:X9" si="1">SUM(Q10:Q12)</f>
        <v>4214.2</v>
      </c>
      <c r="R9" s="691">
        <f t="shared" si="1"/>
        <v>4388.489422626275</v>
      </c>
      <c r="S9" s="691">
        <f t="shared" si="1"/>
        <v>4570.8250405889776</v>
      </c>
      <c r="T9" s="691">
        <f t="shared" si="1"/>
        <v>4593.3797733694837</v>
      </c>
      <c r="U9" s="691">
        <f t="shared" si="1"/>
        <v>4616.5588212258835</v>
      </c>
      <c r="V9" s="691">
        <f t="shared" si="1"/>
        <v>4640.3721350540081</v>
      </c>
      <c r="W9" s="691">
        <f t="shared" si="1"/>
        <v>4664.8298455285048</v>
      </c>
      <c r="X9" s="691">
        <f t="shared" si="1"/>
        <v>4672.749465579891</v>
      </c>
      <c r="Y9" s="691">
        <f t="shared" ref="Y9:AC9" si="2">SUM(Y10:Y12)</f>
        <v>4680.8431595899301</v>
      </c>
      <c r="Z9" s="691">
        <f t="shared" si="2"/>
        <v>4689.111965351065</v>
      </c>
      <c r="AA9" s="691">
        <f t="shared" si="2"/>
        <v>4697.5569306859015</v>
      </c>
      <c r="AB9" s="691">
        <f t="shared" si="2"/>
        <v>4709.9070737997499</v>
      </c>
      <c r="AC9" s="780">
        <f t="shared" si="2"/>
        <v>4722.3456926465478</v>
      </c>
      <c r="AD9" s="692"/>
      <c r="AE9" s="692"/>
      <c r="AF9" s="692"/>
      <c r="AG9" s="692"/>
      <c r="AH9" s="692"/>
      <c r="AI9" s="692"/>
      <c r="AJ9" s="692"/>
      <c r="AK9" s="692"/>
      <c r="AL9" s="692"/>
      <c r="AM9" s="692"/>
      <c r="AN9" s="692"/>
      <c r="AO9" s="692"/>
      <c r="AP9" s="692"/>
      <c r="AQ9" s="692"/>
      <c r="AR9" s="692"/>
      <c r="AS9" s="692"/>
      <c r="AT9" s="692"/>
      <c r="AU9" s="692"/>
      <c r="AV9" s="692"/>
      <c r="AW9" s="692"/>
      <c r="AX9" s="692"/>
      <c r="AY9" s="692"/>
      <c r="AZ9" s="692"/>
      <c r="BA9" s="692"/>
      <c r="BB9" s="692"/>
      <c r="BC9" s="692"/>
    </row>
    <row r="10" spans="4:56" x14ac:dyDescent="0.25">
      <c r="D10" s="477" t="s">
        <v>547</v>
      </c>
      <c r="E10" s="51" t="s">
        <v>115</v>
      </c>
      <c r="F10" s="721">
        <f>'Haver Pivoted'!GQ27</f>
        <v>1701.9</v>
      </c>
      <c r="G10" s="646">
        <f>'Haver Pivoted'!GR27</f>
        <v>1707.8</v>
      </c>
      <c r="H10" s="646">
        <f>'Haver Pivoted'!GS27</f>
        <v>1728.6</v>
      </c>
      <c r="I10" s="646">
        <f>'Haver Pivoted'!GT27</f>
        <v>1737.9</v>
      </c>
      <c r="J10" s="646">
        <f>'Haver Pivoted'!GU27</f>
        <v>1581.5</v>
      </c>
      <c r="K10" s="646">
        <f>'Haver Pivoted'!GV27</f>
        <v>1662.2</v>
      </c>
      <c r="L10" s="646">
        <f>'Haver Pivoted'!GW27</f>
        <v>1736.9</v>
      </c>
      <c r="M10" s="646">
        <f>'Haver Pivoted'!GX27</f>
        <v>1851.9</v>
      </c>
      <c r="N10" s="646">
        <f>'Haver Pivoted'!GY27</f>
        <v>1946.1</v>
      </c>
      <c r="O10" s="646">
        <f>'Haver Pivoted'!GZ27</f>
        <v>2036</v>
      </c>
      <c r="P10" s="646">
        <f>'Haver Pivoted'!HA27</f>
        <v>2125.9</v>
      </c>
      <c r="Q10" s="662">
        <f>'Haver Pivoted'!HB27</f>
        <v>2339</v>
      </c>
      <c r="R10" s="725">
        <f t="shared" ref="R10:S13" si="3">Q10*(1+$I30)^0.25</f>
        <v>2464.6340174946372</v>
      </c>
      <c r="S10" s="725">
        <f t="shared" si="3"/>
        <v>2597.0161779357654</v>
      </c>
      <c r="T10" s="725">
        <f t="shared" ref="T10:W13" si="4">S10*(1+$J30)^0.25</f>
        <v>2586.1348578718689</v>
      </c>
      <c r="U10" s="725">
        <f t="shared" si="4"/>
        <v>2575.2991297943986</v>
      </c>
      <c r="V10" s="725">
        <f t="shared" si="4"/>
        <v>2564.5088026760513</v>
      </c>
      <c r="W10" s="725">
        <f t="shared" si="4"/>
        <v>2553.7636862899153</v>
      </c>
      <c r="X10" s="725">
        <f t="shared" ref="X10:AA13" si="5">W10*(1+$K30)^0.25</f>
        <v>2544.5206020504779</v>
      </c>
      <c r="Y10" s="725">
        <f t="shared" si="5"/>
        <v>2535.3109722010122</v>
      </c>
      <c r="Z10" s="725">
        <f t="shared" si="5"/>
        <v>2526.134675656805</v>
      </c>
      <c r="AA10" s="725">
        <f t="shared" si="5"/>
        <v>2516.9915917713961</v>
      </c>
      <c r="AB10" s="725">
        <f t="shared" ref="AB10:AC13" si="6">AA10*(1+$L30)^0.25</f>
        <v>2516.35410397121</v>
      </c>
      <c r="AC10" s="725">
        <f t="shared" si="6"/>
        <v>2515.7167776299243</v>
      </c>
      <c r="AD10" s="671"/>
      <c r="AE10" s="671"/>
      <c r="AF10" s="671"/>
      <c r="AG10" s="671"/>
      <c r="AH10" s="671"/>
      <c r="AI10" s="671"/>
      <c r="AJ10" s="671"/>
      <c r="AK10" s="671"/>
      <c r="AL10" s="671"/>
      <c r="AM10" s="671"/>
      <c r="AN10" s="671"/>
      <c r="AO10" s="671"/>
      <c r="AP10" s="671"/>
      <c r="AQ10" s="671"/>
      <c r="AR10" s="671"/>
      <c r="AS10" s="671"/>
      <c r="AT10" s="671"/>
      <c r="AU10" s="671"/>
      <c r="AV10" s="671"/>
      <c r="AW10" s="671"/>
      <c r="AX10" s="671"/>
      <c r="AY10" s="671"/>
      <c r="AZ10" s="671"/>
      <c r="BA10" s="671"/>
      <c r="BB10" s="671"/>
      <c r="BC10" s="671"/>
    </row>
    <row r="11" spans="4:56" x14ac:dyDescent="0.25">
      <c r="D11" s="477" t="s">
        <v>548</v>
      </c>
      <c r="E11" s="70" t="s">
        <v>121</v>
      </c>
      <c r="F11" s="721">
        <f>'Haver Pivoted'!GQ30</f>
        <v>1399.3</v>
      </c>
      <c r="G11" s="646">
        <f>'Haver Pivoted'!GR30</f>
        <v>1406.9</v>
      </c>
      <c r="H11" s="646">
        <f>'Haver Pivoted'!GS30</f>
        <v>1426.4</v>
      </c>
      <c r="I11" s="646">
        <f>'Haver Pivoted'!GT30</f>
        <v>1457.1</v>
      </c>
      <c r="J11" s="646">
        <f>'Haver Pivoted'!GU30</f>
        <v>1391.6</v>
      </c>
      <c r="K11" s="646">
        <f>'Haver Pivoted'!GV30</f>
        <v>1443.8</v>
      </c>
      <c r="L11" s="646">
        <f>'Haver Pivoted'!GW30</f>
        <v>1486</v>
      </c>
      <c r="M11" s="646">
        <f>'Haver Pivoted'!GX30</f>
        <v>1517.9</v>
      </c>
      <c r="N11" s="646">
        <f>'Haver Pivoted'!GY30</f>
        <v>1555.7</v>
      </c>
      <c r="O11" s="646">
        <f>'Haver Pivoted'!GZ30</f>
        <v>1594.4</v>
      </c>
      <c r="P11" s="646">
        <f>'Haver Pivoted'!HA30</f>
        <v>1639</v>
      </c>
      <c r="Q11" s="662">
        <f>'Haver Pivoted'!HB30</f>
        <v>1682</v>
      </c>
      <c r="R11" s="725">
        <f t="shared" si="3"/>
        <v>1723.1586381155203</v>
      </c>
      <c r="S11" s="725">
        <f t="shared" si="3"/>
        <v>1765.3244305066198</v>
      </c>
      <c r="T11" s="725">
        <f t="shared" si="4"/>
        <v>1796.7445022026036</v>
      </c>
      <c r="U11" s="725">
        <f t="shared" si="4"/>
        <v>1828.7238030625419</v>
      </c>
      <c r="V11" s="725">
        <f t="shared" si="4"/>
        <v>1861.2722865092292</v>
      </c>
      <c r="W11" s="725">
        <f t="shared" si="4"/>
        <v>1894.400083121144</v>
      </c>
      <c r="X11" s="725">
        <f t="shared" si="5"/>
        <v>1910.2614481673595</v>
      </c>
      <c r="Y11" s="725">
        <f t="shared" si="5"/>
        <v>1926.2556166817394</v>
      </c>
      <c r="Z11" s="725">
        <f t="shared" si="5"/>
        <v>1942.3837005963969</v>
      </c>
      <c r="AA11" s="725">
        <f t="shared" si="5"/>
        <v>1958.6468211533909</v>
      </c>
      <c r="AB11" s="725">
        <f t="shared" si="6"/>
        <v>1971.7906810244319</v>
      </c>
      <c r="AC11" s="725">
        <f t="shared" si="6"/>
        <v>1985.0227451855185</v>
      </c>
      <c r="AD11" s="671"/>
      <c r="AE11" s="671"/>
      <c r="AF11" s="671"/>
      <c r="AG11" s="671"/>
      <c r="AH11" s="671"/>
      <c r="AI11" s="671"/>
      <c r="AJ11" s="671"/>
      <c r="AK11" s="671"/>
      <c r="AL11" s="671"/>
      <c r="AM11" s="671"/>
      <c r="AN11" s="671"/>
      <c r="AO11" s="671"/>
      <c r="AP11" s="671"/>
      <c r="AQ11" s="671"/>
      <c r="AR11" s="671"/>
      <c r="AS11" s="671"/>
      <c r="AT11" s="671"/>
      <c r="AU11" s="671"/>
      <c r="AV11" s="671"/>
      <c r="AW11" s="671"/>
      <c r="AX11" s="671"/>
      <c r="AY11" s="671"/>
      <c r="AZ11" s="671"/>
      <c r="BA11" s="671"/>
      <c r="BB11" s="671"/>
      <c r="BC11" s="671"/>
    </row>
    <row r="12" spans="4:56" x14ac:dyDescent="0.25">
      <c r="D12" s="477" t="s">
        <v>549</v>
      </c>
      <c r="E12" s="51" t="s">
        <v>117</v>
      </c>
      <c r="F12" s="721">
        <f>'Haver Pivoted'!GQ28</f>
        <v>172.2</v>
      </c>
      <c r="G12" s="646">
        <f>'Haver Pivoted'!GR28</f>
        <v>175.3</v>
      </c>
      <c r="H12" s="646">
        <f>'Haver Pivoted'!GS28</f>
        <v>177.9</v>
      </c>
      <c r="I12" s="646">
        <f>'Haver Pivoted'!GT28</f>
        <v>185.8</v>
      </c>
      <c r="J12" s="646">
        <f>'Haver Pivoted'!GU28</f>
        <v>138.30000000000001</v>
      </c>
      <c r="K12" s="646">
        <f>'Haver Pivoted'!GV28</f>
        <v>151.30000000000001</v>
      </c>
      <c r="L12" s="646">
        <f>'Haver Pivoted'!GW28</f>
        <v>156.6</v>
      </c>
      <c r="M12" s="646">
        <f>'Haver Pivoted'!GX28</f>
        <v>166.2</v>
      </c>
      <c r="N12" s="646">
        <f>'Haver Pivoted'!GY28</f>
        <v>177.8</v>
      </c>
      <c r="O12" s="646">
        <f>'Haver Pivoted'!GZ28</f>
        <v>172.9</v>
      </c>
      <c r="P12" s="646">
        <f>'Haver Pivoted'!HA28</f>
        <v>178.3</v>
      </c>
      <c r="Q12" s="662">
        <f>'Haver Pivoted'!HB28</f>
        <v>193.2</v>
      </c>
      <c r="R12" s="725">
        <f t="shared" si="3"/>
        <v>200.69676701611726</v>
      </c>
      <c r="S12" s="725">
        <f t="shared" si="3"/>
        <v>208.48443214659244</v>
      </c>
      <c r="T12" s="725">
        <f t="shared" si="4"/>
        <v>210.50041329501161</v>
      </c>
      <c r="U12" s="725">
        <f t="shared" si="4"/>
        <v>212.53588836894326</v>
      </c>
      <c r="V12" s="725">
        <f t="shared" si="4"/>
        <v>214.59104586872741</v>
      </c>
      <c r="W12" s="725">
        <f t="shared" si="4"/>
        <v>216.66607611744507</v>
      </c>
      <c r="X12" s="725">
        <f t="shared" si="5"/>
        <v>217.9674153620532</v>
      </c>
      <c r="Y12" s="725">
        <f t="shared" si="5"/>
        <v>219.27657070717834</v>
      </c>
      <c r="Z12" s="725">
        <f t="shared" si="5"/>
        <v>220.59358909786386</v>
      </c>
      <c r="AA12" s="725">
        <f t="shared" si="5"/>
        <v>221.91851776111432</v>
      </c>
      <c r="AB12" s="725">
        <f t="shared" si="6"/>
        <v>221.76228880410801</v>
      </c>
      <c r="AC12" s="725">
        <f t="shared" si="6"/>
        <v>221.60616983110509</v>
      </c>
      <c r="AD12" s="671"/>
      <c r="AE12" s="671"/>
      <c r="AF12" s="671"/>
      <c r="AG12" s="671"/>
      <c r="AH12" s="671"/>
      <c r="AI12" s="671"/>
      <c r="AJ12" s="671"/>
      <c r="AK12" s="671"/>
      <c r="AL12" s="671"/>
      <c r="AM12" s="671"/>
      <c r="AN12" s="671"/>
      <c r="AO12" s="671"/>
      <c r="AP12" s="671"/>
      <c r="AQ12" s="671"/>
      <c r="AR12" s="671"/>
      <c r="AS12" s="671"/>
      <c r="AT12" s="671"/>
      <c r="AU12" s="671"/>
      <c r="AV12" s="671"/>
      <c r="AW12" s="671"/>
      <c r="AX12" s="671"/>
      <c r="AY12" s="671"/>
      <c r="AZ12" s="671"/>
      <c r="BA12" s="671"/>
      <c r="BB12" s="671"/>
      <c r="BC12" s="671"/>
    </row>
    <row r="13" spans="4:56" ht="14.45" customHeight="1" x14ac:dyDescent="0.25">
      <c r="D13" s="465" t="s">
        <v>550</v>
      </c>
      <c r="E13" s="719" t="s">
        <v>119</v>
      </c>
      <c r="F13" s="777">
        <f>'Haver Pivoted'!GQ29</f>
        <v>218.9</v>
      </c>
      <c r="G13" s="643">
        <f>'Haver Pivoted'!GR29</f>
        <v>206.5</v>
      </c>
      <c r="H13" s="643">
        <f>'Haver Pivoted'!GS29</f>
        <v>231.4</v>
      </c>
      <c r="I13" s="643">
        <f>'Haver Pivoted'!GT29</f>
        <v>166.7</v>
      </c>
      <c r="J13" s="643">
        <f>'Haver Pivoted'!GU29</f>
        <v>167.4</v>
      </c>
      <c r="K13" s="643">
        <f>'Haver Pivoted'!GV29</f>
        <v>211.7</v>
      </c>
      <c r="L13" s="643">
        <f>'Haver Pivoted'!GW29</f>
        <v>225.1</v>
      </c>
      <c r="M13" s="643">
        <f>'Haver Pivoted'!GX29</f>
        <v>246.4</v>
      </c>
      <c r="N13" s="643">
        <f>'Haver Pivoted'!GY29</f>
        <v>275.10000000000002</v>
      </c>
      <c r="O13" s="643">
        <f>'Haver Pivoted'!GZ29</f>
        <v>285.89999999999998</v>
      </c>
      <c r="P13" s="643">
        <f>'Haver Pivoted'!HA29</f>
        <v>281.2</v>
      </c>
      <c r="Q13" s="643">
        <f>'Haver Pivoted'!HB29</f>
        <v>283.39999999999998</v>
      </c>
      <c r="R13" s="725">
        <f t="shared" si="3"/>
        <v>280.43276840448846</v>
      </c>
      <c r="S13" s="725">
        <f t="shared" si="3"/>
        <v>277.49660407553091</v>
      </c>
      <c r="T13" s="725">
        <f t="shared" si="4"/>
        <v>287.69698323954384</v>
      </c>
      <c r="U13" s="725">
        <f t="shared" si="4"/>
        <v>298.27231378516467</v>
      </c>
      <c r="V13" s="725">
        <f t="shared" si="4"/>
        <v>309.23637839010661</v>
      </c>
      <c r="W13" s="725">
        <f t="shared" si="4"/>
        <v>320.60346636364693</v>
      </c>
      <c r="X13" s="725">
        <f t="shared" si="5"/>
        <v>324.38296298327725</v>
      </c>
      <c r="Y13" s="725">
        <f t="shared" si="5"/>
        <v>328.20701493744536</v>
      </c>
      <c r="Z13" s="725">
        <f t="shared" si="5"/>
        <v>332.07614747541999</v>
      </c>
      <c r="AA13" s="725">
        <f t="shared" si="5"/>
        <v>335.99089203847353</v>
      </c>
      <c r="AB13" s="725">
        <f t="shared" si="6"/>
        <v>336.88994927341696</v>
      </c>
      <c r="AC13" s="725">
        <f t="shared" si="6"/>
        <v>337.79141223997652</v>
      </c>
      <c r="AD13" s="692"/>
      <c r="AE13" s="692"/>
      <c r="AF13" s="692"/>
      <c r="AG13" s="692"/>
      <c r="AH13" s="692"/>
      <c r="AI13" s="692"/>
      <c r="AJ13" s="692"/>
      <c r="AK13" s="692"/>
      <c r="AL13" s="692"/>
      <c r="AM13" s="692"/>
      <c r="AN13" s="692"/>
      <c r="AO13" s="692"/>
      <c r="AP13" s="692"/>
      <c r="AQ13" s="692"/>
      <c r="AR13" s="692"/>
      <c r="AS13" s="692"/>
      <c r="AT13" s="692"/>
      <c r="AU13" s="692"/>
      <c r="AV13" s="692"/>
      <c r="AW13" s="692"/>
      <c r="AX13" s="692"/>
      <c r="AY13" s="692"/>
      <c r="AZ13" s="692"/>
      <c r="BA13" s="692"/>
      <c r="BB13" s="692"/>
      <c r="BC13" s="692"/>
    </row>
    <row r="14" spans="4:56" x14ac:dyDescent="0.25">
      <c r="D14" s="381"/>
      <c r="E14" s="69"/>
      <c r="F14" s="716"/>
      <c r="G14" s="644"/>
      <c r="H14" s="644"/>
      <c r="I14" s="644"/>
      <c r="J14" s="644"/>
      <c r="K14" s="644"/>
      <c r="L14" s="644"/>
      <c r="M14" s="644"/>
      <c r="N14" s="644"/>
      <c r="O14" s="644"/>
      <c r="P14" s="644"/>
      <c r="Q14" s="665"/>
      <c r="R14" s="686"/>
      <c r="S14" s="686"/>
      <c r="T14" s="687"/>
      <c r="U14" s="688"/>
      <c r="V14" s="686"/>
      <c r="W14" s="686"/>
      <c r="X14" s="686"/>
      <c r="Y14" s="686"/>
      <c r="Z14" s="686"/>
      <c r="AA14" s="686"/>
      <c r="AB14" s="686"/>
      <c r="AC14" s="781"/>
      <c r="AD14" s="671"/>
      <c r="AE14" s="671"/>
      <c r="AF14" s="671"/>
      <c r="AG14" s="671"/>
      <c r="AH14" s="671"/>
      <c r="AI14" s="671"/>
      <c r="AJ14" s="671"/>
      <c r="AK14" s="671"/>
      <c r="AL14" s="671"/>
      <c r="AM14" s="671"/>
      <c r="AN14" s="671"/>
      <c r="AO14" s="671"/>
      <c r="AP14" s="671"/>
      <c r="AQ14" s="671"/>
      <c r="AR14" s="671"/>
      <c r="AS14" s="671"/>
      <c r="AT14" s="671"/>
      <c r="AU14" s="671"/>
      <c r="AV14" s="671"/>
      <c r="AW14" s="671"/>
      <c r="AX14" s="671"/>
      <c r="AY14" s="671"/>
      <c r="AZ14" s="671"/>
      <c r="BA14" s="671"/>
      <c r="BB14" s="671"/>
      <c r="BC14" s="671"/>
    </row>
    <row r="15" spans="4:56" x14ac:dyDescent="0.25">
      <c r="D15" s="676" t="s">
        <v>537</v>
      </c>
      <c r="E15" s="70"/>
      <c r="F15" s="716"/>
      <c r="G15" s="644"/>
      <c r="H15" s="644"/>
      <c r="I15" s="644"/>
      <c r="J15" s="644"/>
      <c r="K15" s="644"/>
      <c r="L15" s="644"/>
      <c r="M15" s="644"/>
      <c r="N15" s="644"/>
      <c r="O15" s="644"/>
      <c r="P15" s="644"/>
      <c r="Q15" s="648"/>
      <c r="R15" s="685"/>
      <c r="S15" s="685"/>
      <c r="T15" s="685"/>
      <c r="U15" s="685"/>
      <c r="V15" s="685"/>
      <c r="W15" s="685"/>
      <c r="X15" s="685"/>
      <c r="Y15" s="685"/>
      <c r="Z15" s="685"/>
      <c r="AA15" s="685"/>
      <c r="AB15" s="685"/>
      <c r="AC15" s="779"/>
    </row>
    <row r="16" spans="4:56" ht="14.45" customHeight="1" x14ac:dyDescent="0.25">
      <c r="D16" s="682" t="s">
        <v>546</v>
      </c>
      <c r="E16" s="703"/>
      <c r="F16" s="777">
        <f t="shared" ref="F16:P16" si="7">SUM(F18:F20)</f>
        <v>1890.1</v>
      </c>
      <c r="G16" s="643">
        <f t="shared" si="7"/>
        <v>1889.7999999999997</v>
      </c>
      <c r="H16" s="643">
        <f t="shared" si="7"/>
        <v>1893.3000000000002</v>
      </c>
      <c r="I16" s="643">
        <f t="shared" si="7"/>
        <v>1915.1999999999998</v>
      </c>
      <c r="J16" s="643">
        <f t="shared" si="7"/>
        <v>1858.8000000000002</v>
      </c>
      <c r="K16" s="643">
        <f t="shared" si="7"/>
        <v>1932.2</v>
      </c>
      <c r="L16" s="643">
        <f t="shared" si="7"/>
        <v>1943.7</v>
      </c>
      <c r="M16" s="643">
        <f t="shared" si="7"/>
        <v>1995.3000000000002</v>
      </c>
      <c r="N16" s="643">
        <f t="shared" si="7"/>
        <v>2066.8000000000002</v>
      </c>
      <c r="O16" s="643">
        <f t="shared" si="7"/>
        <v>2109.4</v>
      </c>
      <c r="P16" s="643">
        <f t="shared" si="7"/>
        <v>2167.1</v>
      </c>
      <c r="Q16" s="666">
        <f>SUM(Q17:Q20)</f>
        <v>2235.6999999999998</v>
      </c>
      <c r="R16" s="690">
        <f t="shared" ref="R16:AC16" si="8">SUM(R17:R20)</f>
        <v>2295.1918356227593</v>
      </c>
      <c r="S16" s="690">
        <f t="shared" si="8"/>
        <v>2329.332667777353</v>
      </c>
      <c r="T16" s="690">
        <f t="shared" si="8"/>
        <v>2360.4316679190006</v>
      </c>
      <c r="U16" s="690">
        <f t="shared" si="8"/>
        <v>2388.4343277070102</v>
      </c>
      <c r="V16" s="690">
        <f t="shared" si="8"/>
        <v>2416.1268757815351</v>
      </c>
      <c r="W16" s="690">
        <f t="shared" si="8"/>
        <v>2443.0496393790813</v>
      </c>
      <c r="X16" s="690">
        <f t="shared" si="8"/>
        <v>2468.0805513807636</v>
      </c>
      <c r="Y16" s="690">
        <f t="shared" si="8"/>
        <v>2492.7082401911721</v>
      </c>
      <c r="Z16" s="690">
        <f t="shared" si="8"/>
        <v>2515.5913475278467</v>
      </c>
      <c r="AA16" s="690">
        <f t="shared" si="8"/>
        <v>2538.2967849031356</v>
      </c>
      <c r="AB16" s="690">
        <f t="shared" si="8"/>
        <v>2562.0608173250203</v>
      </c>
      <c r="AC16" s="690">
        <f t="shared" si="8"/>
        <v>2585.4121526135468</v>
      </c>
    </row>
    <row r="17" spans="4:40" ht="42" customHeight="1" x14ac:dyDescent="0.25">
      <c r="D17" s="658" t="s">
        <v>908</v>
      </c>
      <c r="E17" s="703"/>
      <c r="F17" s="777"/>
      <c r="G17" s="643"/>
      <c r="H17" s="643"/>
      <c r="I17" s="643"/>
      <c r="J17" s="643"/>
      <c r="K17" s="643"/>
      <c r="L17" s="643"/>
      <c r="M17" s="643"/>
      <c r="N17" s="643"/>
      <c r="O17" s="643"/>
      <c r="P17" s="643"/>
      <c r="Q17" s="421"/>
      <c r="R17" s="408">
        <v>20</v>
      </c>
      <c r="S17" s="408">
        <v>20</v>
      </c>
      <c r="T17" s="408">
        <v>20</v>
      </c>
      <c r="U17" s="408">
        <v>20</v>
      </c>
      <c r="V17" s="408">
        <v>20</v>
      </c>
      <c r="W17" s="408">
        <v>20</v>
      </c>
      <c r="X17" s="408">
        <v>20</v>
      </c>
      <c r="Y17" s="408">
        <v>20</v>
      </c>
      <c r="Z17" s="408">
        <v>20</v>
      </c>
      <c r="AA17" s="408">
        <v>20</v>
      </c>
      <c r="AB17" s="408">
        <v>20</v>
      </c>
      <c r="AC17" s="408">
        <v>20</v>
      </c>
    </row>
    <row r="18" spans="4:40" x14ac:dyDescent="0.25">
      <c r="D18" s="477" t="s">
        <v>551</v>
      </c>
      <c r="E18" s="70" t="s">
        <v>552</v>
      </c>
      <c r="F18" s="721">
        <f>'Haver Pivoted'!GQ33</f>
        <v>520.9</v>
      </c>
      <c r="G18" s="646">
        <f>'Haver Pivoted'!GR33</f>
        <v>497.4</v>
      </c>
      <c r="H18" s="646">
        <f>'Haver Pivoted'!GS33</f>
        <v>494.7</v>
      </c>
      <c r="I18" s="646">
        <f>'Haver Pivoted'!GT33</f>
        <v>503.8</v>
      </c>
      <c r="J18" s="646">
        <f>'Haver Pivoted'!GU33</f>
        <v>517.5</v>
      </c>
      <c r="K18" s="646">
        <f>'Haver Pivoted'!GV33</f>
        <v>519.6</v>
      </c>
      <c r="L18" s="646">
        <f>'Haver Pivoted'!GW33</f>
        <v>522.79999999999995</v>
      </c>
      <c r="M18" s="646">
        <f>'Haver Pivoted'!GX33</f>
        <v>560.20000000000005</v>
      </c>
      <c r="N18" s="646">
        <f>'Haver Pivoted'!GY33</f>
        <v>586.4</v>
      </c>
      <c r="O18" s="646">
        <f>'Haver Pivoted'!GZ33</f>
        <v>605.1</v>
      </c>
      <c r="P18" s="646">
        <f>'Haver Pivoted'!HA33</f>
        <v>629.1</v>
      </c>
      <c r="Q18" s="662">
        <f>'Haver Pivoted'!HB33</f>
        <v>671.7</v>
      </c>
      <c r="R18" s="689">
        <f t="shared" ref="R18:AC18" si="9">$Q100*R109*(R85/$Q85)</f>
        <v>682.91161881313576</v>
      </c>
      <c r="S18" s="689">
        <f t="shared" si="9"/>
        <v>692.89506680183922</v>
      </c>
      <c r="T18" s="689">
        <f t="shared" si="9"/>
        <v>701.87327926427452</v>
      </c>
      <c r="U18" s="689">
        <f t="shared" si="9"/>
        <v>710.77853108367424</v>
      </c>
      <c r="V18" s="689">
        <f t="shared" si="9"/>
        <v>719.73647670082198</v>
      </c>
      <c r="W18" s="689">
        <f t="shared" si="9"/>
        <v>728.54444766284075</v>
      </c>
      <c r="X18" s="689">
        <f t="shared" si="9"/>
        <v>736.58633187298608</v>
      </c>
      <c r="Y18" s="689">
        <f t="shared" si="9"/>
        <v>744.5633621782107</v>
      </c>
      <c r="Z18" s="689">
        <f t="shared" si="9"/>
        <v>751.90401354140249</v>
      </c>
      <c r="AA18" s="689">
        <f t="shared" si="9"/>
        <v>759.43111988124122</v>
      </c>
      <c r="AB18" s="689">
        <f t="shared" si="9"/>
        <v>767.0676671856329</v>
      </c>
      <c r="AC18" s="689">
        <f t="shared" si="9"/>
        <v>774.42453202505521</v>
      </c>
    </row>
    <row r="19" spans="4:40" x14ac:dyDescent="0.25">
      <c r="D19" s="477" t="s">
        <v>548</v>
      </c>
      <c r="E19" s="70" t="s">
        <v>553</v>
      </c>
      <c r="F19" s="721">
        <f>'Haver Pivoted'!GQ36</f>
        <v>20.5</v>
      </c>
      <c r="G19" s="646">
        <f>'Haver Pivoted'!GR36</f>
        <v>20.3</v>
      </c>
      <c r="H19" s="646">
        <f>'Haver Pivoted'!GS36</f>
        <v>20.2</v>
      </c>
      <c r="I19" s="646">
        <f>'Haver Pivoted'!GT36</f>
        <v>20.100000000000001</v>
      </c>
      <c r="J19" s="646">
        <f>'Haver Pivoted'!GU36</f>
        <v>19.100000000000001</v>
      </c>
      <c r="K19" s="646">
        <f>'Haver Pivoted'!GV36</f>
        <v>19.899999999999999</v>
      </c>
      <c r="L19" s="646">
        <f>'Haver Pivoted'!GW36</f>
        <v>20.5</v>
      </c>
      <c r="M19" s="646">
        <f>'Haver Pivoted'!GX36</f>
        <v>21.2</v>
      </c>
      <c r="N19" s="646">
        <f>'Haver Pivoted'!GY36</f>
        <v>21.9</v>
      </c>
      <c r="O19" s="646">
        <f>'Haver Pivoted'!GZ36</f>
        <v>22.5</v>
      </c>
      <c r="P19" s="646">
        <f>'Haver Pivoted'!HA36</f>
        <v>22.8</v>
      </c>
      <c r="Q19" s="662">
        <f>'Haver Pivoted'!HB36</f>
        <v>22.9</v>
      </c>
      <c r="R19" s="689">
        <f t="shared" ref="R19:AC19" si="10">$Q101*R110*(R86/$Q86)</f>
        <v>23.267994434289143</v>
      </c>
      <c r="S19" s="689">
        <f t="shared" si="10"/>
        <v>23.575801889795287</v>
      </c>
      <c r="T19" s="689">
        <f t="shared" si="10"/>
        <v>23.832169263088971</v>
      </c>
      <c r="U19" s="689">
        <f t="shared" si="10"/>
        <v>24.075208032084689</v>
      </c>
      <c r="V19" s="689">
        <f t="shared" si="10"/>
        <v>24.315539428332382</v>
      </c>
      <c r="W19" s="689">
        <f t="shared" si="10"/>
        <v>24.545457852472286</v>
      </c>
      <c r="X19" s="689">
        <f t="shared" si="10"/>
        <v>24.739139133677096</v>
      </c>
      <c r="Y19" s="689">
        <f t="shared" si="10"/>
        <v>24.945315981411255</v>
      </c>
      <c r="Z19" s="689">
        <f t="shared" si="10"/>
        <v>25.151284569703254</v>
      </c>
      <c r="AA19" s="689">
        <f t="shared" si="10"/>
        <v>25.362459644049146</v>
      </c>
      <c r="AB19" s="689">
        <f t="shared" si="10"/>
        <v>25.571760383415636</v>
      </c>
      <c r="AC19" s="689">
        <f t="shared" si="10"/>
        <v>25.777312452823328</v>
      </c>
    </row>
    <row r="20" spans="4:40" x14ac:dyDescent="0.25">
      <c r="D20" s="477" t="s">
        <v>549</v>
      </c>
      <c r="E20" s="70" t="s">
        <v>554</v>
      </c>
      <c r="F20" s="721">
        <f>'Haver Pivoted'!GQ34</f>
        <v>1348.7</v>
      </c>
      <c r="G20" s="646">
        <f>'Haver Pivoted'!GR34</f>
        <v>1372.1</v>
      </c>
      <c r="H20" s="646">
        <f>'Haver Pivoted'!GS34</f>
        <v>1378.4</v>
      </c>
      <c r="I20" s="646">
        <f>'Haver Pivoted'!GT34</f>
        <v>1391.3</v>
      </c>
      <c r="J20" s="646">
        <f>'Haver Pivoted'!GU34</f>
        <v>1322.2</v>
      </c>
      <c r="K20" s="646">
        <f>'Haver Pivoted'!GV34</f>
        <v>1392.7</v>
      </c>
      <c r="L20" s="646">
        <f>'Haver Pivoted'!GW34</f>
        <v>1400.4</v>
      </c>
      <c r="M20" s="646">
        <f>'Haver Pivoted'!GX34</f>
        <v>1413.9</v>
      </c>
      <c r="N20" s="646">
        <f>'Haver Pivoted'!GY34</f>
        <v>1458.5</v>
      </c>
      <c r="O20" s="646">
        <f>'Haver Pivoted'!GZ34</f>
        <v>1481.8</v>
      </c>
      <c r="P20" s="646">
        <f>'Haver Pivoted'!HA34</f>
        <v>1515.2</v>
      </c>
      <c r="Q20" s="662">
        <f>'Haver Pivoted'!HB34</f>
        <v>1541.1</v>
      </c>
      <c r="R20" s="689">
        <f t="shared" ref="R20:AC20" si="11">$Q106*R111*(R88/$Q88)</f>
        <v>1569.0122223753344</v>
      </c>
      <c r="S20" s="689">
        <f t="shared" si="11"/>
        <v>1592.8617990857183</v>
      </c>
      <c r="T20" s="689">
        <f t="shared" si="11"/>
        <v>1614.7262193916372</v>
      </c>
      <c r="U20" s="689">
        <f t="shared" si="11"/>
        <v>1633.5805885912512</v>
      </c>
      <c r="V20" s="689">
        <f t="shared" si="11"/>
        <v>1652.0748596523808</v>
      </c>
      <c r="W20" s="689">
        <f t="shared" si="11"/>
        <v>1669.9597338637684</v>
      </c>
      <c r="X20" s="689">
        <f t="shared" si="11"/>
        <v>1686.7550803741005</v>
      </c>
      <c r="Y20" s="689">
        <f t="shared" si="11"/>
        <v>1703.1995620315502</v>
      </c>
      <c r="Z20" s="689">
        <f t="shared" si="11"/>
        <v>1718.536049416741</v>
      </c>
      <c r="AA20" s="689">
        <f t="shared" si="11"/>
        <v>1733.503205377845</v>
      </c>
      <c r="AB20" s="689">
        <f t="shared" si="11"/>
        <v>1749.4213897559719</v>
      </c>
      <c r="AC20" s="689">
        <f t="shared" si="11"/>
        <v>1765.2103081356684</v>
      </c>
    </row>
    <row r="21" spans="4:40" ht="14.45" customHeight="1" x14ac:dyDescent="0.25">
      <c r="D21" s="693" t="s">
        <v>550</v>
      </c>
      <c r="E21" s="720" t="s">
        <v>555</v>
      </c>
      <c r="F21" s="778">
        <f>'Haver Pivoted'!GQ35</f>
        <v>72.8</v>
      </c>
      <c r="G21" s="717">
        <f>'Haver Pivoted'!GR35</f>
        <v>73.099999999999994</v>
      </c>
      <c r="H21" s="717">
        <f>'Haver Pivoted'!GS35</f>
        <v>72.400000000000006</v>
      </c>
      <c r="I21" s="717">
        <f>'Haver Pivoted'!GT35</f>
        <v>66.5</v>
      </c>
      <c r="J21" s="717">
        <f>'Haver Pivoted'!GU35</f>
        <v>61.9</v>
      </c>
      <c r="K21" s="717">
        <f>'Haver Pivoted'!GV35</f>
        <v>76.8</v>
      </c>
      <c r="L21" s="717">
        <f>'Haver Pivoted'!GW35</f>
        <v>78.8</v>
      </c>
      <c r="M21" s="717">
        <f>'Haver Pivoted'!GX35</f>
        <v>85.5</v>
      </c>
      <c r="N21" s="717">
        <f>'Haver Pivoted'!GY35</f>
        <v>91.9</v>
      </c>
      <c r="O21" s="717">
        <f>'Haver Pivoted'!GZ35</f>
        <v>95.3</v>
      </c>
      <c r="P21" s="717">
        <f>'Haver Pivoted'!HA35</f>
        <v>115.4</v>
      </c>
      <c r="Q21" s="717">
        <f>'Haver Pivoted'!HB35</f>
        <v>155.4</v>
      </c>
      <c r="R21" s="669">
        <f t="shared" ref="R21:AC21" si="12">$P107*R112*(R89/$P89)</f>
        <v>118.47666056910569</v>
      </c>
      <c r="S21" s="669">
        <f t="shared" si="12"/>
        <v>120.85089329268293</v>
      </c>
      <c r="T21" s="669">
        <f t="shared" si="12"/>
        <v>109.55884664634145</v>
      </c>
      <c r="U21" s="669">
        <f t="shared" si="12"/>
        <v>109.36058597560975</v>
      </c>
      <c r="V21" s="669">
        <f t="shared" si="12"/>
        <v>108.77020975609756</v>
      </c>
      <c r="W21" s="669">
        <f t="shared" si="12"/>
        <v>108.10934085365854</v>
      </c>
      <c r="X21" s="669">
        <f t="shared" si="12"/>
        <v>107.53218201219511</v>
      </c>
      <c r="Y21" s="669">
        <f t="shared" si="12"/>
        <v>107.03432743902438</v>
      </c>
      <c r="Z21" s="669">
        <f t="shared" si="12"/>
        <v>106.90655945121949</v>
      </c>
      <c r="AA21" s="669">
        <f t="shared" si="12"/>
        <v>106.53206707317072</v>
      </c>
      <c r="AB21" s="669">
        <f t="shared" si="12"/>
        <v>107.1180375</v>
      </c>
      <c r="AC21" s="669">
        <f t="shared" si="12"/>
        <v>107.50574725609755</v>
      </c>
    </row>
    <row r="22" spans="4:40" ht="14.45" customHeight="1" x14ac:dyDescent="0.25">
      <c r="D22" s="702"/>
      <c r="E22" s="703"/>
      <c r="F22" s="643"/>
      <c r="G22" s="643"/>
      <c r="H22" s="643"/>
      <c r="I22" s="643"/>
      <c r="J22" s="643"/>
      <c r="K22" s="643"/>
      <c r="L22" s="643"/>
      <c r="M22" s="643"/>
      <c r="N22" s="643"/>
      <c r="O22" s="643"/>
      <c r="P22" s="643"/>
      <c r="Q22" s="643"/>
      <c r="R22" s="643"/>
      <c r="S22" s="643"/>
      <c r="T22" s="643"/>
      <c r="U22" s="643"/>
      <c r="V22" s="643"/>
      <c r="W22" s="643"/>
      <c r="X22" s="643"/>
      <c r="Y22" s="643"/>
      <c r="Z22" s="643"/>
      <c r="AA22" s="643"/>
      <c r="AB22" s="643"/>
      <c r="AC22" s="643"/>
    </row>
    <row r="23" spans="4:40" ht="14.45" customHeight="1" x14ac:dyDescent="0.25">
      <c r="D23" s="702"/>
      <c r="E23" s="703"/>
      <c r="F23" s="704"/>
      <c r="G23" s="704"/>
      <c r="H23" s="643"/>
      <c r="I23" s="643"/>
      <c r="J23" s="643"/>
      <c r="K23" s="643"/>
      <c r="L23" s="643"/>
      <c r="R23" s="643"/>
      <c r="S23" s="643"/>
      <c r="T23" s="643"/>
      <c r="U23" s="643"/>
      <c r="V23" s="643"/>
      <c r="W23" s="643"/>
      <c r="X23" s="426"/>
      <c r="Y23" s="426"/>
      <c r="Z23" s="426"/>
      <c r="AA23" s="426"/>
      <c r="AB23" s="426"/>
      <c r="AC23" s="426"/>
      <c r="AD23" s="426"/>
      <c r="AE23" s="426"/>
      <c r="AF23" s="426"/>
      <c r="AG23" s="426"/>
      <c r="AH23" s="426"/>
      <c r="AI23" s="426"/>
      <c r="AJ23" s="426"/>
      <c r="AK23" s="426"/>
      <c r="AL23" s="170"/>
      <c r="AM23" s="170"/>
      <c r="AN23" s="170"/>
    </row>
    <row r="24" spans="4:40" ht="14.45" customHeight="1" x14ac:dyDescent="0.25">
      <c r="D24" s="257"/>
      <c r="E24" s="145"/>
      <c r="F24" s="145"/>
      <c r="G24" s="145"/>
      <c r="H24" s="145"/>
      <c r="I24" s="145"/>
      <c r="J24" s="145"/>
      <c r="K24" s="145"/>
      <c r="L24" s="145"/>
      <c r="R24" s="656"/>
      <c r="S24" s="643"/>
      <c r="T24" s="643"/>
      <c r="U24" s="643"/>
      <c r="V24" s="643"/>
      <c r="W24" s="643"/>
      <c r="X24" s="145"/>
      <c r="Y24" s="226"/>
      <c r="Z24" s="226"/>
      <c r="AA24" s="226"/>
      <c r="AB24" s="226"/>
      <c r="AC24" s="170"/>
      <c r="AD24" s="170"/>
      <c r="AE24" s="170"/>
      <c r="AF24" s="170"/>
      <c r="AG24" s="170"/>
      <c r="AH24" s="170"/>
      <c r="AI24" s="170"/>
      <c r="AJ24" s="170"/>
      <c r="AK24" s="170"/>
      <c r="AL24" s="170"/>
      <c r="AM24" s="170"/>
      <c r="AN24" s="170"/>
    </row>
    <row r="25" spans="4:40" ht="14.45" customHeight="1" x14ac:dyDescent="0.25">
      <c r="D25" s="1043" t="s">
        <v>997</v>
      </c>
      <c r="E25" s="1044"/>
      <c r="F25" s="1045"/>
      <c r="G25" s="274">
        <v>2020</v>
      </c>
      <c r="H25" s="274">
        <v>2021</v>
      </c>
      <c r="I25" s="655">
        <v>2022</v>
      </c>
      <c r="J25" s="727">
        <v>2023</v>
      </c>
      <c r="K25" s="727">
        <v>2024</v>
      </c>
      <c r="L25" s="728">
        <v>2025</v>
      </c>
      <c r="R25" s="643"/>
      <c r="S25" s="643"/>
      <c r="T25" s="643"/>
      <c r="U25" s="643"/>
      <c r="V25" s="643"/>
      <c r="W25" s="643"/>
      <c r="X25" s="645"/>
      <c r="Y25" s="645"/>
      <c r="Z25" s="645"/>
      <c r="AA25" s="645"/>
      <c r="AB25" s="645"/>
      <c r="AC25" s="170"/>
      <c r="AD25" s="170"/>
      <c r="AE25" s="170"/>
      <c r="AF25" s="170"/>
      <c r="AG25" s="170"/>
      <c r="AH25" s="170"/>
      <c r="AI25" s="170"/>
      <c r="AJ25" s="170"/>
      <c r="AK25" s="170"/>
      <c r="AL25" s="170"/>
      <c r="AM25" s="170"/>
      <c r="AN25" s="170"/>
    </row>
    <row r="26" spans="4:40" ht="14.45" customHeight="1" x14ac:dyDescent="0.25">
      <c r="D26" s="657" t="s">
        <v>556</v>
      </c>
      <c r="E26" s="221"/>
      <c r="F26" s="599"/>
      <c r="G26" s="650">
        <f>AVERAGE(H10:K10)</f>
        <v>1677.55</v>
      </c>
      <c r="H26" s="227">
        <v>1877.8879999999999</v>
      </c>
      <c r="I26" s="227">
        <f>H26*I39/H39</f>
        <v>2408.9346874084385</v>
      </c>
      <c r="J26" s="227">
        <f t="shared" ref="J26:L26" si="13">I26*J39/I39</f>
        <v>2368.8146341227671</v>
      </c>
      <c r="K26" s="227">
        <f t="shared" si="13"/>
        <v>2334.7056536832492</v>
      </c>
      <c r="L26" s="227">
        <f t="shared" si="13"/>
        <v>2332.341273868763</v>
      </c>
      <c r="M26" t="s">
        <v>1023</v>
      </c>
      <c r="R26" s="643"/>
      <c r="S26" s="643"/>
      <c r="T26" s="643"/>
      <c r="U26" s="643"/>
      <c r="V26" s="643"/>
      <c r="W26" s="643"/>
      <c r="X26" s="659"/>
      <c r="Y26" s="659"/>
      <c r="Z26" s="659"/>
      <c r="AA26" s="659"/>
      <c r="AB26" s="659"/>
      <c r="AC26" s="170"/>
      <c r="AD26" s="170"/>
      <c r="AE26" s="170"/>
    </row>
    <row r="27" spans="4:40" ht="14.45" customHeight="1" x14ac:dyDescent="0.25">
      <c r="D27" s="761" t="s">
        <v>564</v>
      </c>
      <c r="E27" s="226"/>
      <c r="F27" s="182"/>
      <c r="G27" s="650">
        <f>AVERAGE(H11:K11)</f>
        <v>1429.7250000000001</v>
      </c>
      <c r="H27" s="227">
        <v>1529.57</v>
      </c>
      <c r="I27" s="227">
        <f t="shared" ref="I27:L27" si="14">H27*I40/H40</f>
        <v>1704.7545636289196</v>
      </c>
      <c r="J27" s="227">
        <f t="shared" si="14"/>
        <v>1829.4015146626407</v>
      </c>
      <c r="K27" s="227">
        <f t="shared" si="14"/>
        <v>1891.4438894046671</v>
      </c>
      <c r="L27" s="227">
        <f t="shared" si="14"/>
        <v>1942.728776109363</v>
      </c>
      <c r="R27" s="643"/>
      <c r="S27" s="643"/>
      <c r="T27" s="643"/>
      <c r="U27" s="643"/>
      <c r="V27" s="643"/>
      <c r="W27" s="643"/>
      <c r="X27" s="659"/>
      <c r="Y27" s="659"/>
      <c r="Z27" s="659"/>
      <c r="AA27" s="659"/>
      <c r="AB27" s="659"/>
      <c r="AC27" s="170"/>
      <c r="AD27" s="170"/>
      <c r="AE27" s="170"/>
    </row>
    <row r="28" spans="4:40" ht="14.45" customHeight="1" x14ac:dyDescent="0.25">
      <c r="D28" s="761" t="s">
        <v>105</v>
      </c>
      <c r="E28" s="226"/>
      <c r="F28" s="182"/>
      <c r="G28" s="650">
        <f>AVERAGE(H12:K12)</f>
        <v>163.32500000000002</v>
      </c>
      <c r="H28" s="227">
        <v>168.43899999999999</v>
      </c>
      <c r="I28" s="227">
        <f t="shared" ref="I28:L28" si="15">H28*I41/H41</f>
        <v>197.82868117790269</v>
      </c>
      <c r="J28" s="227">
        <f t="shared" si="15"/>
        <v>205.59215694420288</v>
      </c>
      <c r="K28" s="227">
        <f t="shared" si="15"/>
        <v>210.57614348282542</v>
      </c>
      <c r="L28" s="227">
        <f t="shared" si="15"/>
        <v>209.98379331954985</v>
      </c>
      <c r="R28" s="643"/>
      <c r="S28" s="643"/>
      <c r="T28" s="643"/>
      <c r="U28" s="643"/>
      <c r="V28" s="643"/>
      <c r="W28" s="643"/>
      <c r="X28" s="659"/>
      <c r="Y28" s="659"/>
      <c r="Z28" s="659"/>
      <c r="AA28" s="659"/>
      <c r="AB28" s="659"/>
      <c r="AC28" s="170"/>
      <c r="AD28" s="170"/>
      <c r="AE28" s="170"/>
    </row>
    <row r="29" spans="4:40" ht="14.45" customHeight="1" x14ac:dyDescent="0.25">
      <c r="D29" s="761" t="s">
        <v>303</v>
      </c>
      <c r="E29" s="226"/>
      <c r="F29" s="182"/>
      <c r="G29" s="650">
        <f>AVERAGE(H13:K13)</f>
        <v>194.3</v>
      </c>
      <c r="H29" s="227">
        <v>259.06299999999999</v>
      </c>
      <c r="I29" s="227">
        <f>H29*I44/H44</f>
        <v>275.06601762628719</v>
      </c>
      <c r="J29" s="227">
        <f t="shared" ref="J29:L29" si="16">I29*J44/I44</f>
        <v>317.79530788718529</v>
      </c>
      <c r="K29" s="227">
        <f t="shared" si="16"/>
        <v>333.04795545019101</v>
      </c>
      <c r="L29" s="227">
        <f t="shared" si="16"/>
        <v>336.62701860253719</v>
      </c>
      <c r="R29" s="643"/>
      <c r="S29" s="643"/>
      <c r="T29" s="643"/>
      <c r="U29" s="643"/>
      <c r="V29" s="643"/>
      <c r="W29" s="643"/>
      <c r="X29" s="659"/>
      <c r="Y29" s="659"/>
      <c r="Z29" s="659"/>
      <c r="AA29" s="659"/>
      <c r="AB29" s="659"/>
      <c r="AC29" s="170"/>
      <c r="AD29" s="170"/>
      <c r="AE29" s="170"/>
    </row>
    <row r="30" spans="4:40" ht="14.45" customHeight="1" x14ac:dyDescent="0.25">
      <c r="D30" s="761" t="s">
        <v>556</v>
      </c>
      <c r="E30" s="36"/>
      <c r="F30" s="578"/>
      <c r="G30" s="183"/>
      <c r="H30" s="651">
        <f>H26/G26-1+0.021</f>
        <v>0.140422968018837</v>
      </c>
      <c r="I30" s="651">
        <f>I26/H26-1.05</f>
        <v>0.23278932897405946</v>
      </c>
      <c r="J30" s="651">
        <f>J26/I26-1</f>
        <v>-1.6654687026335768E-2</v>
      </c>
      <c r="K30" s="651">
        <f>K26/J26-1</f>
        <v>-1.4399176680259473E-2</v>
      </c>
      <c r="L30" s="652">
        <f t="shared" ref="L30:L33" si="17">L26/K26-1</f>
        <v>-1.0127100222488972E-3</v>
      </c>
      <c r="M30" t="s">
        <v>1022</v>
      </c>
      <c r="R30" s="643"/>
      <c r="S30" s="643"/>
      <c r="T30" s="643"/>
      <c r="U30" s="643"/>
      <c r="V30" s="643"/>
      <c r="W30" s="643"/>
      <c r="X30" s="644"/>
      <c r="Y30" s="660"/>
      <c r="Z30" s="644"/>
      <c r="AA30" s="644"/>
      <c r="AB30" s="660"/>
      <c r="AC30" s="170"/>
      <c r="AD30" s="170"/>
      <c r="AE30" s="170"/>
    </row>
    <row r="31" spans="4:40" ht="14.45" customHeight="1" x14ac:dyDescent="0.25">
      <c r="D31" s="761" t="s">
        <v>564</v>
      </c>
      <c r="E31" s="36"/>
      <c r="F31" s="578"/>
      <c r="G31" s="183"/>
      <c r="H31" s="651">
        <f>H27/G27-1.03</f>
        <v>3.9835108150168663E-2</v>
      </c>
      <c r="I31" s="651">
        <f>I27/H27-1.013</f>
        <v>0.10153190349504748</v>
      </c>
      <c r="J31" s="651">
        <f t="shared" ref="J31:K31" si="18">J27/I27-1</f>
        <v>7.3117241445234571E-2</v>
      </c>
      <c r="K31" s="651">
        <f t="shared" si="18"/>
        <v>3.3914028300926269E-2</v>
      </c>
      <c r="L31" s="652">
        <f t="shared" ref="L31:L32" si="19">L27/K27-1</f>
        <v>2.7114146495161418E-2</v>
      </c>
      <c r="M31" t="s">
        <v>1024</v>
      </c>
      <c r="R31" s="643"/>
      <c r="S31" s="643"/>
      <c r="T31" s="643"/>
      <c r="U31" s="643"/>
      <c r="V31" s="643"/>
      <c r="W31" s="643"/>
      <c r="X31" s="644"/>
      <c r="Y31" s="644"/>
      <c r="Z31" s="644"/>
      <c r="AA31" s="644"/>
      <c r="AB31" s="644"/>
      <c r="AC31" s="170"/>
      <c r="AD31" s="170"/>
      <c r="AE31" s="170"/>
    </row>
    <row r="32" spans="4:40" ht="14.45" customHeight="1" x14ac:dyDescent="0.25">
      <c r="D32" s="761" t="s">
        <v>105</v>
      </c>
      <c r="E32" s="36"/>
      <c r="F32" s="578"/>
      <c r="G32" s="183"/>
      <c r="H32" s="651">
        <f t="shared" ref="H32:H33" si="20">H28/G28-1</f>
        <v>3.1311801622531554E-2</v>
      </c>
      <c r="I32" s="651">
        <f>I28/H28-1.01</f>
        <v>0.16448263868761215</v>
      </c>
      <c r="J32" s="651">
        <f t="shared" ref="J32:K32" si="21">J28/I28-1</f>
        <v>3.9243428809590419E-2</v>
      </c>
      <c r="K32" s="651">
        <f t="shared" si="21"/>
        <v>2.4242104429962108E-2</v>
      </c>
      <c r="L32" s="652">
        <f t="shared" si="19"/>
        <v>-2.8129974909711919E-3</v>
      </c>
      <c r="R32" s="643"/>
      <c r="S32" s="643"/>
      <c r="T32" s="643"/>
      <c r="U32" s="643"/>
      <c r="V32" s="643"/>
      <c r="W32" s="643"/>
      <c r="X32" s="643"/>
      <c r="Y32" s="643"/>
      <c r="Z32" s="643"/>
      <c r="AA32" s="643"/>
      <c r="AB32" s="643"/>
      <c r="AC32" s="170"/>
      <c r="AD32" s="170"/>
      <c r="AE32" s="170"/>
    </row>
    <row r="33" spans="4:40" ht="14.45" customHeight="1" x14ac:dyDescent="0.25">
      <c r="D33" s="762" t="s">
        <v>303</v>
      </c>
      <c r="E33" s="37"/>
      <c r="F33" s="203"/>
      <c r="G33" s="192"/>
      <c r="H33" s="653">
        <f t="shared" si="20"/>
        <v>0.33331446217189908</v>
      </c>
      <c r="I33" s="653">
        <f>I29/H29-1.103</f>
        <v>-4.1227312945935068E-2</v>
      </c>
      <c r="J33" s="653">
        <f>J29/I29-1</f>
        <v>0.15534194528875389</v>
      </c>
      <c r="K33" s="653">
        <f>K29/J29-1</f>
        <v>4.799519434195143E-2</v>
      </c>
      <c r="L33" s="654">
        <f t="shared" si="17"/>
        <v>1.0746389802958722E-2</v>
      </c>
      <c r="R33" s="643"/>
      <c r="S33" s="643"/>
      <c r="T33" s="643"/>
      <c r="U33" s="643"/>
      <c r="V33" s="643"/>
      <c r="W33" s="643"/>
      <c r="X33" s="646"/>
      <c r="Y33" s="646"/>
      <c r="Z33" s="646"/>
      <c r="AA33" s="646"/>
      <c r="AB33" s="646"/>
      <c r="AC33" s="170"/>
      <c r="AD33" s="170"/>
      <c r="AE33" s="170"/>
    </row>
    <row r="34" spans="4:40" ht="14.45" customHeight="1" x14ac:dyDescent="0.25">
      <c r="D34" s="702"/>
      <c r="E34" s="703"/>
      <c r="F34" s="704"/>
      <c r="G34" s="704"/>
      <c r="H34" s="643"/>
      <c r="I34" s="643"/>
      <c r="J34" s="643"/>
      <c r="K34" s="643"/>
      <c r="L34" s="643"/>
      <c r="R34" s="643"/>
      <c r="S34" s="643"/>
      <c r="T34" s="643"/>
      <c r="U34" s="643"/>
      <c r="V34" s="643"/>
      <c r="W34" s="643"/>
      <c r="X34" s="646"/>
      <c r="Y34" s="646"/>
      <c r="Z34" s="646"/>
      <c r="AA34" s="646"/>
      <c r="AB34" s="646"/>
      <c r="AC34" s="170"/>
      <c r="AD34" s="170"/>
      <c r="AE34" s="170"/>
    </row>
    <row r="35" spans="4:40" ht="14.45" customHeight="1" x14ac:dyDescent="0.25">
      <c r="D35" s="702"/>
      <c r="E35" s="703"/>
      <c r="F35" s="704"/>
      <c r="G35" s="704"/>
      <c r="H35" s="643"/>
      <c r="I35" s="643"/>
      <c r="J35" s="643"/>
      <c r="K35" s="643"/>
      <c r="L35" s="643"/>
      <c r="R35" s="643"/>
      <c r="S35" s="643"/>
      <c r="T35" s="643"/>
      <c r="U35" s="643"/>
      <c r="V35" s="643"/>
      <c r="W35" s="643"/>
      <c r="X35" s="646"/>
      <c r="Y35" s="646"/>
      <c r="Z35" s="646"/>
      <c r="AA35" s="646"/>
      <c r="AB35" s="646"/>
      <c r="AC35" s="170"/>
      <c r="AD35" s="170"/>
      <c r="AE35" s="170"/>
    </row>
    <row r="36" spans="4:40" ht="14.45" customHeight="1" x14ac:dyDescent="0.25">
      <c r="D36" s="702"/>
      <c r="E36" s="703"/>
      <c r="F36" s="704"/>
      <c r="G36" s="704"/>
      <c r="H36" s="643"/>
      <c r="I36" s="643"/>
      <c r="J36" s="643"/>
      <c r="K36" s="643"/>
      <c r="L36" s="643"/>
      <c r="R36" s="643"/>
      <c r="S36" s="643"/>
      <c r="T36" s="643"/>
      <c r="U36" s="643"/>
      <c r="V36" s="643"/>
      <c r="W36" s="643"/>
      <c r="X36" s="646"/>
      <c r="Y36" s="646"/>
      <c r="Z36" s="646"/>
      <c r="AA36" s="646"/>
      <c r="AB36" s="646"/>
      <c r="AC36" s="170"/>
      <c r="AD36" s="170"/>
      <c r="AE36" s="170"/>
    </row>
    <row r="37" spans="4:40" ht="41.65" customHeight="1" x14ac:dyDescent="0.25">
      <c r="F37" s="183"/>
      <c r="G37" s="183"/>
      <c r="H37" s="273"/>
      <c r="I37" s="273"/>
      <c r="J37" s="273"/>
      <c r="K37" s="273"/>
      <c r="L37" s="273"/>
      <c r="M37" s="254"/>
      <c r="N37" s="254"/>
      <c r="S37" s="183"/>
      <c r="T37" s="183"/>
      <c r="U37" s="183"/>
      <c r="V37" s="183"/>
      <c r="W37" s="183"/>
      <c r="X37" s="183"/>
      <c r="Y37" s="183"/>
      <c r="Z37" s="183"/>
      <c r="AA37" s="183"/>
      <c r="AB37" s="183"/>
      <c r="AC37" s="183"/>
      <c r="AD37" s="273"/>
      <c r="AE37" s="273"/>
      <c r="AF37" s="273"/>
      <c r="AG37" s="273"/>
      <c r="AH37" s="273"/>
      <c r="AI37" s="273"/>
      <c r="AJ37" s="273"/>
      <c r="AK37" s="273"/>
      <c r="AM37" s="273"/>
      <c r="AN37" s="273"/>
    </row>
    <row r="38" spans="4:40" ht="30.75" customHeight="1" x14ac:dyDescent="0.25">
      <c r="D38" s="782" t="s">
        <v>1020</v>
      </c>
      <c r="E38" s="640">
        <v>2018</v>
      </c>
      <c r="F38" s="752">
        <v>2019</v>
      </c>
      <c r="G38" s="752">
        <v>2020</v>
      </c>
      <c r="H38" s="783">
        <v>2021</v>
      </c>
      <c r="I38" s="784">
        <v>2022</v>
      </c>
      <c r="J38" s="784">
        <v>2023</v>
      </c>
      <c r="K38" s="784">
        <v>2024</v>
      </c>
      <c r="L38" s="722">
        <v>2025</v>
      </c>
      <c r="N38" s="726"/>
      <c r="O38" s="202"/>
    </row>
    <row r="39" spans="4:40" ht="16.5" customHeight="1" x14ac:dyDescent="0.25">
      <c r="D39" s="746" t="s">
        <v>556</v>
      </c>
      <c r="E39" s="739">
        <v>1683.5</v>
      </c>
      <c r="F39" s="740">
        <v>1717.9</v>
      </c>
      <c r="G39" s="744">
        <v>1609</v>
      </c>
      <c r="H39" s="471">
        <v>2044.377</v>
      </c>
      <c r="I39" s="471">
        <v>2622.5050000000006</v>
      </c>
      <c r="J39" s="471">
        <v>2578.828</v>
      </c>
      <c r="K39" s="471">
        <v>2541.6950000000002</v>
      </c>
      <c r="L39" s="471">
        <v>2539.1210000000001</v>
      </c>
      <c r="M39" s="760" t="s">
        <v>557</v>
      </c>
      <c r="N39" s="711"/>
      <c r="O39" s="677"/>
      <c r="P39" s="708"/>
      <c r="Q39" s="708"/>
      <c r="R39" s="708"/>
      <c r="S39" s="708"/>
      <c r="T39" s="708"/>
      <c r="U39" s="708"/>
      <c r="V39" s="708"/>
      <c r="W39" s="708"/>
      <c r="X39" s="705"/>
      <c r="Y39" s="705"/>
      <c r="Z39" s="709"/>
    </row>
    <row r="40" spans="4:40" ht="16.5" customHeight="1" x14ac:dyDescent="0.25">
      <c r="D40" s="746" t="s">
        <v>558</v>
      </c>
      <c r="E40" s="741">
        <v>1170.7</v>
      </c>
      <c r="F40" s="706">
        <v>1243.4000000000001</v>
      </c>
      <c r="G40" s="785">
        <v>1310</v>
      </c>
      <c r="H40" s="471">
        <v>1314.088</v>
      </c>
      <c r="I40" s="471">
        <v>1464.5929999999998</v>
      </c>
      <c r="J40" s="471">
        <v>1571.68</v>
      </c>
      <c r="K40" s="471">
        <v>1624.982</v>
      </c>
      <c r="L40" s="471">
        <v>1669.0420000000001</v>
      </c>
      <c r="M40" s="705"/>
      <c r="N40" s="705"/>
      <c r="O40" s="677"/>
      <c r="P40" s="708"/>
      <c r="Q40" s="708"/>
      <c r="R40" s="708"/>
      <c r="S40" s="708"/>
      <c r="T40" s="708"/>
      <c r="U40" s="708"/>
      <c r="V40" s="708"/>
      <c r="W40" s="708"/>
      <c r="X40" s="705"/>
      <c r="Y40" s="705"/>
      <c r="Z40" s="709"/>
    </row>
    <row r="41" spans="4:40" x14ac:dyDescent="0.25">
      <c r="D41" s="255" t="s">
        <v>559</v>
      </c>
      <c r="E41" s="452">
        <f t="shared" ref="E41:L41" si="22">E42+E43</f>
        <v>136.30000000000001</v>
      </c>
      <c r="F41" s="440">
        <f t="shared" si="22"/>
        <v>170.6</v>
      </c>
      <c r="G41" s="312">
        <f t="shared" si="22"/>
        <v>156</v>
      </c>
      <c r="H41" s="471">
        <f t="shared" si="22"/>
        <v>155.25900000000001</v>
      </c>
      <c r="I41" s="471">
        <f t="shared" si="22"/>
        <v>182.34899999999999</v>
      </c>
      <c r="J41" s="471">
        <f t="shared" si="22"/>
        <v>189.505</v>
      </c>
      <c r="K41" s="471">
        <f t="shared" si="22"/>
        <v>194.09899999999999</v>
      </c>
      <c r="L41" s="471">
        <f t="shared" si="22"/>
        <v>193.553</v>
      </c>
      <c r="N41" s="145"/>
      <c r="P41" s="712"/>
      <c r="Q41" s="712"/>
      <c r="R41" s="712"/>
      <c r="S41" s="712"/>
      <c r="T41" s="712"/>
      <c r="U41" s="712"/>
      <c r="V41" s="712"/>
      <c r="W41" s="712"/>
    </row>
    <row r="42" spans="4:40" ht="16.5" customHeight="1" x14ac:dyDescent="0.25">
      <c r="D42" s="477" t="s">
        <v>560</v>
      </c>
      <c r="E42" s="741">
        <v>95</v>
      </c>
      <c r="F42" s="706">
        <v>99.8</v>
      </c>
      <c r="G42" s="785">
        <v>87</v>
      </c>
      <c r="H42" s="471">
        <v>75.274000000000001</v>
      </c>
      <c r="I42" s="471">
        <v>87.554999999999993</v>
      </c>
      <c r="J42" s="471">
        <v>90.245999999999995</v>
      </c>
      <c r="K42" s="471">
        <v>93.706000000000003</v>
      </c>
      <c r="L42" s="471">
        <v>92.66</v>
      </c>
      <c r="M42" s="705"/>
      <c r="N42" s="705"/>
      <c r="O42" s="710"/>
      <c r="P42" s="708"/>
      <c r="Q42" s="708"/>
      <c r="R42" s="708"/>
      <c r="S42" s="708"/>
      <c r="T42" s="708"/>
      <c r="U42" s="708"/>
      <c r="V42" s="708"/>
      <c r="W42" s="708"/>
      <c r="X42" s="705"/>
      <c r="Y42" s="705"/>
      <c r="Z42" s="709"/>
    </row>
    <row r="43" spans="4:40" ht="16.5" customHeight="1" x14ac:dyDescent="0.25">
      <c r="D43" s="477" t="s">
        <v>561</v>
      </c>
      <c r="E43" s="741">
        <v>41.3</v>
      </c>
      <c r="F43" s="706">
        <v>70.8</v>
      </c>
      <c r="G43" s="785">
        <v>69</v>
      </c>
      <c r="H43" s="471">
        <v>79.984999999999999</v>
      </c>
      <c r="I43" s="471">
        <v>94.793999999999997</v>
      </c>
      <c r="J43" s="471">
        <v>99.259</v>
      </c>
      <c r="K43" s="471">
        <v>100.393</v>
      </c>
      <c r="L43" s="471">
        <v>100.893</v>
      </c>
      <c r="M43" s="705"/>
      <c r="N43" s="705"/>
      <c r="O43" s="710"/>
      <c r="P43" s="708"/>
      <c r="Q43" s="708"/>
      <c r="R43" s="708"/>
      <c r="S43" s="708"/>
      <c r="T43" s="708"/>
      <c r="U43" s="708"/>
      <c r="V43" s="708"/>
      <c r="W43" s="708"/>
      <c r="X43" s="705"/>
      <c r="Y43" s="705"/>
      <c r="Z43" s="709"/>
    </row>
    <row r="44" spans="4:40" ht="16.5" customHeight="1" x14ac:dyDescent="0.25">
      <c r="D44" s="747" t="s">
        <v>106</v>
      </c>
      <c r="E44" s="742">
        <v>204.7</v>
      </c>
      <c r="F44" s="743">
        <v>230.2</v>
      </c>
      <c r="G44" s="745">
        <v>212</v>
      </c>
      <c r="H44" s="471">
        <v>371.83100000000002</v>
      </c>
      <c r="I44" s="471">
        <v>394.8</v>
      </c>
      <c r="J44" s="471">
        <v>456.12900000000002</v>
      </c>
      <c r="K44" s="471">
        <v>478.02099999999996</v>
      </c>
      <c r="L44" s="471">
        <v>483.15800000000002</v>
      </c>
      <c r="M44" s="650"/>
      <c r="N44" s="650"/>
      <c r="O44" s="675"/>
      <c r="P44" s="706"/>
      <c r="Q44" s="706"/>
      <c r="R44" s="706"/>
      <c r="S44" s="706"/>
      <c r="T44" s="706"/>
      <c r="U44" s="706"/>
      <c r="V44" s="706"/>
      <c r="W44" s="706"/>
      <c r="X44" s="650"/>
      <c r="Y44" s="650"/>
      <c r="Z44" s="678"/>
    </row>
    <row r="45" spans="4:40" ht="16.5" customHeight="1" x14ac:dyDescent="0.25">
      <c r="D45" s="677"/>
      <c r="E45" s="684"/>
      <c r="F45" s="684"/>
      <c r="G45" s="650"/>
      <c r="H45" s="650"/>
      <c r="I45" s="650"/>
      <c r="J45" s="650"/>
      <c r="K45" s="650"/>
      <c r="L45" s="650"/>
      <c r="M45" s="650"/>
      <c r="N45" s="650"/>
      <c r="O45" s="650"/>
      <c r="P45" s="650"/>
      <c r="Q45" s="650"/>
      <c r="R45" s="650"/>
      <c r="S45" s="650"/>
      <c r="T45" s="650"/>
      <c r="U45" s="650"/>
      <c r="V45" s="650"/>
      <c r="W45" s="650"/>
      <c r="X45" s="650"/>
      <c r="Y45" s="650"/>
      <c r="Z45" s="678"/>
    </row>
    <row r="46" spans="4:40" x14ac:dyDescent="0.25">
      <c r="D46" s="694" t="s">
        <v>562</v>
      </c>
      <c r="E46" s="640">
        <v>2018</v>
      </c>
      <c r="F46" s="641">
        <v>2019</v>
      </c>
      <c r="G46" s="642">
        <v>2020</v>
      </c>
      <c r="H46" s="727">
        <v>2021</v>
      </c>
      <c r="I46" s="727">
        <v>2022</v>
      </c>
      <c r="J46" s="727">
        <v>2023</v>
      </c>
      <c r="K46" s="727">
        <v>2024</v>
      </c>
      <c r="L46" s="728">
        <v>2025</v>
      </c>
      <c r="O46" s="257" t="s">
        <v>563</v>
      </c>
    </row>
    <row r="47" spans="4:40" ht="14.65" customHeight="1" x14ac:dyDescent="0.25">
      <c r="D47" s="696" t="s">
        <v>556</v>
      </c>
      <c r="E47" s="226">
        <v>1622</v>
      </c>
      <c r="F47" s="226">
        <v>1687</v>
      </c>
      <c r="G47" s="683">
        <f>G26</f>
        <v>1677.55</v>
      </c>
      <c r="H47" s="683">
        <f t="shared" ref="H47:L47" si="23">H26</f>
        <v>1877.8879999999999</v>
      </c>
      <c r="I47" s="683">
        <f t="shared" si="23"/>
        <v>2408.9346874084385</v>
      </c>
      <c r="J47" s="683">
        <f t="shared" si="23"/>
        <v>2368.8146341227671</v>
      </c>
      <c r="K47" s="683">
        <f t="shared" si="23"/>
        <v>2334.7056536832492</v>
      </c>
      <c r="L47" s="683">
        <f t="shared" si="23"/>
        <v>2332.341273868763</v>
      </c>
    </row>
    <row r="48" spans="4:40" x14ac:dyDescent="0.25">
      <c r="D48" s="696" t="s">
        <v>564</v>
      </c>
      <c r="E48" s="226">
        <v>1332</v>
      </c>
      <c r="F48" s="226">
        <v>1388</v>
      </c>
      <c r="G48" s="683">
        <f t="shared" ref="G48:L48" si="24">G27</f>
        <v>1429.7250000000001</v>
      </c>
      <c r="H48" s="683">
        <f t="shared" si="24"/>
        <v>1529.57</v>
      </c>
      <c r="I48" s="683">
        <f t="shared" si="24"/>
        <v>1704.7545636289196</v>
      </c>
      <c r="J48" s="683">
        <f t="shared" si="24"/>
        <v>1829.4015146626407</v>
      </c>
      <c r="K48" s="683">
        <f t="shared" si="24"/>
        <v>1891.4438894046671</v>
      </c>
      <c r="L48" s="683">
        <f t="shared" si="24"/>
        <v>1942.728776109363</v>
      </c>
      <c r="N48" s="701"/>
    </row>
    <row r="49" spans="4:22" x14ac:dyDescent="0.25">
      <c r="D49" s="696" t="s">
        <v>105</v>
      </c>
      <c r="E49" s="226">
        <v>150</v>
      </c>
      <c r="F49" s="226">
        <v>175</v>
      </c>
      <c r="G49" s="683">
        <f t="shared" ref="G49:L49" si="25">G28</f>
        <v>163.32500000000002</v>
      </c>
      <c r="H49" s="683">
        <f t="shared" si="25"/>
        <v>168.43899999999999</v>
      </c>
      <c r="I49" s="683">
        <f t="shared" si="25"/>
        <v>197.82868117790269</v>
      </c>
      <c r="J49" s="683">
        <f t="shared" si="25"/>
        <v>205.59215694420288</v>
      </c>
      <c r="K49" s="683">
        <f t="shared" si="25"/>
        <v>210.57614348282542</v>
      </c>
      <c r="L49" s="683">
        <f t="shared" si="25"/>
        <v>209.98379331954985</v>
      </c>
      <c r="N49" s="701"/>
    </row>
    <row r="50" spans="4:22" x14ac:dyDescent="0.25">
      <c r="D50" s="695" t="s">
        <v>303</v>
      </c>
      <c r="E50" s="224">
        <v>208</v>
      </c>
      <c r="F50" s="224">
        <v>219</v>
      </c>
      <c r="G50" s="683">
        <f t="shared" ref="G50:L50" si="26">G29</f>
        <v>194.3</v>
      </c>
      <c r="H50" s="683">
        <f t="shared" si="26"/>
        <v>259.06299999999999</v>
      </c>
      <c r="I50" s="683">
        <f t="shared" si="26"/>
        <v>275.06601762628719</v>
      </c>
      <c r="J50" s="683">
        <f t="shared" si="26"/>
        <v>317.79530788718529</v>
      </c>
      <c r="K50" s="683">
        <f t="shared" si="26"/>
        <v>333.04795545019101</v>
      </c>
      <c r="L50" s="683">
        <f t="shared" si="26"/>
        <v>336.62701860253719</v>
      </c>
      <c r="O50" s="1050" t="s">
        <v>1011</v>
      </c>
      <c r="P50" s="1050" t="s">
        <v>1011</v>
      </c>
      <c r="Q50" s="1050" t="s">
        <v>1011</v>
      </c>
      <c r="R50" s="1050" t="s">
        <v>1011</v>
      </c>
      <c r="S50" s="1050" t="s">
        <v>1011</v>
      </c>
      <c r="T50" s="1050" t="s">
        <v>1011</v>
      </c>
      <c r="U50" s="1050" t="s">
        <v>1011</v>
      </c>
      <c r="V50" s="1051" t="s">
        <v>1011</v>
      </c>
    </row>
    <row r="51" spans="4:22" ht="14.45" customHeight="1" x14ac:dyDescent="0.25">
      <c r="D51" s="197"/>
      <c r="E51" s="226"/>
      <c r="F51" s="226"/>
      <c r="G51" s="226"/>
      <c r="O51" s="1052">
        <v>2021</v>
      </c>
      <c r="P51" s="1053">
        <v>2021</v>
      </c>
      <c r="Q51" s="1053">
        <v>2021</v>
      </c>
      <c r="R51" s="1053">
        <v>2021</v>
      </c>
      <c r="S51" s="1052">
        <v>2022</v>
      </c>
      <c r="T51" s="1053">
        <v>2022</v>
      </c>
      <c r="U51" s="1053">
        <v>2022</v>
      </c>
      <c r="V51" s="1054">
        <v>2022</v>
      </c>
    </row>
    <row r="52" spans="4:22" ht="17.25" customHeight="1" x14ac:dyDescent="0.25">
      <c r="D52" s="258" t="s">
        <v>566</v>
      </c>
      <c r="E52" s="226"/>
      <c r="F52" s="226"/>
      <c r="G52" s="226"/>
      <c r="O52" s="797" t="s">
        <v>1012</v>
      </c>
      <c r="P52" s="797" t="s">
        <v>1013</v>
      </c>
      <c r="Q52" s="797" t="s">
        <v>1014</v>
      </c>
      <c r="R52" s="797" t="s">
        <v>1015</v>
      </c>
      <c r="S52" s="797" t="s">
        <v>1016</v>
      </c>
      <c r="T52" s="797" t="s">
        <v>1017</v>
      </c>
      <c r="U52" s="797" t="s">
        <v>1018</v>
      </c>
      <c r="V52" s="797" t="s">
        <v>1019</v>
      </c>
    </row>
    <row r="53" spans="4:22" ht="30" customHeight="1" x14ac:dyDescent="0.25">
      <c r="D53" s="787" t="s">
        <v>567</v>
      </c>
      <c r="E53" s="641">
        <v>2018</v>
      </c>
      <c r="F53" s="641">
        <v>2019</v>
      </c>
      <c r="G53" s="642">
        <v>2020</v>
      </c>
      <c r="H53" s="736">
        <v>2021</v>
      </c>
      <c r="I53" s="737">
        <v>2022</v>
      </c>
      <c r="J53" s="737">
        <v>2023</v>
      </c>
      <c r="K53" s="737">
        <v>2024</v>
      </c>
      <c r="L53" s="738">
        <v>2025</v>
      </c>
      <c r="N53" s="30" t="s">
        <v>565</v>
      </c>
      <c r="O53" s="794">
        <v>2675.1</v>
      </c>
      <c r="P53" s="795">
        <v>2718.7</v>
      </c>
      <c r="Q53" s="795">
        <v>2755.5</v>
      </c>
      <c r="R53" s="795">
        <v>2790.6</v>
      </c>
      <c r="S53" s="795">
        <v>2973</v>
      </c>
      <c r="T53" s="795">
        <v>3011</v>
      </c>
      <c r="U53" s="795">
        <v>3048</v>
      </c>
      <c r="V53" s="796">
        <v>3089</v>
      </c>
    </row>
    <row r="54" spans="4:22" x14ac:dyDescent="0.25">
      <c r="D54" s="696" t="s">
        <v>556</v>
      </c>
      <c r="E54" s="243">
        <f t="shared" ref="E54:K56" si="27">E47/E39</f>
        <v>0.96346896346896349</v>
      </c>
      <c r="F54" s="243">
        <f t="shared" si="27"/>
        <v>0.98201292275452579</v>
      </c>
      <c r="G54" s="243">
        <f t="shared" si="27"/>
        <v>1.0426041019266625</v>
      </c>
      <c r="H54" s="731">
        <f t="shared" si="27"/>
        <v>0.91856247649039291</v>
      </c>
      <c r="I54" s="732">
        <f t="shared" si="27"/>
        <v>0.91856247649039302</v>
      </c>
      <c r="J54" s="732">
        <f t="shared" si="27"/>
        <v>0.91856247649039291</v>
      </c>
      <c r="K54" s="732">
        <f t="shared" si="27"/>
        <v>0.91856247649039291</v>
      </c>
      <c r="L54" s="773"/>
      <c r="T54" s="202"/>
    </row>
    <row r="55" spans="4:22" x14ac:dyDescent="0.25">
      <c r="D55" s="696" t="s">
        <v>564</v>
      </c>
      <c r="E55" s="243">
        <f t="shared" si="27"/>
        <v>1.1377808148970701</v>
      </c>
      <c r="F55" s="243">
        <f t="shared" si="27"/>
        <v>1.1162940324915553</v>
      </c>
      <c r="G55" s="243">
        <f t="shared" si="27"/>
        <v>1.0913931297709925</v>
      </c>
      <c r="H55" s="733">
        <f t="shared" si="27"/>
        <v>1.1639783637016698</v>
      </c>
      <c r="I55" s="730">
        <f t="shared" si="27"/>
        <v>1.1639783637016698</v>
      </c>
      <c r="J55" s="730">
        <f t="shared" si="27"/>
        <v>1.1639783637016698</v>
      </c>
      <c r="K55" s="730">
        <f t="shared" si="27"/>
        <v>1.1639783637016701</v>
      </c>
      <c r="L55" s="786"/>
    </row>
    <row r="56" spans="4:22" x14ac:dyDescent="0.25">
      <c r="D56" s="696" t="s">
        <v>105</v>
      </c>
      <c r="E56" s="243">
        <f t="shared" si="27"/>
        <v>1.1005135730007336</v>
      </c>
      <c r="F56" s="243">
        <f t="shared" si="27"/>
        <v>1.0257913247362251</v>
      </c>
      <c r="G56" s="243">
        <f t="shared" si="27"/>
        <v>1.0469551282051284</v>
      </c>
      <c r="H56" s="733">
        <f t="shared" si="27"/>
        <v>1.084890408929595</v>
      </c>
      <c r="I56" s="730">
        <f t="shared" si="27"/>
        <v>1.084890408929595</v>
      </c>
      <c r="J56" s="730">
        <f t="shared" si="27"/>
        <v>1.084890408929595</v>
      </c>
      <c r="K56" s="730">
        <f t="shared" si="27"/>
        <v>1.0848904089295948</v>
      </c>
      <c r="L56" s="786"/>
    </row>
    <row r="57" spans="4:22" x14ac:dyDescent="0.25">
      <c r="D57" s="695" t="s">
        <v>303</v>
      </c>
      <c r="E57" s="250">
        <f t="shared" ref="E57:K57" si="28">E50/E44</f>
        <v>1.0161211529066927</v>
      </c>
      <c r="F57" s="250">
        <f t="shared" si="28"/>
        <v>0.95134665508253702</v>
      </c>
      <c r="G57" s="250">
        <f t="shared" si="28"/>
        <v>0.91650943396226425</v>
      </c>
      <c r="H57" s="734">
        <f t="shared" si="28"/>
        <v>0.69672243573021075</v>
      </c>
      <c r="I57" s="735">
        <f t="shared" si="28"/>
        <v>0.69672243573021064</v>
      </c>
      <c r="J57" s="735">
        <f t="shared" si="28"/>
        <v>0.69672243573021064</v>
      </c>
      <c r="K57" s="735">
        <f t="shared" si="28"/>
        <v>0.69672243573021064</v>
      </c>
      <c r="L57" s="729"/>
    </row>
    <row r="59" spans="4:22" x14ac:dyDescent="0.25">
      <c r="D59" s="197"/>
      <c r="E59" s="226"/>
      <c r="F59" s="226"/>
      <c r="G59" s="226"/>
    </row>
    <row r="60" spans="4:22" x14ac:dyDescent="0.25">
      <c r="D60" s="183" t="s">
        <v>568</v>
      </c>
    </row>
    <row r="61" spans="4:22" x14ac:dyDescent="0.25">
      <c r="D61" s="694" t="s">
        <v>569</v>
      </c>
      <c r="E61" s="640">
        <v>2018</v>
      </c>
      <c r="F61" s="752">
        <v>2019</v>
      </c>
      <c r="G61" s="752">
        <v>2020</v>
      </c>
      <c r="H61" s="753">
        <v>2021</v>
      </c>
      <c r="I61" s="754">
        <v>2022</v>
      </c>
      <c r="J61" s="754">
        <v>2023</v>
      </c>
      <c r="K61" s="754">
        <v>2024</v>
      </c>
      <c r="L61" s="755">
        <v>2025</v>
      </c>
    </row>
    <row r="62" spans="4:22" x14ac:dyDescent="0.25">
      <c r="D62" s="761" t="s">
        <v>570</v>
      </c>
      <c r="E62" s="452">
        <v>14016.099999999999</v>
      </c>
      <c r="F62" s="440">
        <v>14604.2</v>
      </c>
      <c r="G62" s="312">
        <v>14711.300000000001</v>
      </c>
      <c r="H62" s="793">
        <v>20725.8</v>
      </c>
      <c r="I62" s="793">
        <v>21293</v>
      </c>
      <c r="J62" s="793">
        <v>22393.200000000001</v>
      </c>
      <c r="K62" s="793">
        <v>23451.7</v>
      </c>
      <c r="L62" s="793">
        <v>24455.1</v>
      </c>
    </row>
    <row r="63" spans="4:22" x14ac:dyDescent="0.25">
      <c r="D63" s="761" t="s">
        <v>571</v>
      </c>
      <c r="E63" s="222">
        <v>8804</v>
      </c>
      <c r="F63" s="226">
        <v>9209</v>
      </c>
      <c r="G63" s="312">
        <v>9300</v>
      </c>
      <c r="H63" s="793">
        <v>10082.5</v>
      </c>
      <c r="I63" s="793">
        <v>11062.4</v>
      </c>
      <c r="J63" s="793">
        <v>11616.3</v>
      </c>
      <c r="K63" s="793">
        <v>12028</v>
      </c>
      <c r="L63" s="793">
        <v>12433.6</v>
      </c>
    </row>
    <row r="64" spans="4:22" x14ac:dyDescent="0.25">
      <c r="D64" s="761" t="s">
        <v>572</v>
      </c>
      <c r="E64" s="222">
        <v>13844</v>
      </c>
      <c r="F64" s="226">
        <v>14403</v>
      </c>
      <c r="G64" s="312">
        <v>14201</v>
      </c>
      <c r="H64" s="793">
        <v>15279.9</v>
      </c>
      <c r="I64" s="793">
        <v>16817.599999999999</v>
      </c>
      <c r="J64" s="793">
        <v>17789.8</v>
      </c>
      <c r="K64" s="793">
        <v>18525.3</v>
      </c>
      <c r="L64" s="793">
        <v>19204.5</v>
      </c>
    </row>
    <row r="65" spans="4:25" x14ac:dyDescent="0.25">
      <c r="D65" s="762" t="s">
        <v>573</v>
      </c>
      <c r="E65" s="724">
        <v>2211</v>
      </c>
      <c r="F65" s="667">
        <v>2243</v>
      </c>
      <c r="G65" s="649">
        <v>2125</v>
      </c>
      <c r="H65" s="793">
        <v>2678.6</v>
      </c>
      <c r="I65" s="793">
        <v>2946.3</v>
      </c>
      <c r="J65" s="793">
        <v>3018.1</v>
      </c>
      <c r="K65" s="793">
        <v>3000.1</v>
      </c>
      <c r="L65" s="793">
        <v>3037.1</v>
      </c>
    </row>
    <row r="67" spans="4:25" x14ac:dyDescent="0.25">
      <c r="D67" s="183" t="s">
        <v>574</v>
      </c>
    </row>
    <row r="68" spans="4:25" x14ac:dyDescent="0.25">
      <c r="D68" s="694" t="s">
        <v>575</v>
      </c>
      <c r="E68" s="601">
        <v>2018</v>
      </c>
      <c r="F68" s="713">
        <v>2019</v>
      </c>
      <c r="G68" s="713">
        <v>2020</v>
      </c>
      <c r="H68" s="748">
        <v>2021</v>
      </c>
      <c r="I68" s="714">
        <v>2022</v>
      </c>
      <c r="J68" s="714">
        <v>2023</v>
      </c>
      <c r="K68" s="714">
        <v>2024</v>
      </c>
      <c r="L68" s="749">
        <v>2025</v>
      </c>
    </row>
    <row r="69" spans="4:25" x14ac:dyDescent="0.25">
      <c r="D69" s="763" t="s">
        <v>556</v>
      </c>
      <c r="E69" s="756">
        <f t="shared" ref="E69:L71" si="29">E39/E62</f>
        <v>0.12011187134794987</v>
      </c>
      <c r="F69" s="757">
        <f t="shared" si="29"/>
        <v>0.11763054463784391</v>
      </c>
      <c r="G69" s="759">
        <f t="shared" si="29"/>
        <v>0.10937170746297063</v>
      </c>
      <c r="H69" s="723">
        <f t="shared" si="29"/>
        <v>9.8639232261239621E-2</v>
      </c>
      <c r="I69" s="723">
        <f t="shared" si="29"/>
        <v>0.12316277649931905</v>
      </c>
      <c r="J69" s="723">
        <f t="shared" si="29"/>
        <v>0.11516120965293035</v>
      </c>
      <c r="K69" s="723">
        <f t="shared" si="29"/>
        <v>0.10837998951035532</v>
      </c>
      <c r="L69" s="751">
        <f t="shared" si="29"/>
        <v>0.10382787230475443</v>
      </c>
    </row>
    <row r="70" spans="4:25" x14ac:dyDescent="0.25">
      <c r="D70" s="763" t="s">
        <v>558</v>
      </c>
      <c r="E70" s="758">
        <f t="shared" si="29"/>
        <v>0.13297364834166289</v>
      </c>
      <c r="F70" s="242">
        <f t="shared" si="29"/>
        <v>0.13502008904332718</v>
      </c>
      <c r="G70" s="788">
        <f t="shared" si="29"/>
        <v>0.14086021505376345</v>
      </c>
      <c r="H70" s="700">
        <f t="shared" si="29"/>
        <v>0.1303335482271262</v>
      </c>
      <c r="I70" s="700">
        <f t="shared" si="29"/>
        <v>0.13239378435059299</v>
      </c>
      <c r="J70" s="700">
        <f t="shared" si="29"/>
        <v>0.13529953599683206</v>
      </c>
      <c r="K70" s="700">
        <f t="shared" si="29"/>
        <v>0.13509993348852678</v>
      </c>
      <c r="L70" s="789">
        <f t="shared" si="29"/>
        <v>0.13423642388367008</v>
      </c>
    </row>
    <row r="71" spans="4:25" x14ac:dyDescent="0.25">
      <c r="D71" s="761" t="s">
        <v>576</v>
      </c>
      <c r="E71" s="758">
        <f t="shared" si="29"/>
        <v>9.8454203987286912E-3</v>
      </c>
      <c r="F71" s="242">
        <f t="shared" si="29"/>
        <v>1.1844754565021176E-2</v>
      </c>
      <c r="G71" s="788">
        <f t="shared" si="29"/>
        <v>1.0985141891416098E-2</v>
      </c>
      <c r="H71" s="700">
        <f t="shared" si="29"/>
        <v>1.016099581803546E-2</v>
      </c>
      <c r="I71" s="700">
        <f t="shared" si="29"/>
        <v>1.0842748073446866E-2</v>
      </c>
      <c r="J71" s="700">
        <f t="shared" si="29"/>
        <v>1.065245252897728E-2</v>
      </c>
      <c r="K71" s="700">
        <f t="shared" si="29"/>
        <v>1.0477509136154341E-2</v>
      </c>
      <c r="L71" s="789">
        <f t="shared" si="29"/>
        <v>1.0078523262776954E-2</v>
      </c>
    </row>
    <row r="72" spans="4:25" x14ac:dyDescent="0.25">
      <c r="D72" s="764" t="s">
        <v>106</v>
      </c>
      <c r="E72" s="259">
        <f t="shared" ref="E72:L72" si="30">E44/E65</f>
        <v>9.258254183627318E-2</v>
      </c>
      <c r="F72" s="260">
        <f t="shared" si="30"/>
        <v>0.10263040570664288</v>
      </c>
      <c r="G72" s="261">
        <f t="shared" si="30"/>
        <v>9.9764705882352936E-2</v>
      </c>
      <c r="H72" s="680">
        <f t="shared" si="30"/>
        <v>0.13881542596878968</v>
      </c>
      <c r="I72" s="680">
        <f t="shared" si="30"/>
        <v>0.13399857448325017</v>
      </c>
      <c r="J72" s="680">
        <f t="shared" si="30"/>
        <v>0.15113117524270236</v>
      </c>
      <c r="K72" s="680">
        <f t="shared" si="30"/>
        <v>0.15933502216592779</v>
      </c>
      <c r="L72" s="681">
        <f t="shared" si="30"/>
        <v>0.15908531164597808</v>
      </c>
    </row>
    <row r="74" spans="4:25" x14ac:dyDescent="0.25">
      <c r="D74" s="183" t="s">
        <v>577</v>
      </c>
    </row>
    <row r="75" spans="4:25" x14ac:dyDescent="0.25">
      <c r="D75" s="775" t="s">
        <v>400</v>
      </c>
    </row>
    <row r="76" spans="4:25" x14ac:dyDescent="0.25">
      <c r="D76" s="694" t="s">
        <v>578</v>
      </c>
      <c r="E76" s="641">
        <v>2018</v>
      </c>
      <c r="F76" s="752">
        <v>2019</v>
      </c>
      <c r="G76" s="752">
        <v>2020</v>
      </c>
      <c r="H76" s="753">
        <v>2021</v>
      </c>
      <c r="I76" s="754">
        <v>2022</v>
      </c>
      <c r="J76" s="754">
        <v>2023</v>
      </c>
      <c r="K76" s="754">
        <v>2024</v>
      </c>
      <c r="L76" s="755">
        <v>2025</v>
      </c>
    </row>
    <row r="77" spans="4:25" ht="20.25" customHeight="1" x14ac:dyDescent="0.25">
      <c r="D77" s="697" t="s">
        <v>556</v>
      </c>
      <c r="E77" s="756">
        <f t="shared" ref="E77:G80" si="31">E69*E54</f>
        <v>0.11572406018792676</v>
      </c>
      <c r="F77" s="757">
        <f t="shared" si="31"/>
        <v>0.11551471494501581</v>
      </c>
      <c r="G77" s="757">
        <f t="shared" si="31"/>
        <v>0.11403139083561616</v>
      </c>
      <c r="H77" s="750">
        <f>N95</f>
        <v>0.12406841900584607</v>
      </c>
      <c r="I77" s="723">
        <f>H77</f>
        <v>0.12406841900584607</v>
      </c>
      <c r="J77" s="723">
        <f t="shared" ref="J77:L77" si="32">I77</f>
        <v>0.12406841900584607</v>
      </c>
      <c r="K77" s="723">
        <f t="shared" si="32"/>
        <v>0.12406841900584607</v>
      </c>
      <c r="L77" s="751">
        <f t="shared" si="32"/>
        <v>0.12406841900584607</v>
      </c>
      <c r="M77" s="766"/>
      <c r="N77" s="765"/>
      <c r="O77" s="242"/>
      <c r="P77" s="242"/>
      <c r="Q77" s="242"/>
      <c r="R77" s="242"/>
      <c r="S77" s="242"/>
      <c r="T77" s="242"/>
      <c r="U77" s="242"/>
      <c r="V77" s="242"/>
      <c r="W77" s="242"/>
      <c r="X77" s="242"/>
      <c r="Y77" s="242"/>
    </row>
    <row r="78" spans="4:25" ht="18.75" customHeight="1" x14ac:dyDescent="0.25">
      <c r="D78" s="697" t="s">
        <v>558</v>
      </c>
      <c r="E78" s="758">
        <f t="shared" si="31"/>
        <v>0.15129486597001363</v>
      </c>
      <c r="F78" s="242">
        <f t="shared" si="31"/>
        <v>0.15072211966554458</v>
      </c>
      <c r="G78" s="242">
        <f t="shared" si="31"/>
        <v>0.15373387096774196</v>
      </c>
      <c r="H78" s="699">
        <f>N96</f>
        <v>0.15268276884121268</v>
      </c>
      <c r="I78" s="700">
        <f>H78</f>
        <v>0.15268276884121268</v>
      </c>
      <c r="J78" s="700">
        <f>I78</f>
        <v>0.15268276884121268</v>
      </c>
      <c r="K78" s="700">
        <f t="shared" ref="K78:L78" si="33">J78</f>
        <v>0.15268276884121268</v>
      </c>
      <c r="L78" s="789">
        <f t="shared" si="33"/>
        <v>0.15268276884121268</v>
      </c>
      <c r="M78" s="766"/>
      <c r="N78" s="765"/>
      <c r="O78" s="242"/>
      <c r="P78" s="242"/>
      <c r="Q78" s="242"/>
      <c r="R78" s="242"/>
      <c r="S78" s="242"/>
      <c r="T78" s="242"/>
      <c r="U78" s="242"/>
      <c r="V78" s="242"/>
      <c r="W78" s="242"/>
      <c r="X78" s="242"/>
      <c r="Y78" s="242"/>
    </row>
    <row r="79" spans="4:25" ht="19.149999999999999" customHeight="1" x14ac:dyDescent="0.25">
      <c r="D79" s="696" t="s">
        <v>105</v>
      </c>
      <c r="E79" s="758">
        <f t="shared" si="31"/>
        <v>1.0835018780699219E-2</v>
      </c>
      <c r="F79" s="242">
        <f t="shared" si="31"/>
        <v>1.2150246476428523E-2</v>
      </c>
      <c r="G79" s="242">
        <f t="shared" si="31"/>
        <v>1.1500950637279067E-2</v>
      </c>
      <c r="H79" s="699">
        <f>N97</f>
        <v>1.1338056460715356E-2</v>
      </c>
      <c r="I79" s="700">
        <f>AVERAGE($F56:$G56)*I71</f>
        <v>1.1237133804686841E-2</v>
      </c>
      <c r="J79" s="700">
        <f>AVERAGE($F56:$G56)*J71</f>
        <v>1.1039916597281903E-2</v>
      </c>
      <c r="K79" s="700">
        <f>J79</f>
        <v>1.1039916597281903E-2</v>
      </c>
      <c r="L79" s="789">
        <f>K79</f>
        <v>1.1039916597281903E-2</v>
      </c>
      <c r="M79" s="766"/>
      <c r="N79" s="765"/>
      <c r="O79" s="242"/>
      <c r="P79" s="242"/>
      <c r="Q79" s="242"/>
      <c r="R79" s="242"/>
      <c r="S79" s="242"/>
      <c r="T79" s="242"/>
      <c r="U79" s="242"/>
      <c r="V79" s="242"/>
      <c r="W79" s="242"/>
      <c r="X79" s="242"/>
      <c r="Y79" s="242"/>
    </row>
    <row r="80" spans="4:25" ht="19.149999999999999" customHeight="1" x14ac:dyDescent="0.25">
      <c r="D80" s="698" t="s">
        <v>106</v>
      </c>
      <c r="E80" s="259">
        <f t="shared" si="31"/>
        <v>9.4075079149706017E-2</v>
      </c>
      <c r="F80" s="260">
        <f t="shared" si="31"/>
        <v>9.7637093178778417E-2</v>
      </c>
      <c r="G80" s="260">
        <f t="shared" si="31"/>
        <v>9.1435294117647059E-2</v>
      </c>
      <c r="H80" s="679">
        <f>M98</f>
        <v>0.11817745803357314</v>
      </c>
      <c r="I80" s="680">
        <f>N98</f>
        <v>0.11661721068249259</v>
      </c>
      <c r="J80" s="680">
        <f>I80</f>
        <v>0.11661721068249259</v>
      </c>
      <c r="K80" s="680">
        <f>J80</f>
        <v>0.11661721068249259</v>
      </c>
      <c r="L80" s="681">
        <f>K80</f>
        <v>0.11661721068249259</v>
      </c>
      <c r="M80" s="766"/>
      <c r="N80" s="765"/>
      <c r="O80" s="242"/>
      <c r="P80" s="242"/>
      <c r="Q80" s="242"/>
      <c r="R80" s="242"/>
      <c r="S80" s="242"/>
      <c r="T80" s="242"/>
      <c r="U80" s="242"/>
      <c r="V80" s="242"/>
      <c r="W80" s="242"/>
      <c r="X80" s="242"/>
      <c r="Y80" s="242"/>
    </row>
    <row r="81" spans="4:32" x14ac:dyDescent="0.25">
      <c r="E81" s="671"/>
      <c r="F81" s="671"/>
      <c r="G81" s="671"/>
      <c r="H81" s="671"/>
      <c r="I81" s="671"/>
      <c r="J81" s="671"/>
      <c r="K81" s="671"/>
      <c r="L81" s="671"/>
    </row>
    <row r="82" spans="4:32" x14ac:dyDescent="0.25">
      <c r="D82" s="774" t="s">
        <v>413</v>
      </c>
      <c r="E82" s="242"/>
      <c r="F82" s="242"/>
      <c r="G82" s="242"/>
      <c r="H82" s="242"/>
      <c r="I82" s="242"/>
      <c r="J82" s="242"/>
      <c r="K82" s="242"/>
      <c r="L82" s="242"/>
      <c r="M82" s="242"/>
      <c r="N82" s="242"/>
      <c r="O82" s="242"/>
      <c r="P82" s="242"/>
      <c r="Q82" s="242"/>
      <c r="R82" s="242"/>
      <c r="S82" s="242"/>
      <c r="T82" s="242"/>
      <c r="U82" s="242"/>
      <c r="V82" s="242"/>
      <c r="W82" s="242"/>
      <c r="X82" s="242"/>
      <c r="Y82" s="242"/>
    </row>
    <row r="83" spans="4:32" ht="14.65" customHeight="1" x14ac:dyDescent="0.25">
      <c r="D83" s="1031" t="s">
        <v>996</v>
      </c>
      <c r="E83" s="1035"/>
      <c r="F83" s="932">
        <v>2019</v>
      </c>
      <c r="G83" s="933"/>
      <c r="H83" s="934"/>
      <c r="I83" s="932">
        <v>2020</v>
      </c>
      <c r="J83" s="933"/>
      <c r="K83" s="933"/>
      <c r="L83" s="934"/>
      <c r="M83" s="932">
        <v>2021</v>
      </c>
      <c r="N83" s="933"/>
      <c r="O83" s="933"/>
      <c r="P83" s="934"/>
      <c r="Q83" s="939">
        <v>2022</v>
      </c>
      <c r="R83" s="940"/>
      <c r="S83" s="940"/>
      <c r="T83" s="941"/>
      <c r="U83" s="939">
        <v>2023</v>
      </c>
      <c r="V83" s="940"/>
      <c r="W83" s="940"/>
      <c r="X83" s="941"/>
      <c r="Y83" s="939">
        <v>2024</v>
      </c>
      <c r="Z83" s="940"/>
      <c r="AA83" s="940"/>
      <c r="AB83" s="940"/>
      <c r="AC83" s="185">
        <v>2025</v>
      </c>
    </row>
    <row r="84" spans="4:32" x14ac:dyDescent="0.25">
      <c r="D84" s="1036"/>
      <c r="E84" s="1037"/>
      <c r="F84" s="251" t="s">
        <v>329</v>
      </c>
      <c r="G84" s="253" t="s">
        <v>238</v>
      </c>
      <c r="H84" s="184" t="s">
        <v>327</v>
      </c>
      <c r="I84" s="251" t="s">
        <v>328</v>
      </c>
      <c r="J84" s="253" t="s">
        <v>329</v>
      </c>
      <c r="K84" s="253" t="s">
        <v>238</v>
      </c>
      <c r="L84" s="184" t="s">
        <v>327</v>
      </c>
      <c r="M84" s="180" t="s">
        <v>328</v>
      </c>
      <c r="N84" s="177" t="s">
        <v>329</v>
      </c>
      <c r="O84" s="177" t="s">
        <v>238</v>
      </c>
      <c r="P84" s="177" t="s">
        <v>327</v>
      </c>
      <c r="Q84" s="668" t="s">
        <v>328</v>
      </c>
      <c r="R84" s="205" t="s">
        <v>329</v>
      </c>
      <c r="S84" s="205" t="s">
        <v>238</v>
      </c>
      <c r="T84" s="205" t="s">
        <v>327</v>
      </c>
      <c r="U84" s="204" t="s">
        <v>328</v>
      </c>
      <c r="V84" s="205" t="s">
        <v>329</v>
      </c>
      <c r="W84" s="205" t="s">
        <v>238</v>
      </c>
      <c r="X84" s="206" t="s">
        <v>327</v>
      </c>
      <c r="Y84" s="204" t="s">
        <v>328</v>
      </c>
      <c r="Z84" s="199" t="s">
        <v>329</v>
      </c>
      <c r="AA84" s="205" t="s">
        <v>238</v>
      </c>
      <c r="AB84" s="205" t="s">
        <v>327</v>
      </c>
      <c r="AC84" s="208" t="s">
        <v>328</v>
      </c>
    </row>
    <row r="85" spans="4:32" x14ac:dyDescent="0.25">
      <c r="D85" s="790" t="s">
        <v>570</v>
      </c>
      <c r="E85" s="715"/>
      <c r="F85" s="328">
        <f>F86+F87</f>
        <v>14660.3</v>
      </c>
      <c r="G85" s="329">
        <f t="shared" ref="G85:AC85" si="34">G86+G87</f>
        <v>14748</v>
      </c>
      <c r="H85" s="329">
        <f t="shared" si="34"/>
        <v>14896.1</v>
      </c>
      <c r="I85" s="329">
        <f t="shared" si="34"/>
        <v>15018.7</v>
      </c>
      <c r="J85" s="329">
        <f t="shared" si="34"/>
        <v>14127</v>
      </c>
      <c r="K85" s="329">
        <f t="shared" si="34"/>
        <v>14803.099999999999</v>
      </c>
      <c r="L85" s="329">
        <f t="shared" si="34"/>
        <v>15014.2</v>
      </c>
      <c r="M85" s="329">
        <f t="shared" si="34"/>
        <v>15152.900000000001</v>
      </c>
      <c r="N85" s="329">
        <f t="shared" si="34"/>
        <v>15654.4</v>
      </c>
      <c r="O85" s="329">
        <f t="shared" si="34"/>
        <v>15799.3</v>
      </c>
      <c r="P85" s="329">
        <f t="shared" si="34"/>
        <v>15983.8</v>
      </c>
      <c r="Q85" s="312">
        <f>Q86+Q87</f>
        <v>16571.400000000001</v>
      </c>
      <c r="R85" s="768">
        <f t="shared" si="34"/>
        <v>16848</v>
      </c>
      <c r="S85" s="768">
        <f t="shared" si="34"/>
        <v>17094.3</v>
      </c>
      <c r="T85" s="768">
        <f t="shared" si="34"/>
        <v>17315.8</v>
      </c>
      <c r="U85" s="768">
        <f t="shared" si="34"/>
        <v>17535.5</v>
      </c>
      <c r="V85" s="768">
        <f t="shared" si="34"/>
        <v>17756.5</v>
      </c>
      <c r="W85" s="768">
        <f t="shared" si="34"/>
        <v>17973.8</v>
      </c>
      <c r="X85" s="768">
        <f t="shared" si="34"/>
        <v>18172.2</v>
      </c>
      <c r="Y85" s="768">
        <f t="shared" si="34"/>
        <v>18369</v>
      </c>
      <c r="Z85" s="768">
        <f t="shared" si="34"/>
        <v>18550.099999999999</v>
      </c>
      <c r="AA85" s="768">
        <f t="shared" si="34"/>
        <v>18735.8</v>
      </c>
      <c r="AB85" s="768">
        <f t="shared" si="34"/>
        <v>18924.199999999997</v>
      </c>
      <c r="AC85" s="769">
        <f t="shared" si="34"/>
        <v>19105.7</v>
      </c>
    </row>
    <row r="86" spans="4:32" ht="27.6" customHeight="1" x14ac:dyDescent="0.25">
      <c r="D86" s="217" t="s">
        <v>571</v>
      </c>
      <c r="E86" s="518"/>
      <c r="F86" s="452">
        <v>9274.9</v>
      </c>
      <c r="G86" s="440">
        <v>9311.2999999999993</v>
      </c>
      <c r="H86" s="440">
        <v>9422.5</v>
      </c>
      <c r="I86" s="440">
        <v>9526.1</v>
      </c>
      <c r="J86" s="440">
        <v>8908.7999999999993</v>
      </c>
      <c r="K86" s="440">
        <v>9343.2999999999993</v>
      </c>
      <c r="L86" s="440">
        <v>9546</v>
      </c>
      <c r="M86" s="440">
        <v>9702.2000000000007</v>
      </c>
      <c r="N86" s="440">
        <v>9950.4</v>
      </c>
      <c r="O86" s="440">
        <v>10175.1</v>
      </c>
      <c r="P86" s="440">
        <v>10336.6</v>
      </c>
      <c r="Q86" s="471">
        <v>10995.9</v>
      </c>
      <c r="R86" s="471">
        <v>11172.6</v>
      </c>
      <c r="S86" s="471">
        <v>11320.4</v>
      </c>
      <c r="T86" s="471">
        <v>11443.5</v>
      </c>
      <c r="U86" s="471">
        <v>11560.2</v>
      </c>
      <c r="V86" s="471">
        <v>11675.6</v>
      </c>
      <c r="W86" s="471">
        <v>11786</v>
      </c>
      <c r="X86" s="471">
        <v>11879</v>
      </c>
      <c r="Y86" s="471">
        <v>11978</v>
      </c>
      <c r="Z86" s="471">
        <v>12076.9</v>
      </c>
      <c r="AA86" s="471">
        <v>12178.3</v>
      </c>
      <c r="AB86" s="471">
        <v>12278.8</v>
      </c>
      <c r="AC86" s="471">
        <v>12377.5</v>
      </c>
    </row>
    <row r="87" spans="4:32" ht="27.6" customHeight="1" x14ac:dyDescent="0.25">
      <c r="D87" s="217" t="s">
        <v>995</v>
      </c>
      <c r="E87" s="518"/>
      <c r="F87" s="452">
        <v>5385.4</v>
      </c>
      <c r="G87" s="440">
        <v>5436.7</v>
      </c>
      <c r="H87" s="440">
        <v>5473.6</v>
      </c>
      <c r="I87" s="440">
        <v>5492.6</v>
      </c>
      <c r="J87" s="440">
        <v>5218.2</v>
      </c>
      <c r="K87" s="440">
        <v>5459.8</v>
      </c>
      <c r="L87" s="440">
        <v>5468.2</v>
      </c>
      <c r="M87" s="440">
        <v>5450.7</v>
      </c>
      <c r="N87" s="440">
        <v>5704</v>
      </c>
      <c r="O87" s="440">
        <v>5624.2</v>
      </c>
      <c r="P87" s="440">
        <v>5647.2</v>
      </c>
      <c r="Q87" s="471">
        <v>5575.5</v>
      </c>
      <c r="R87" s="471">
        <v>5675.4</v>
      </c>
      <c r="S87" s="471">
        <v>5773.9</v>
      </c>
      <c r="T87" s="471">
        <v>5872.3</v>
      </c>
      <c r="U87" s="471">
        <v>5975.3</v>
      </c>
      <c r="V87" s="471">
        <v>6080.9</v>
      </c>
      <c r="W87" s="471">
        <v>6187.8</v>
      </c>
      <c r="X87" s="471">
        <v>6293.2</v>
      </c>
      <c r="Y87" s="471">
        <v>6391</v>
      </c>
      <c r="Z87" s="471">
        <v>6473.2</v>
      </c>
      <c r="AA87" s="471">
        <v>6557.5</v>
      </c>
      <c r="AB87" s="471">
        <v>6645.4</v>
      </c>
      <c r="AC87" s="471">
        <v>6728.2</v>
      </c>
    </row>
    <row r="88" spans="4:32" x14ac:dyDescent="0.25">
      <c r="D88" s="222" t="s">
        <v>572</v>
      </c>
      <c r="E88" s="518"/>
      <c r="F88" s="526"/>
      <c r="G88" s="518"/>
      <c r="H88" s="440"/>
      <c r="I88" s="440"/>
      <c r="J88" s="440"/>
      <c r="K88" s="440"/>
      <c r="L88" s="440"/>
      <c r="M88" s="440">
        <v>15041</v>
      </c>
      <c r="N88" s="440">
        <v>15551</v>
      </c>
      <c r="O88" s="440">
        <v>15824</v>
      </c>
      <c r="P88" s="440">
        <v>16056</v>
      </c>
      <c r="Q88" s="471">
        <v>16690.7</v>
      </c>
      <c r="R88" s="471">
        <v>16993</v>
      </c>
      <c r="S88" s="471">
        <v>17251.3</v>
      </c>
      <c r="T88" s="471">
        <v>17488.099999999999</v>
      </c>
      <c r="U88" s="471">
        <v>17692.3</v>
      </c>
      <c r="V88" s="471">
        <v>17892.599999999999</v>
      </c>
      <c r="W88" s="471">
        <v>18086.3</v>
      </c>
      <c r="X88" s="471">
        <v>18268.2</v>
      </c>
      <c r="Y88" s="471">
        <v>18446.3</v>
      </c>
      <c r="Z88" s="471">
        <v>18612.400000000001</v>
      </c>
      <c r="AA88" s="471">
        <v>18774.5</v>
      </c>
      <c r="AB88" s="471">
        <v>18946.900000000001</v>
      </c>
      <c r="AC88" s="471">
        <v>19117.900000000001</v>
      </c>
    </row>
    <row r="89" spans="4:32" x14ac:dyDescent="0.25">
      <c r="D89" s="223" t="s">
        <v>579</v>
      </c>
      <c r="E89" s="520"/>
      <c r="F89" s="798"/>
      <c r="G89" s="520"/>
      <c r="H89" s="667"/>
      <c r="I89" s="667"/>
      <c r="J89" s="667"/>
      <c r="K89" s="667"/>
      <c r="L89" s="667"/>
      <c r="M89" s="667">
        <v>1874</v>
      </c>
      <c r="N89" s="667">
        <v>2307</v>
      </c>
      <c r="O89" s="667">
        <v>2443</v>
      </c>
      <c r="P89" s="667">
        <v>2460</v>
      </c>
      <c r="Q89" s="471">
        <v>2329.5</v>
      </c>
      <c r="R89" s="471">
        <v>2420.1999999999998</v>
      </c>
      <c r="S89" s="471">
        <v>2468.6999999999998</v>
      </c>
      <c r="T89" s="471">
        <v>2486.6999999999998</v>
      </c>
      <c r="U89" s="471">
        <v>2482.1999999999998</v>
      </c>
      <c r="V89" s="471">
        <v>2468.8000000000002</v>
      </c>
      <c r="W89" s="471">
        <v>2453.8000000000002</v>
      </c>
      <c r="X89" s="471">
        <v>2440.6999999999998</v>
      </c>
      <c r="Y89" s="471">
        <v>2429.4</v>
      </c>
      <c r="Z89" s="471">
        <v>2426.5</v>
      </c>
      <c r="AA89" s="471">
        <v>2418</v>
      </c>
      <c r="AB89" s="471">
        <v>2431.3000000000002</v>
      </c>
      <c r="AC89" s="471">
        <v>2440.1</v>
      </c>
    </row>
    <row r="90" spans="4:32" x14ac:dyDescent="0.25">
      <c r="D90" s="792"/>
      <c r="E90" s="527"/>
      <c r="F90" s="527"/>
      <c r="G90" s="527"/>
      <c r="H90" s="440"/>
      <c r="I90" s="440"/>
      <c r="J90" s="440"/>
      <c r="K90" s="440"/>
      <c r="L90" s="440"/>
      <c r="M90" s="440"/>
      <c r="N90" s="440"/>
      <c r="O90" s="440"/>
      <c r="P90" s="440"/>
      <c r="Q90" s="440"/>
      <c r="R90" s="440"/>
      <c r="S90" s="440"/>
      <c r="T90" s="440"/>
      <c r="U90" s="440"/>
      <c r="V90" s="440"/>
      <c r="W90" s="440"/>
      <c r="X90" s="440"/>
      <c r="Y90" s="440"/>
      <c r="Z90" s="440"/>
      <c r="AA90" s="440"/>
      <c r="AB90" s="440"/>
      <c r="AC90" s="440"/>
    </row>
    <row r="91" spans="4:32" x14ac:dyDescent="0.25">
      <c r="D91" s="257"/>
    </row>
    <row r="92" spans="4:32" ht="14.65" customHeight="1" x14ac:dyDescent="0.25">
      <c r="D92" s="1031" t="s">
        <v>580</v>
      </c>
      <c r="E92" s="1035"/>
      <c r="F92" s="932">
        <v>2019</v>
      </c>
      <c r="G92" s="933"/>
      <c r="H92" s="934"/>
      <c r="I92" s="933">
        <v>2020</v>
      </c>
      <c r="J92" s="933"/>
      <c r="K92" s="933"/>
      <c r="L92" s="934"/>
      <c r="M92" s="932">
        <v>2021</v>
      </c>
      <c r="N92" s="933"/>
      <c r="O92" s="933"/>
      <c r="P92" s="934"/>
      <c r="Q92" s="939">
        <v>2022</v>
      </c>
      <c r="R92" s="940"/>
      <c r="S92" s="940"/>
      <c r="T92" s="941"/>
      <c r="U92" s="939">
        <v>2023</v>
      </c>
      <c r="V92" s="940"/>
      <c r="W92" s="940"/>
      <c r="X92" s="941"/>
      <c r="Y92" s="939">
        <v>2024</v>
      </c>
      <c r="Z92" s="940"/>
      <c r="AA92" s="940"/>
      <c r="AB92" s="940"/>
      <c r="AC92" s="185">
        <v>2025</v>
      </c>
      <c r="AD92" s="707"/>
      <c r="AE92" s="707"/>
      <c r="AF92" s="707"/>
    </row>
    <row r="93" spans="4:32" x14ac:dyDescent="0.25">
      <c r="D93" s="1046"/>
      <c r="E93" s="1047"/>
      <c r="F93" s="251" t="s">
        <v>329</v>
      </c>
      <c r="G93" s="253" t="s">
        <v>238</v>
      </c>
      <c r="H93" s="184" t="s">
        <v>327</v>
      </c>
      <c r="I93" s="253" t="s">
        <v>328</v>
      </c>
      <c r="J93" s="253" t="s">
        <v>329</v>
      </c>
      <c r="K93" s="253" t="s">
        <v>238</v>
      </c>
      <c r="L93" s="184" t="s">
        <v>327</v>
      </c>
      <c r="M93" s="180" t="s">
        <v>328</v>
      </c>
      <c r="N93" s="177" t="s">
        <v>329</v>
      </c>
      <c r="O93" s="177" t="s">
        <v>238</v>
      </c>
      <c r="P93" s="179" t="s">
        <v>327</v>
      </c>
      <c r="Q93" s="177" t="s">
        <v>328</v>
      </c>
      <c r="R93" s="205" t="s">
        <v>329</v>
      </c>
      <c r="S93" s="205" t="s">
        <v>238</v>
      </c>
      <c r="T93" s="205" t="s">
        <v>327</v>
      </c>
      <c r="U93" s="204" t="s">
        <v>328</v>
      </c>
      <c r="V93" s="205" t="s">
        <v>329</v>
      </c>
      <c r="W93" s="205" t="s">
        <v>238</v>
      </c>
      <c r="X93" s="206" t="s">
        <v>327</v>
      </c>
      <c r="Y93" s="204" t="s">
        <v>328</v>
      </c>
      <c r="Z93" s="199" t="s">
        <v>329</v>
      </c>
      <c r="AA93" s="205" t="s">
        <v>238</v>
      </c>
      <c r="AB93" s="205" t="s">
        <v>327</v>
      </c>
      <c r="AC93" s="208" t="s">
        <v>328</v>
      </c>
    </row>
    <row r="94" spans="4:32" x14ac:dyDescent="0.25">
      <c r="D94" s="1048" t="s">
        <v>581</v>
      </c>
      <c r="E94" s="1049"/>
      <c r="F94" s="228"/>
      <c r="G94" s="221"/>
      <c r="H94" s="221"/>
      <c r="I94" s="221"/>
      <c r="J94" s="221"/>
      <c r="K94" s="221"/>
      <c r="L94" s="221"/>
      <c r="M94" s="221"/>
      <c r="N94" s="221"/>
      <c r="O94" s="221"/>
      <c r="P94" s="221"/>
      <c r="Q94" s="182"/>
      <c r="R94" s="234"/>
      <c r="S94" s="234"/>
      <c r="T94" s="234"/>
      <c r="U94" s="234"/>
      <c r="V94" s="234"/>
      <c r="W94" s="234"/>
      <c r="X94" s="234"/>
      <c r="Y94" s="234"/>
      <c r="Z94" s="234"/>
      <c r="AA94" s="234"/>
      <c r="AB94" s="234"/>
      <c r="AC94" s="235"/>
    </row>
    <row r="95" spans="4:32" x14ac:dyDescent="0.25">
      <c r="D95" s="477" t="s">
        <v>547</v>
      </c>
      <c r="F95" s="758"/>
      <c r="G95" s="242"/>
      <c r="H95" s="242">
        <f t="shared" ref="H95:Q95" si="35">H10/H100</f>
        <v>0.11691183930201886</v>
      </c>
      <c r="I95" s="242">
        <f t="shared" si="35"/>
        <v>0.11632374399271765</v>
      </c>
      <c r="J95" s="242">
        <f t="shared" si="35"/>
        <v>0.11234318837285294</v>
      </c>
      <c r="K95" s="242">
        <f t="shared" si="35"/>
        <v>0.11273203252694187</v>
      </c>
      <c r="L95" s="242">
        <f t="shared" si="35"/>
        <v>0.11471728519817445</v>
      </c>
      <c r="M95" s="242">
        <f t="shared" si="35"/>
        <v>0.12169301738753303</v>
      </c>
      <c r="N95" s="242">
        <f t="shared" si="35"/>
        <v>0.12406841900584607</v>
      </c>
      <c r="O95" s="242">
        <f t="shared" si="35"/>
        <v>0.12694533120510773</v>
      </c>
      <c r="P95" s="242">
        <f t="shared" si="35"/>
        <v>0.12939844544132059</v>
      </c>
      <c r="Q95" s="788">
        <f t="shared" si="35"/>
        <v>0.13980789116622139</v>
      </c>
      <c r="R95" s="360"/>
      <c r="S95" s="360"/>
      <c r="T95" s="360"/>
      <c r="U95" s="360"/>
      <c r="V95" s="360"/>
      <c r="W95" s="360"/>
      <c r="X95" s="360"/>
      <c r="Y95" s="360"/>
      <c r="Z95" s="360"/>
      <c r="AA95" s="360"/>
      <c r="AB95" s="360"/>
      <c r="AC95" s="383"/>
    </row>
    <row r="96" spans="4:32" x14ac:dyDescent="0.25">
      <c r="D96" s="477" t="s">
        <v>548</v>
      </c>
      <c r="F96" s="758"/>
      <c r="G96" s="242"/>
      <c r="H96" s="242">
        <f t="shared" ref="H96:Q96" si="36">H11/H105</f>
        <v>0.15050223685321179</v>
      </c>
      <c r="I96" s="242">
        <f t="shared" si="36"/>
        <v>0.15157126064930876</v>
      </c>
      <c r="J96" s="242">
        <f t="shared" si="36"/>
        <v>0.15486484381085924</v>
      </c>
      <c r="K96" s="242">
        <f t="shared" si="36"/>
        <v>0.15330544288475015</v>
      </c>
      <c r="L96" s="242">
        <f t="shared" si="36"/>
        <v>0.15177048544085955</v>
      </c>
      <c r="M96" s="242">
        <f t="shared" si="36"/>
        <v>0.15350775174199291</v>
      </c>
      <c r="N96" s="242">
        <f t="shared" si="36"/>
        <v>0.15268276884121268</v>
      </c>
      <c r="O96" s="242">
        <f t="shared" si="36"/>
        <v>0.1518881225469649</v>
      </c>
      <c r="P96" s="242">
        <f t="shared" si="36"/>
        <v>0.1512299544187935</v>
      </c>
      <c r="Q96" s="788">
        <f t="shared" si="36"/>
        <v>0.15158479105271222</v>
      </c>
      <c r="R96" s="360"/>
      <c r="S96" s="360"/>
      <c r="T96" s="360"/>
      <c r="U96" s="360"/>
      <c r="V96" s="360"/>
      <c r="W96" s="360"/>
      <c r="X96" s="360"/>
      <c r="Y96" s="360"/>
      <c r="Z96" s="360"/>
      <c r="AA96" s="360"/>
      <c r="AB96" s="360"/>
      <c r="AC96" s="383"/>
    </row>
    <row r="97" spans="4:30" x14ac:dyDescent="0.25">
      <c r="D97" s="477" t="s">
        <v>549</v>
      </c>
      <c r="F97" s="758"/>
      <c r="G97" s="242"/>
      <c r="H97" s="242">
        <f t="shared" ref="H97:Q97" si="37">H12/H106</f>
        <v>1.2140112870976327E-2</v>
      </c>
      <c r="I97" s="242">
        <f t="shared" si="37"/>
        <v>1.2867838023145487E-2</v>
      </c>
      <c r="J97" s="242">
        <f t="shared" si="37"/>
        <v>1.0646897156978221E-2</v>
      </c>
      <c r="K97" s="242">
        <f t="shared" si="37"/>
        <v>1.0585008884971108E-2</v>
      </c>
      <c r="L97" s="242">
        <f t="shared" si="37"/>
        <v>1.0824186458016532E-2</v>
      </c>
      <c r="M97" s="242">
        <f t="shared" si="37"/>
        <v>1.1076012635451236E-2</v>
      </c>
      <c r="N97" s="242">
        <f t="shared" si="37"/>
        <v>1.1338056460715356E-2</v>
      </c>
      <c r="O97" s="242">
        <f t="shared" si="37"/>
        <v>1.083000833077564E-2</v>
      </c>
      <c r="P97" s="242">
        <f t="shared" si="37"/>
        <v>1.0929129224847066E-2</v>
      </c>
      <c r="Q97" s="788">
        <f t="shared" si="37"/>
        <v>1.1555231254149296E-2</v>
      </c>
      <c r="R97" s="360"/>
      <c r="S97" s="360"/>
      <c r="T97" s="360"/>
      <c r="U97" s="360"/>
      <c r="V97" s="360"/>
      <c r="W97" s="360"/>
      <c r="X97" s="360"/>
      <c r="Y97" s="360"/>
      <c r="Z97" s="360"/>
      <c r="AA97" s="360"/>
      <c r="AB97" s="360"/>
      <c r="AC97" s="383"/>
    </row>
    <row r="98" spans="4:30" x14ac:dyDescent="0.25">
      <c r="D98" s="416" t="s">
        <v>550</v>
      </c>
      <c r="F98" s="758"/>
      <c r="G98" s="242"/>
      <c r="H98" s="242">
        <f t="shared" ref="H98:Q98" si="38">H13/H107</f>
        <v>0.12172540768016833</v>
      </c>
      <c r="I98" s="242">
        <f t="shared" si="38"/>
        <v>9.8615712257453844E-2</v>
      </c>
      <c r="J98" s="242">
        <f t="shared" si="38"/>
        <v>0.10910512937495927</v>
      </c>
      <c r="K98" s="242">
        <f t="shared" si="38"/>
        <v>0.10686521958606764</v>
      </c>
      <c r="L98" s="242">
        <f t="shared" si="38"/>
        <v>0.11540630607536528</v>
      </c>
      <c r="M98" s="242">
        <f t="shared" si="38"/>
        <v>0.11817745803357314</v>
      </c>
      <c r="N98" s="242">
        <f t="shared" si="38"/>
        <v>0.11661721068249259</v>
      </c>
      <c r="O98" s="242">
        <f t="shared" si="38"/>
        <v>0.11888722554890217</v>
      </c>
      <c r="P98" s="242">
        <f t="shared" si="38"/>
        <v>0.11675316587087399</v>
      </c>
      <c r="Q98" s="242">
        <f t="shared" si="38"/>
        <v>0.12014583686620313</v>
      </c>
      <c r="R98" s="360"/>
      <c r="S98" s="360"/>
      <c r="T98" s="360"/>
      <c r="U98" s="360"/>
      <c r="V98" s="360"/>
      <c r="W98" s="360"/>
      <c r="X98" s="360"/>
      <c r="Y98" s="360"/>
      <c r="Z98" s="360"/>
      <c r="AA98" s="360"/>
      <c r="AB98" s="360"/>
      <c r="AC98" s="383"/>
    </row>
    <row r="99" spans="4:30" x14ac:dyDescent="0.25">
      <c r="D99" s="569" t="s">
        <v>582</v>
      </c>
      <c r="F99" s="222"/>
      <c r="G99" s="226"/>
      <c r="H99" s="226"/>
      <c r="I99" s="226"/>
      <c r="J99" s="226"/>
      <c r="K99" s="226"/>
      <c r="L99" s="226"/>
      <c r="M99" s="226"/>
      <c r="N99" s="226"/>
      <c r="O99" s="226"/>
      <c r="P99" s="226"/>
      <c r="Q99" s="182"/>
      <c r="R99" s="360"/>
      <c r="S99" s="360"/>
      <c r="T99" s="360"/>
      <c r="U99" s="360"/>
      <c r="V99" s="360"/>
      <c r="W99" s="360"/>
      <c r="X99" s="360"/>
      <c r="Y99" s="360"/>
      <c r="Z99" s="360"/>
      <c r="AA99" s="360"/>
      <c r="AB99" s="360"/>
      <c r="AC99" s="383"/>
    </row>
    <row r="100" spans="4:30" x14ac:dyDescent="0.25">
      <c r="D100" s="673" t="s">
        <v>583</v>
      </c>
      <c r="F100" s="452">
        <f>SUM(F101:F104)</f>
        <v>14523.5</v>
      </c>
      <c r="G100" s="440">
        <f t="shared" ref="G100:O100" si="39">SUM(G101:G104)</f>
        <v>14614</v>
      </c>
      <c r="H100" s="440">
        <f t="shared" si="39"/>
        <v>14785.5</v>
      </c>
      <c r="I100" s="440">
        <f t="shared" si="39"/>
        <v>14940.199999999999</v>
      </c>
      <c r="J100" s="440">
        <f t="shared" si="39"/>
        <v>14077.4</v>
      </c>
      <c r="K100" s="440">
        <f t="shared" si="39"/>
        <v>14744.7</v>
      </c>
      <c r="L100" s="440">
        <f t="shared" si="39"/>
        <v>15140.7</v>
      </c>
      <c r="M100" s="440">
        <f t="shared" si="39"/>
        <v>15217.8</v>
      </c>
      <c r="N100" s="440">
        <f t="shared" si="39"/>
        <v>15685.7</v>
      </c>
      <c r="O100" s="440">
        <f t="shared" si="39"/>
        <v>16038.400000000001</v>
      </c>
      <c r="P100" s="440">
        <f t="shared" ref="P100:Q100" si="40">SUM(P101:P104)</f>
        <v>16429.099999999999</v>
      </c>
      <c r="Q100" s="312">
        <f t="shared" si="40"/>
        <v>16730.099999999999</v>
      </c>
      <c r="R100" s="360"/>
      <c r="S100" s="360"/>
      <c r="T100" s="360"/>
      <c r="U100" s="360"/>
      <c r="V100" s="360"/>
      <c r="W100" s="360"/>
      <c r="X100" s="360"/>
      <c r="Y100" s="360"/>
      <c r="Z100" s="360"/>
      <c r="AA100" s="360"/>
      <c r="AB100" s="360"/>
      <c r="AC100" s="383"/>
    </row>
    <row r="101" spans="4:30" x14ac:dyDescent="0.25">
      <c r="D101" s="767" t="s">
        <v>857</v>
      </c>
      <c r="E101" s="183" t="s">
        <v>853</v>
      </c>
      <c r="F101" s="452">
        <f>'Haver Pivoted'!GQ81</f>
        <v>9287.2000000000007</v>
      </c>
      <c r="G101" s="440">
        <f>'Haver Pivoted'!GR81</f>
        <v>9338.7000000000007</v>
      </c>
      <c r="H101" s="440">
        <f>'Haver Pivoted'!GS81</f>
        <v>9477.6</v>
      </c>
      <c r="I101" s="440">
        <f>'Haver Pivoted'!GT81</f>
        <v>9613.2999999999993</v>
      </c>
      <c r="J101" s="440">
        <f>'Haver Pivoted'!GU81</f>
        <v>8985.9</v>
      </c>
      <c r="K101" s="440">
        <f>'Haver Pivoted'!GV81</f>
        <v>9417.7999999999993</v>
      </c>
      <c r="L101" s="440">
        <f>'Haver Pivoted'!GW81</f>
        <v>9791.1</v>
      </c>
      <c r="M101" s="440">
        <f>'Haver Pivoted'!GX81</f>
        <v>9888.1</v>
      </c>
      <c r="N101" s="440">
        <f>'Haver Pivoted'!GY81</f>
        <v>10189.1</v>
      </c>
      <c r="O101" s="440">
        <f>'Haver Pivoted'!GZ81</f>
        <v>10497.2</v>
      </c>
      <c r="P101" s="440">
        <f>'Haver Pivoted'!HA81</f>
        <v>10837.8</v>
      </c>
      <c r="Q101" s="312">
        <f>'Haver Pivoted'!HB81</f>
        <v>11096.1</v>
      </c>
      <c r="R101" s="360"/>
      <c r="S101" s="360"/>
      <c r="T101" s="360"/>
      <c r="U101" s="360"/>
      <c r="V101" s="360"/>
      <c r="W101" s="360"/>
      <c r="X101" s="360"/>
      <c r="Y101" s="360"/>
      <c r="Z101" s="360"/>
      <c r="AA101" s="360"/>
      <c r="AB101" s="360"/>
      <c r="AC101" s="383"/>
    </row>
    <row r="102" spans="4:30" x14ac:dyDescent="0.25">
      <c r="D102" s="767" t="s">
        <v>584</v>
      </c>
      <c r="E102" s="183" t="s">
        <v>854</v>
      </c>
      <c r="F102" s="452">
        <f>'Haver Pivoted'!GQ82</f>
        <v>1572.8</v>
      </c>
      <c r="G102" s="440">
        <f>'Haver Pivoted'!GR82</f>
        <v>1610.6</v>
      </c>
      <c r="H102" s="440">
        <f>'Haver Pivoted'!GS82</f>
        <v>1626.8</v>
      </c>
      <c r="I102" s="440">
        <f>'Haver Pivoted'!GT82</f>
        <v>1638.3</v>
      </c>
      <c r="J102" s="440">
        <f>'Haver Pivoted'!GU82</f>
        <v>1471.1</v>
      </c>
      <c r="K102" s="440">
        <f>'Haver Pivoted'!GV82</f>
        <v>1760.7</v>
      </c>
      <c r="L102" s="440">
        <f>'Haver Pivoted'!GW82</f>
        <v>1730</v>
      </c>
      <c r="M102" s="440">
        <f>'Haver Pivoted'!GX82</f>
        <v>1714</v>
      </c>
      <c r="N102" s="440">
        <f>'Haver Pivoted'!GY82</f>
        <v>1848.2</v>
      </c>
      <c r="O102" s="440">
        <f>'Haver Pivoted'!GZ82</f>
        <v>1867</v>
      </c>
      <c r="P102" s="440">
        <f>'Haver Pivoted'!HA82</f>
        <v>1858.5</v>
      </c>
      <c r="Q102" s="312">
        <f>'Haver Pivoted'!HB82</f>
        <v>1877</v>
      </c>
      <c r="R102" s="360"/>
      <c r="S102" s="360"/>
      <c r="T102" s="360"/>
      <c r="U102" s="360"/>
      <c r="V102" s="360"/>
      <c r="W102" s="360"/>
      <c r="X102" s="360"/>
      <c r="Y102" s="360"/>
      <c r="Z102" s="360"/>
      <c r="AA102" s="360"/>
      <c r="AB102" s="360"/>
      <c r="AC102" s="383"/>
    </row>
    <row r="103" spans="4:30" x14ac:dyDescent="0.25">
      <c r="D103" s="767" t="s">
        <v>585</v>
      </c>
      <c r="E103" s="183" t="s">
        <v>860</v>
      </c>
      <c r="F103" s="452">
        <f>'Haver Pivoted'!GQ83</f>
        <v>691</v>
      </c>
      <c r="G103" s="440">
        <f>'Haver Pivoted'!GR83</f>
        <v>691.5</v>
      </c>
      <c r="H103" s="440">
        <f>'Haver Pivoted'!GS83</f>
        <v>699</v>
      </c>
      <c r="I103" s="440">
        <f>'Haver Pivoted'!GT83</f>
        <v>712.2</v>
      </c>
      <c r="J103" s="440">
        <f>'Haver Pivoted'!GU83</f>
        <v>709.5</v>
      </c>
      <c r="K103" s="440">
        <f>'Haver Pivoted'!GV83</f>
        <v>714.5</v>
      </c>
      <c r="L103" s="440">
        <f>'Haver Pivoted'!GW83</f>
        <v>710</v>
      </c>
      <c r="M103" s="440">
        <f>'Haver Pivoted'!GX83</f>
        <v>716.9</v>
      </c>
      <c r="N103" s="440">
        <f>'Haver Pivoted'!GY83</f>
        <v>716.3</v>
      </c>
      <c r="O103" s="440">
        <f>'Haver Pivoted'!GZ83</f>
        <v>729</v>
      </c>
      <c r="P103" s="440">
        <f>'Haver Pivoted'!HA83</f>
        <v>743.6</v>
      </c>
      <c r="Q103" s="312">
        <f>'Haver Pivoted'!HB83</f>
        <v>748.4</v>
      </c>
      <c r="R103" s="360"/>
      <c r="S103" s="360"/>
      <c r="T103" s="360"/>
      <c r="U103" s="360"/>
      <c r="V103" s="360"/>
      <c r="W103" s="360"/>
      <c r="X103" s="360"/>
      <c r="Y103" s="360"/>
      <c r="Z103" s="360"/>
      <c r="AA103" s="360"/>
      <c r="AB103" s="360"/>
      <c r="AC103" s="383"/>
    </row>
    <row r="104" spans="4:30" x14ac:dyDescent="0.25">
      <c r="D104" s="767" t="s">
        <v>586</v>
      </c>
      <c r="E104" s="183" t="s">
        <v>856</v>
      </c>
      <c r="F104" s="452">
        <f>'Haver Pivoted'!GQ84</f>
        <v>2972.5</v>
      </c>
      <c r="G104" s="440">
        <f>'Haver Pivoted'!GR84</f>
        <v>2973.2</v>
      </c>
      <c r="H104" s="440">
        <f>'Haver Pivoted'!GS84</f>
        <v>2982.1</v>
      </c>
      <c r="I104" s="440">
        <f>'Haver Pivoted'!GT84</f>
        <v>2976.4</v>
      </c>
      <c r="J104" s="440">
        <f>'Haver Pivoted'!GU84</f>
        <v>2910.9</v>
      </c>
      <c r="K104" s="440">
        <f>'Haver Pivoted'!GV84</f>
        <v>2851.7</v>
      </c>
      <c r="L104" s="440">
        <f>'Haver Pivoted'!GW84</f>
        <v>2909.6</v>
      </c>
      <c r="M104" s="440">
        <f>'Haver Pivoted'!GX84</f>
        <v>2898.8</v>
      </c>
      <c r="N104" s="440">
        <f>'Haver Pivoted'!GY84</f>
        <v>2932.1</v>
      </c>
      <c r="O104" s="440">
        <f>'Haver Pivoted'!GZ84</f>
        <v>2945.2</v>
      </c>
      <c r="P104" s="440">
        <f>'Haver Pivoted'!HA84</f>
        <v>2989.2</v>
      </c>
      <c r="Q104" s="312">
        <f>'Haver Pivoted'!HB84</f>
        <v>3008.6</v>
      </c>
      <c r="R104" s="360"/>
      <c r="S104" s="360"/>
      <c r="T104" s="360"/>
      <c r="U104" s="360"/>
      <c r="V104" s="360"/>
      <c r="W104" s="360"/>
      <c r="X104" s="360"/>
      <c r="Y104" s="360"/>
      <c r="Z104" s="360"/>
      <c r="AA104" s="360"/>
      <c r="AB104" s="360"/>
      <c r="AC104" s="383"/>
    </row>
    <row r="105" spans="4:30" x14ac:dyDescent="0.25">
      <c r="D105" s="673" t="s">
        <v>571</v>
      </c>
      <c r="F105" s="452">
        <f>F101</f>
        <v>9287.2000000000007</v>
      </c>
      <c r="G105" s="440">
        <f t="shared" ref="G105:O105" si="41">G101</f>
        <v>9338.7000000000007</v>
      </c>
      <c r="H105" s="440">
        <f t="shared" si="41"/>
        <v>9477.6</v>
      </c>
      <c r="I105" s="440">
        <f t="shared" si="41"/>
        <v>9613.2999999999993</v>
      </c>
      <c r="J105" s="440">
        <f t="shared" si="41"/>
        <v>8985.9</v>
      </c>
      <c r="K105" s="440">
        <f t="shared" si="41"/>
        <v>9417.7999999999993</v>
      </c>
      <c r="L105" s="440">
        <f t="shared" si="41"/>
        <v>9791.1</v>
      </c>
      <c r="M105" s="440">
        <f t="shared" si="41"/>
        <v>9888.1</v>
      </c>
      <c r="N105" s="440">
        <f t="shared" si="41"/>
        <v>10189.1</v>
      </c>
      <c r="O105" s="440">
        <f t="shared" si="41"/>
        <v>10497.2</v>
      </c>
      <c r="P105" s="440">
        <f t="shared" ref="P105:Q105" si="42">P101</f>
        <v>10837.8</v>
      </c>
      <c r="Q105" s="312">
        <f t="shared" si="42"/>
        <v>11096.1</v>
      </c>
      <c r="R105" s="360"/>
      <c r="S105" s="360"/>
      <c r="T105" s="360"/>
      <c r="U105" s="360"/>
      <c r="V105" s="360"/>
      <c r="W105" s="360"/>
      <c r="X105" s="360"/>
      <c r="Y105" s="360"/>
      <c r="Z105" s="360"/>
      <c r="AA105" s="360"/>
      <c r="AB105" s="360"/>
      <c r="AC105" s="383"/>
    </row>
    <row r="106" spans="4:30" x14ac:dyDescent="0.25">
      <c r="D106" s="673" t="s">
        <v>572</v>
      </c>
      <c r="E106" s="183" t="s">
        <v>590</v>
      </c>
      <c r="F106" s="452">
        <f>'Haver Pivoted'!GQ5</f>
        <v>14375.7</v>
      </c>
      <c r="G106" s="440">
        <f>'Haver Pivoted'!GR5</f>
        <v>14529.5</v>
      </c>
      <c r="H106" s="440">
        <f>'Haver Pivoted'!GS5</f>
        <v>14653.9</v>
      </c>
      <c r="I106" s="440">
        <f>'Haver Pivoted'!GT5</f>
        <v>14439.1</v>
      </c>
      <c r="J106" s="440">
        <f>'Haver Pivoted'!GU5</f>
        <v>12989.7</v>
      </c>
      <c r="K106" s="440">
        <f>'Haver Pivoted'!GV5</f>
        <v>14293.8</v>
      </c>
      <c r="L106" s="440">
        <f>'Haver Pivoted'!GW5</f>
        <v>14467.6</v>
      </c>
      <c r="M106" s="440">
        <f>'Haver Pivoted'!GX5</f>
        <v>15005.4</v>
      </c>
      <c r="N106" s="440">
        <f>'Haver Pivoted'!GY5</f>
        <v>15681.7</v>
      </c>
      <c r="O106" s="440">
        <f>'Haver Pivoted'!GZ5</f>
        <v>15964.9</v>
      </c>
      <c r="P106" s="440">
        <f>'Haver Pivoted'!HA5</f>
        <v>16314.2</v>
      </c>
      <c r="Q106" s="312">
        <f>'Haver Pivoted'!HB5</f>
        <v>16719.7</v>
      </c>
      <c r="R106" s="360"/>
      <c r="S106" s="360"/>
      <c r="T106" s="360"/>
      <c r="U106" s="360"/>
      <c r="V106" s="360"/>
      <c r="W106" s="360"/>
      <c r="X106" s="360"/>
      <c r="Y106" s="360"/>
      <c r="Z106" s="360"/>
      <c r="AA106" s="360"/>
      <c r="AB106" s="360"/>
      <c r="AC106" s="383"/>
    </row>
    <row r="107" spans="4:30" x14ac:dyDescent="0.25">
      <c r="D107" s="673" t="s">
        <v>587</v>
      </c>
      <c r="E107" s="183" t="s">
        <v>855</v>
      </c>
      <c r="F107" s="452">
        <f>'Haver Pivoted'!GQ85</f>
        <v>1858.1</v>
      </c>
      <c r="G107" s="440">
        <f>'Haver Pivoted'!GR85</f>
        <v>1859.3</v>
      </c>
      <c r="H107" s="440">
        <f>'Haver Pivoted'!GS85</f>
        <v>1901</v>
      </c>
      <c r="I107" s="440">
        <f>'Haver Pivoted'!GT85</f>
        <v>1690.4</v>
      </c>
      <c r="J107" s="440">
        <f>'Haver Pivoted'!GU85</f>
        <v>1534.3</v>
      </c>
      <c r="K107" s="440">
        <f>'Haver Pivoted'!GV85</f>
        <v>1981</v>
      </c>
      <c r="L107" s="440">
        <f>'Haver Pivoted'!GW85</f>
        <v>1950.5</v>
      </c>
      <c r="M107" s="440">
        <f>'Haver Pivoted'!GX85</f>
        <v>2085</v>
      </c>
      <c r="N107" s="440">
        <f>'Haver Pivoted'!GY85</f>
        <v>2359</v>
      </c>
      <c r="O107" s="440">
        <f>'Haver Pivoted'!GZ85</f>
        <v>2404.8000000000002</v>
      </c>
      <c r="P107" s="440">
        <f>'Haver Pivoted'!HA85</f>
        <v>2408.5</v>
      </c>
      <c r="Q107" s="312">
        <f>'Haver Pivoted'!HB85</f>
        <v>2358.8000000000002</v>
      </c>
      <c r="R107" s="360"/>
      <c r="S107" s="360"/>
      <c r="T107" s="360"/>
      <c r="U107" s="360"/>
      <c r="V107" s="360"/>
      <c r="W107" s="360"/>
      <c r="X107" s="360"/>
      <c r="Y107" s="360"/>
      <c r="Z107" s="360"/>
      <c r="AA107" s="360"/>
      <c r="AB107" s="360"/>
      <c r="AC107" s="383"/>
    </row>
    <row r="108" spans="4:30" x14ac:dyDescent="0.25">
      <c r="D108" s="569" t="s">
        <v>588</v>
      </c>
      <c r="F108" s="222"/>
      <c r="G108" s="226"/>
      <c r="H108" s="226"/>
      <c r="I108" s="226"/>
      <c r="J108" s="226"/>
      <c r="K108" s="226"/>
      <c r="L108" s="226"/>
      <c r="M108" s="226"/>
      <c r="N108" s="226"/>
      <c r="O108" s="226"/>
      <c r="P108" s="226"/>
      <c r="Q108" s="182"/>
      <c r="R108" s="360"/>
      <c r="S108" s="360"/>
      <c r="T108" s="360"/>
      <c r="U108" s="360"/>
      <c r="V108" s="360"/>
      <c r="W108" s="360"/>
      <c r="X108" s="360"/>
      <c r="Y108" s="360"/>
      <c r="Z108" s="360"/>
      <c r="AA108" s="360"/>
      <c r="AB108" s="360"/>
      <c r="AC108" s="383"/>
    </row>
    <row r="109" spans="4:30" x14ac:dyDescent="0.25">
      <c r="D109" s="761" t="s">
        <v>551</v>
      </c>
      <c r="F109" s="758">
        <f t="shared" ref="F109:Q109" si="43">F18/F100</f>
        <v>3.5866010259235033E-2</v>
      </c>
      <c r="G109" s="242">
        <f t="shared" si="43"/>
        <v>3.4035856028465851E-2</v>
      </c>
      <c r="H109" s="242">
        <f t="shared" si="43"/>
        <v>3.3458455919651006E-2</v>
      </c>
      <c r="I109" s="242">
        <f t="shared" si="43"/>
        <v>3.3721101457811813E-2</v>
      </c>
      <c r="J109" s="242">
        <f t="shared" si="43"/>
        <v>3.6761049625641098E-2</v>
      </c>
      <c r="K109" s="242">
        <f t="shared" si="43"/>
        <v>3.5239781073877395E-2</v>
      </c>
      <c r="L109" s="242">
        <f t="shared" si="43"/>
        <v>3.4529447119353789E-2</v>
      </c>
      <c r="M109" s="242">
        <f t="shared" si="43"/>
        <v>3.6812154187858957E-2</v>
      </c>
      <c r="N109" s="242">
        <f t="shared" si="43"/>
        <v>3.7384369202522041E-2</v>
      </c>
      <c r="O109" s="242">
        <f t="shared" si="43"/>
        <v>3.7728202314445326E-2</v>
      </c>
      <c r="P109" s="242">
        <f t="shared" si="43"/>
        <v>3.8291811480848009E-2</v>
      </c>
      <c r="Q109" s="788">
        <f t="shared" si="43"/>
        <v>4.0149192174583542E-2</v>
      </c>
      <c r="R109" s="770">
        <f t="shared" ref="R109:AC111" si="44">Q109</f>
        <v>4.0149192174583542E-2</v>
      </c>
      <c r="S109" s="770">
        <f>R109</f>
        <v>4.0149192174583542E-2</v>
      </c>
      <c r="T109" s="770">
        <f t="shared" si="44"/>
        <v>4.0149192174583542E-2</v>
      </c>
      <c r="U109" s="770">
        <f t="shared" si="44"/>
        <v>4.0149192174583542E-2</v>
      </c>
      <c r="V109" s="770">
        <f t="shared" si="44"/>
        <v>4.0149192174583542E-2</v>
      </c>
      <c r="W109" s="770">
        <f t="shared" si="44"/>
        <v>4.0149192174583542E-2</v>
      </c>
      <c r="X109" s="770">
        <f>W109</f>
        <v>4.0149192174583542E-2</v>
      </c>
      <c r="Y109" s="770">
        <f t="shared" si="44"/>
        <v>4.0149192174583542E-2</v>
      </c>
      <c r="Z109" s="770">
        <f t="shared" si="44"/>
        <v>4.0149192174583542E-2</v>
      </c>
      <c r="AA109" s="770">
        <f t="shared" si="44"/>
        <v>4.0149192174583542E-2</v>
      </c>
      <c r="AB109" s="770">
        <f t="shared" si="44"/>
        <v>4.0149192174583542E-2</v>
      </c>
      <c r="AC109" s="791">
        <f t="shared" si="44"/>
        <v>4.0149192174583542E-2</v>
      </c>
      <c r="AD109" s="242"/>
    </row>
    <row r="110" spans="4:30" x14ac:dyDescent="0.25">
      <c r="D110" s="761" t="s">
        <v>548</v>
      </c>
      <c r="F110" s="758">
        <f t="shared" ref="F110:Q110" si="45">F19/F105</f>
        <v>2.2073391334309586E-3</v>
      </c>
      <c r="G110" s="242">
        <f t="shared" si="45"/>
        <v>2.1737500936961245E-3</v>
      </c>
      <c r="H110" s="242">
        <f t="shared" si="45"/>
        <v>2.1313412678315184E-3</v>
      </c>
      <c r="I110" s="242">
        <f t="shared" si="45"/>
        <v>2.0908532969947887E-3</v>
      </c>
      <c r="J110" s="242">
        <f t="shared" si="45"/>
        <v>2.1255522540869587E-3</v>
      </c>
      <c r="K110" s="242">
        <f t="shared" si="45"/>
        <v>2.1130200259083863E-3</v>
      </c>
      <c r="L110" s="242">
        <f t="shared" si="45"/>
        <v>2.0937381908059361E-3</v>
      </c>
      <c r="M110" s="242">
        <f t="shared" si="45"/>
        <v>2.1439912622242896E-3</v>
      </c>
      <c r="N110" s="242">
        <f t="shared" si="45"/>
        <v>2.149355684015271E-3</v>
      </c>
      <c r="O110" s="242">
        <f t="shared" si="45"/>
        <v>2.1434287238501692E-3</v>
      </c>
      <c r="P110" s="242">
        <f t="shared" si="45"/>
        <v>2.1037479931351384E-3</v>
      </c>
      <c r="Q110" s="788">
        <f t="shared" si="45"/>
        <v>2.0637881778282456E-3</v>
      </c>
      <c r="R110" s="770">
        <f t="shared" si="44"/>
        <v>2.0637881778282456E-3</v>
      </c>
      <c r="S110" s="770">
        <f>R110</f>
        <v>2.0637881778282456E-3</v>
      </c>
      <c r="T110" s="770">
        <f t="shared" si="44"/>
        <v>2.0637881778282456E-3</v>
      </c>
      <c r="U110" s="770">
        <f t="shared" si="44"/>
        <v>2.0637881778282456E-3</v>
      </c>
      <c r="V110" s="770">
        <f t="shared" si="44"/>
        <v>2.0637881778282456E-3</v>
      </c>
      <c r="W110" s="770">
        <f t="shared" si="44"/>
        <v>2.0637881778282456E-3</v>
      </c>
      <c r="X110" s="770">
        <f>W110</f>
        <v>2.0637881778282456E-3</v>
      </c>
      <c r="Y110" s="770">
        <f t="shared" si="44"/>
        <v>2.0637881778282456E-3</v>
      </c>
      <c r="Z110" s="770">
        <f t="shared" si="44"/>
        <v>2.0637881778282456E-3</v>
      </c>
      <c r="AA110" s="770">
        <f t="shared" si="44"/>
        <v>2.0637881778282456E-3</v>
      </c>
      <c r="AB110" s="770">
        <f t="shared" si="44"/>
        <v>2.0637881778282456E-3</v>
      </c>
      <c r="AC110" s="791">
        <f t="shared" si="44"/>
        <v>2.0637881778282456E-3</v>
      </c>
      <c r="AD110" s="242"/>
    </row>
    <row r="111" spans="4:30" x14ac:dyDescent="0.25">
      <c r="D111" s="761" t="s">
        <v>549</v>
      </c>
      <c r="F111" s="758">
        <f t="shared" ref="F111:Q111" si="46">F20/F106</f>
        <v>9.3818040165000657E-2</v>
      </c>
      <c r="G111" s="242">
        <f t="shared" si="46"/>
        <v>9.4435458893974325E-2</v>
      </c>
      <c r="H111" s="242">
        <f t="shared" si="46"/>
        <v>9.406369635387167E-2</v>
      </c>
      <c r="I111" s="242">
        <f t="shared" si="46"/>
        <v>9.635642110657866E-2</v>
      </c>
      <c r="J111" s="242">
        <f t="shared" si="46"/>
        <v>0.10178833999245555</v>
      </c>
      <c r="K111" s="242">
        <f t="shared" si="46"/>
        <v>9.7433852439519242E-2</v>
      </c>
      <c r="L111" s="242">
        <f t="shared" si="46"/>
        <v>9.6795598440653607E-2</v>
      </c>
      <c r="M111" s="242">
        <f t="shared" si="46"/>
        <v>9.4226078611699793E-2</v>
      </c>
      <c r="N111" s="242">
        <f t="shared" si="46"/>
        <v>9.3006498019985076E-2</v>
      </c>
      <c r="O111" s="242">
        <f t="shared" si="46"/>
        <v>9.281611535305577E-2</v>
      </c>
      <c r="P111" s="242">
        <f t="shared" si="46"/>
        <v>9.2876144708290934E-2</v>
      </c>
      <c r="Q111" s="788">
        <f t="shared" si="46"/>
        <v>9.2172706448082189E-2</v>
      </c>
      <c r="R111" s="770">
        <f t="shared" si="44"/>
        <v>9.2172706448082189E-2</v>
      </c>
      <c r="S111" s="770">
        <f>R111</f>
        <v>9.2172706448082189E-2</v>
      </c>
      <c r="T111" s="770">
        <f t="shared" si="44"/>
        <v>9.2172706448082189E-2</v>
      </c>
      <c r="U111" s="770">
        <f t="shared" si="44"/>
        <v>9.2172706448082189E-2</v>
      </c>
      <c r="V111" s="770">
        <f t="shared" si="44"/>
        <v>9.2172706448082189E-2</v>
      </c>
      <c r="W111" s="770">
        <f t="shared" si="44"/>
        <v>9.2172706448082189E-2</v>
      </c>
      <c r="X111" s="770">
        <f>W111</f>
        <v>9.2172706448082189E-2</v>
      </c>
      <c r="Y111" s="770">
        <f t="shared" si="44"/>
        <v>9.2172706448082189E-2</v>
      </c>
      <c r="Z111" s="770">
        <f t="shared" si="44"/>
        <v>9.2172706448082189E-2</v>
      </c>
      <c r="AA111" s="770">
        <f t="shared" si="44"/>
        <v>9.2172706448082189E-2</v>
      </c>
      <c r="AB111" s="770">
        <f t="shared" si="44"/>
        <v>9.2172706448082189E-2</v>
      </c>
      <c r="AC111" s="791">
        <f t="shared" si="44"/>
        <v>9.2172706448082189E-2</v>
      </c>
      <c r="AD111" s="242"/>
    </row>
    <row r="112" spans="4:30" x14ac:dyDescent="0.25">
      <c r="D112" s="762" t="s">
        <v>589</v>
      </c>
      <c r="E112" s="192"/>
      <c r="F112" s="259">
        <f t="shared" ref="F112:Q112" si="47">F21/F107</f>
        <v>3.9179807330068352E-2</v>
      </c>
      <c r="G112" s="260">
        <f t="shared" si="47"/>
        <v>3.9315871564567305E-2</v>
      </c>
      <c r="H112" s="260">
        <f t="shared" si="47"/>
        <v>3.8085218306154661E-2</v>
      </c>
      <c r="I112" s="260">
        <f t="shared" si="47"/>
        <v>3.9339801230477991E-2</v>
      </c>
      <c r="J112" s="260">
        <f t="shared" si="47"/>
        <v>4.0344130874014207E-2</v>
      </c>
      <c r="K112" s="260">
        <f t="shared" si="47"/>
        <v>3.8768298838970212E-2</v>
      </c>
      <c r="L112" s="260">
        <f t="shared" si="47"/>
        <v>4.039989746218918E-2</v>
      </c>
      <c r="M112" s="260">
        <f t="shared" si="47"/>
        <v>4.100719424460432E-2</v>
      </c>
      <c r="N112" s="260">
        <f t="shared" si="47"/>
        <v>3.8957185247986435E-2</v>
      </c>
      <c r="O112" s="260">
        <f t="shared" si="47"/>
        <v>3.9629075182967391E-2</v>
      </c>
      <c r="P112" s="260">
        <f t="shared" si="47"/>
        <v>4.7913639194519415E-2</v>
      </c>
      <c r="Q112" s="260">
        <f t="shared" si="47"/>
        <v>6.5880956418517891E-2</v>
      </c>
      <c r="R112" s="771">
        <v>0.05</v>
      </c>
      <c r="S112" s="771">
        <f>R112</f>
        <v>0.05</v>
      </c>
      <c r="T112" s="771">
        <v>4.4999999999999998E-2</v>
      </c>
      <c r="U112" s="771">
        <f t="shared" ref="U112:AC112" si="48">T112</f>
        <v>4.4999999999999998E-2</v>
      </c>
      <c r="V112" s="771">
        <f t="shared" si="48"/>
        <v>4.4999999999999998E-2</v>
      </c>
      <c r="W112" s="771">
        <f t="shared" si="48"/>
        <v>4.4999999999999998E-2</v>
      </c>
      <c r="X112" s="771">
        <f>W112</f>
        <v>4.4999999999999998E-2</v>
      </c>
      <c r="Y112" s="771">
        <f t="shared" si="48"/>
        <v>4.4999999999999998E-2</v>
      </c>
      <c r="Z112" s="771">
        <f t="shared" si="48"/>
        <v>4.4999999999999998E-2</v>
      </c>
      <c r="AA112" s="771">
        <f t="shared" si="48"/>
        <v>4.4999999999999998E-2</v>
      </c>
      <c r="AB112" s="771">
        <f t="shared" si="48"/>
        <v>4.4999999999999998E-2</v>
      </c>
      <c r="AC112" s="772">
        <f t="shared" si="48"/>
        <v>4.4999999999999998E-2</v>
      </c>
      <c r="AD112" s="242"/>
    </row>
    <row r="114" spans="18:24" ht="18.75" customHeight="1" x14ac:dyDescent="0.25"/>
    <row r="115" spans="18:24" x14ac:dyDescent="0.25">
      <c r="R115" s="183"/>
      <c r="S115" s="183"/>
      <c r="T115" s="183"/>
      <c r="U115" s="183"/>
      <c r="V115" s="183"/>
      <c r="W115" s="183"/>
      <c r="X115" s="183"/>
    </row>
    <row r="117" spans="18:24" ht="14.45" customHeight="1" x14ac:dyDescent="0.25"/>
    <row r="118" spans="18:24" ht="14.45" customHeight="1" x14ac:dyDescent="0.25"/>
    <row r="119" spans="18:24" ht="14.45" customHeight="1" x14ac:dyDescent="0.25"/>
  </sheetData>
  <mergeCells count="30">
    <mergeCell ref="D94:E94"/>
    <mergeCell ref="Q92:T92"/>
    <mergeCell ref="O50:V50"/>
    <mergeCell ref="O51:R51"/>
    <mergeCell ref="S51:V51"/>
    <mergeCell ref="U83:X83"/>
    <mergeCell ref="M83:P83"/>
    <mergeCell ref="M92:P92"/>
    <mergeCell ref="D2:AC3"/>
    <mergeCell ref="F92:H92"/>
    <mergeCell ref="I92:L92"/>
    <mergeCell ref="D92:E93"/>
    <mergeCell ref="U92:X92"/>
    <mergeCell ref="Y92:AB92"/>
    <mergeCell ref="D1:AC1"/>
    <mergeCell ref="Y83:AB83"/>
    <mergeCell ref="Y6:AB6"/>
    <mergeCell ref="D83:E84"/>
    <mergeCell ref="U6:X6"/>
    <mergeCell ref="F83:H83"/>
    <mergeCell ref="F6:H6"/>
    <mergeCell ref="I6:L6"/>
    <mergeCell ref="Q6:T6"/>
    <mergeCell ref="D5:E7"/>
    <mergeCell ref="F5:P5"/>
    <mergeCell ref="M6:P6"/>
    <mergeCell ref="Q5:AC5"/>
    <mergeCell ref="D25:F25"/>
    <mergeCell ref="I83:L83"/>
    <mergeCell ref="Q83:T83"/>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x14ac:dyDescent="0.25"/>
  <cols>
    <col min="3" max="3" width="33.7109375" customWidth="1"/>
  </cols>
  <sheetData>
    <row r="3" spans="1:17" x14ac:dyDescent="0.25">
      <c r="A3" s="675" t="s">
        <v>593</v>
      </c>
      <c r="B3" s="183"/>
    </row>
    <row r="4" spans="1:17" x14ac:dyDescent="0.25">
      <c r="A4" s="809" t="s">
        <v>594</v>
      </c>
      <c r="B4" s="810"/>
      <c r="C4" s="810"/>
    </row>
    <row r="7" spans="1:17" x14ac:dyDescent="0.25">
      <c r="A7" s="1056" t="s">
        <v>595</v>
      </c>
      <c r="B7" s="1057"/>
      <c r="C7" s="1057"/>
      <c r="D7" s="1057"/>
      <c r="E7" s="1057"/>
      <c r="F7" s="1057"/>
      <c r="G7" s="1057"/>
      <c r="H7" s="1057"/>
      <c r="I7" s="1057"/>
      <c r="J7" s="1057"/>
      <c r="K7" s="1057"/>
      <c r="L7" s="1057"/>
      <c r="M7" s="1057"/>
      <c r="N7" s="1057"/>
      <c r="O7" s="1057"/>
      <c r="P7" s="1057"/>
    </row>
    <row r="8" spans="1:17" x14ac:dyDescent="0.25">
      <c r="A8" s="192" t="s">
        <v>596</v>
      </c>
      <c r="B8" s="192"/>
      <c r="C8" s="192"/>
      <c r="D8" s="804"/>
      <c r="E8" s="192"/>
      <c r="F8" s="192"/>
      <c r="G8" s="192"/>
      <c r="H8" s="192"/>
      <c r="I8" s="192"/>
      <c r="J8" s="192"/>
      <c r="K8" s="192"/>
      <c r="L8" s="192"/>
      <c r="M8" s="192"/>
      <c r="N8" s="192"/>
      <c r="O8" s="192"/>
      <c r="P8" s="192"/>
    </row>
    <row r="9" spans="1:17" x14ac:dyDescent="0.25">
      <c r="A9" s="183"/>
      <c r="B9" s="183"/>
      <c r="C9" s="183"/>
      <c r="D9" s="805"/>
      <c r="E9" s="183"/>
      <c r="F9" s="183"/>
      <c r="G9" s="183"/>
      <c r="H9" s="183"/>
      <c r="I9" s="183"/>
      <c r="J9" s="183"/>
      <c r="K9" s="183"/>
      <c r="L9" s="183"/>
      <c r="M9" s="183"/>
      <c r="N9" s="183"/>
      <c r="O9" s="183"/>
      <c r="P9" s="183"/>
    </row>
    <row r="10" spans="1:17" x14ac:dyDescent="0.25">
      <c r="A10" s="183"/>
      <c r="B10" s="183"/>
      <c r="C10" s="183"/>
      <c r="D10" s="805"/>
      <c r="E10" s="183"/>
      <c r="F10" s="183"/>
      <c r="G10" s="183"/>
      <c r="H10" s="183"/>
      <c r="I10" s="183"/>
      <c r="J10" s="183"/>
      <c r="K10" s="183"/>
      <c r="L10" s="183"/>
      <c r="M10" s="183"/>
      <c r="N10" s="183"/>
      <c r="O10" s="1058" t="s">
        <v>360</v>
      </c>
      <c r="P10" s="1058"/>
    </row>
    <row r="11" spans="1:17" x14ac:dyDescent="0.25">
      <c r="A11" s="183"/>
      <c r="B11" s="183"/>
      <c r="C11" s="273"/>
      <c r="D11" s="198"/>
      <c r="E11" s="273"/>
      <c r="F11" s="273"/>
      <c r="G11" s="273"/>
      <c r="H11" s="273"/>
      <c r="I11" s="273"/>
      <c r="J11" s="273"/>
      <c r="K11" s="273"/>
      <c r="L11" s="273"/>
      <c r="M11" s="273"/>
      <c r="N11" s="273"/>
      <c r="O11" s="800" t="s">
        <v>597</v>
      </c>
      <c r="P11" s="800" t="s">
        <v>597</v>
      </c>
    </row>
    <row r="12" spans="1:17" x14ac:dyDescent="0.25">
      <c r="A12" s="192"/>
      <c r="B12" s="192"/>
      <c r="C12" s="192"/>
      <c r="D12" s="804">
        <v>2020</v>
      </c>
      <c r="E12" s="804">
        <v>2021</v>
      </c>
      <c r="F12" s="804">
        <v>2022</v>
      </c>
      <c r="G12" s="804">
        <v>2023</v>
      </c>
      <c r="H12" s="804">
        <v>2024</v>
      </c>
      <c r="I12" s="804">
        <v>2025</v>
      </c>
      <c r="J12" s="804">
        <v>2026</v>
      </c>
      <c r="K12" s="804">
        <v>2027</v>
      </c>
      <c r="L12" s="804">
        <v>2028</v>
      </c>
      <c r="M12" s="804">
        <v>2029</v>
      </c>
      <c r="N12" s="804">
        <v>2030</v>
      </c>
      <c r="O12" s="801">
        <v>2025</v>
      </c>
      <c r="P12" s="801">
        <v>2030</v>
      </c>
    </row>
    <row r="13" spans="1:17" x14ac:dyDescent="0.25">
      <c r="A13" s="273" t="s">
        <v>598</v>
      </c>
      <c r="B13" s="273"/>
      <c r="C13" s="273"/>
      <c r="D13" s="812">
        <v>540.56299999999999</v>
      </c>
      <c r="E13" s="812">
        <v>0</v>
      </c>
      <c r="F13" s="812">
        <v>0</v>
      </c>
      <c r="G13" s="812">
        <v>0</v>
      </c>
      <c r="H13" s="812">
        <v>0</v>
      </c>
      <c r="I13" s="812">
        <v>0</v>
      </c>
      <c r="J13" s="812">
        <v>0</v>
      </c>
      <c r="K13" s="812">
        <v>0</v>
      </c>
      <c r="L13" s="812">
        <v>0</v>
      </c>
      <c r="M13" s="812">
        <v>0</v>
      </c>
      <c r="N13" s="812">
        <v>0</v>
      </c>
      <c r="O13" s="812">
        <v>0</v>
      </c>
      <c r="P13" s="812">
        <v>0</v>
      </c>
      <c r="Q13" t="s">
        <v>50</v>
      </c>
    </row>
    <row r="14" spans="1:17" x14ac:dyDescent="0.25">
      <c r="A14" s="183" t="s">
        <v>599</v>
      </c>
      <c r="B14" s="183"/>
      <c r="C14" s="183"/>
      <c r="D14" s="198"/>
      <c r="E14" s="273"/>
      <c r="F14" s="273"/>
      <c r="G14" s="273"/>
      <c r="H14" s="273"/>
      <c r="I14" s="273"/>
      <c r="J14" s="273"/>
      <c r="K14" s="273"/>
      <c r="L14" s="273"/>
      <c r="M14" s="273"/>
      <c r="N14" s="273"/>
      <c r="O14" s="273"/>
      <c r="P14" s="273"/>
      <c r="Q14" t="s">
        <v>600</v>
      </c>
    </row>
    <row r="15" spans="1:17" x14ac:dyDescent="0.25">
      <c r="A15" s="183"/>
      <c r="B15" s="183" t="s">
        <v>601</v>
      </c>
      <c r="C15" s="183"/>
      <c r="D15" s="198">
        <v>285.56</v>
      </c>
      <c r="E15" s="198">
        <v>5</v>
      </c>
      <c r="F15" s="198">
        <v>0</v>
      </c>
      <c r="G15" s="198">
        <v>0</v>
      </c>
      <c r="H15" s="198">
        <v>0</v>
      </c>
      <c r="I15" s="198">
        <v>0</v>
      </c>
      <c r="J15" s="198">
        <v>0</v>
      </c>
      <c r="K15" s="198">
        <v>0</v>
      </c>
      <c r="L15" s="198">
        <v>0</v>
      </c>
      <c r="M15" s="198">
        <v>0</v>
      </c>
      <c r="N15" s="198">
        <v>0</v>
      </c>
      <c r="O15" s="198">
        <v>5</v>
      </c>
      <c r="P15" s="198">
        <v>5</v>
      </c>
    </row>
    <row r="16" spans="1:17" x14ac:dyDescent="0.25">
      <c r="A16" s="273"/>
      <c r="B16" s="183" t="s">
        <v>602</v>
      </c>
      <c r="C16" s="273"/>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25">
      <c r="A17" s="273"/>
      <c r="B17" s="183" t="s">
        <v>603</v>
      </c>
      <c r="C17" s="273"/>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25">
      <c r="A18" s="273"/>
      <c r="B18" s="183" t="s">
        <v>604</v>
      </c>
      <c r="C18" s="273"/>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25">
      <c r="A19" s="273"/>
      <c r="B19" s="183"/>
      <c r="C19" s="273"/>
      <c r="D19" s="198" t="s">
        <v>605</v>
      </c>
      <c r="E19" s="198" t="s">
        <v>605</v>
      </c>
      <c r="F19" s="198" t="s">
        <v>605</v>
      </c>
      <c r="G19" s="198" t="s">
        <v>605</v>
      </c>
      <c r="H19" s="198" t="s">
        <v>605</v>
      </c>
      <c r="I19" s="198" t="s">
        <v>605</v>
      </c>
      <c r="J19" s="198" t="s">
        <v>605</v>
      </c>
      <c r="K19" s="198" t="s">
        <v>605</v>
      </c>
      <c r="L19" s="198" t="s">
        <v>605</v>
      </c>
      <c r="M19" s="198" t="s">
        <v>605</v>
      </c>
      <c r="N19" s="198" t="s">
        <v>605</v>
      </c>
      <c r="O19" s="198" t="s">
        <v>605</v>
      </c>
      <c r="P19" s="198" t="s">
        <v>605</v>
      </c>
    </row>
    <row r="20" spans="1:17" x14ac:dyDescent="0.25">
      <c r="A20" s="273"/>
      <c r="B20" s="183"/>
      <c r="C20" s="273" t="s">
        <v>606</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25">
      <c r="A21" s="273"/>
      <c r="B21" s="183"/>
      <c r="C21" s="273"/>
      <c r="D21" s="198"/>
      <c r="E21" s="198"/>
      <c r="F21" s="198"/>
      <c r="G21" s="198"/>
      <c r="H21" s="198"/>
      <c r="I21" s="198"/>
      <c r="J21" s="198"/>
      <c r="K21" s="198"/>
      <c r="L21" s="198"/>
      <c r="M21" s="198"/>
      <c r="N21" s="198"/>
      <c r="O21" s="198"/>
      <c r="P21" s="198"/>
    </row>
    <row r="22" spans="1:17" ht="16.899999999999999" customHeight="1" x14ac:dyDescent="0.25">
      <c r="A22" s="273" t="s">
        <v>607</v>
      </c>
      <c r="B22" s="183"/>
      <c r="C22" s="273"/>
      <c r="D22" s="198">
        <v>271.98399999999998</v>
      </c>
      <c r="E22" s="198">
        <v>9.327</v>
      </c>
      <c r="F22" s="198">
        <v>0</v>
      </c>
      <c r="G22" s="198">
        <v>0</v>
      </c>
      <c r="H22" s="198">
        <v>0</v>
      </c>
      <c r="I22" s="198">
        <v>0</v>
      </c>
      <c r="J22" s="198">
        <v>0</v>
      </c>
      <c r="K22" s="198">
        <v>0</v>
      </c>
      <c r="L22" s="198">
        <v>0</v>
      </c>
      <c r="M22" s="198">
        <v>0</v>
      </c>
      <c r="N22" s="198">
        <v>0</v>
      </c>
      <c r="O22" s="198">
        <v>9.327</v>
      </c>
      <c r="P22" s="198">
        <v>9.327</v>
      </c>
      <c r="Q22" t="s">
        <v>608</v>
      </c>
    </row>
    <row r="23" spans="1:17" x14ac:dyDescent="0.25">
      <c r="A23" s="273" t="s">
        <v>149</v>
      </c>
      <c r="B23" s="183"/>
      <c r="C23" s="183"/>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51</v>
      </c>
    </row>
    <row r="24" spans="1:17" x14ac:dyDescent="0.25">
      <c r="A24" s="273" t="s">
        <v>609</v>
      </c>
      <c r="B24" s="183"/>
      <c r="C24" s="183"/>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610</v>
      </c>
    </row>
    <row r="25" spans="1:17" x14ac:dyDescent="0.25">
      <c r="A25" s="273" t="s">
        <v>611</v>
      </c>
      <c r="B25" s="183"/>
      <c r="C25" s="183"/>
      <c r="D25" s="198"/>
      <c r="E25" s="198"/>
      <c r="F25" s="198"/>
      <c r="G25" s="198"/>
      <c r="H25" s="198"/>
      <c r="I25" s="198"/>
      <c r="J25" s="198"/>
      <c r="K25" s="198"/>
      <c r="L25" s="198"/>
      <c r="M25" s="198"/>
      <c r="N25" s="198"/>
      <c r="O25" s="198"/>
      <c r="P25" s="198"/>
    </row>
    <row r="26" spans="1:17" x14ac:dyDescent="0.25">
      <c r="A26" s="273" t="s">
        <v>612</v>
      </c>
      <c r="B26" s="183"/>
      <c r="C26" s="183"/>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133</v>
      </c>
    </row>
    <row r="27" spans="1:17" x14ac:dyDescent="0.25">
      <c r="A27" s="273" t="s">
        <v>613</v>
      </c>
      <c r="B27" s="183"/>
      <c r="C27" s="183"/>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25">
      <c r="A28" s="273" t="s">
        <v>614</v>
      </c>
      <c r="B28" s="183"/>
      <c r="C28" s="183"/>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55</v>
      </c>
    </row>
    <row r="29" spans="1:17" x14ac:dyDescent="0.25">
      <c r="A29" s="273" t="s">
        <v>615</v>
      </c>
      <c r="B29" s="183"/>
      <c r="C29" s="183"/>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616</v>
      </c>
    </row>
    <row r="30" spans="1:17" x14ac:dyDescent="0.25">
      <c r="A30" s="273" t="s">
        <v>617</v>
      </c>
      <c r="B30" s="183"/>
      <c r="C30" s="183"/>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52</v>
      </c>
    </row>
    <row r="31" spans="1:17" x14ac:dyDescent="0.25">
      <c r="A31" s="273" t="s">
        <v>150</v>
      </c>
      <c r="B31" s="183"/>
      <c r="C31" s="183"/>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618</v>
      </c>
    </row>
    <row r="32" spans="1:17" x14ac:dyDescent="0.25">
      <c r="A32" s="273" t="s">
        <v>619</v>
      </c>
      <c r="B32" s="183"/>
      <c r="C32" s="183"/>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620</v>
      </c>
    </row>
    <row r="33" spans="1:16" x14ac:dyDescent="0.25">
      <c r="A33" s="273"/>
      <c r="B33" s="183"/>
      <c r="C33" s="183"/>
      <c r="D33" s="198"/>
      <c r="E33" s="198"/>
      <c r="F33" s="198"/>
      <c r="G33" s="198"/>
      <c r="H33" s="198"/>
      <c r="I33" s="198"/>
      <c r="J33" s="198"/>
      <c r="K33" s="198"/>
      <c r="L33" s="198"/>
      <c r="M33" s="198"/>
      <c r="N33" s="198"/>
      <c r="O33" s="198"/>
      <c r="P33" s="198"/>
    </row>
    <row r="34" spans="1:16" x14ac:dyDescent="0.25">
      <c r="A34" s="802"/>
      <c r="B34" s="802"/>
      <c r="C34" s="802" t="s">
        <v>360</v>
      </c>
      <c r="D34" s="803">
        <v>1777.13</v>
      </c>
      <c r="E34" s="803">
        <v>307.48399999999998</v>
      </c>
      <c r="F34" s="803">
        <v>99.084999999999994</v>
      </c>
      <c r="G34" s="803">
        <v>20.696999999999999</v>
      </c>
      <c r="H34" s="803">
        <v>10.087999999999999</v>
      </c>
      <c r="I34" s="803">
        <v>6.1630000000000003</v>
      </c>
      <c r="J34" s="803">
        <v>4.7300000000000004</v>
      </c>
      <c r="K34" s="803">
        <v>4.415</v>
      </c>
      <c r="L34" s="803">
        <v>4.468</v>
      </c>
      <c r="M34" s="803">
        <v>14.403</v>
      </c>
      <c r="N34" s="803">
        <v>-31.518000000000001</v>
      </c>
      <c r="O34" s="803">
        <v>443.517</v>
      </c>
      <c r="P34" s="803">
        <v>440.01499999999999</v>
      </c>
    </row>
    <row r="35" spans="1:16" x14ac:dyDescent="0.25">
      <c r="A35" s="183"/>
      <c r="B35" s="183"/>
      <c r="C35" s="183"/>
      <c r="D35" s="811"/>
      <c r="E35" s="441"/>
      <c r="F35" s="273"/>
      <c r="G35" s="273"/>
      <c r="H35" s="273"/>
      <c r="I35" s="273"/>
      <c r="J35" s="273"/>
      <c r="K35" s="273"/>
      <c r="L35" s="273"/>
      <c r="M35" s="273"/>
      <c r="N35" s="273"/>
      <c r="O35" s="273"/>
      <c r="P35" s="273"/>
    </row>
    <row r="36" spans="1:16" x14ac:dyDescent="0.25">
      <c r="A36" s="799" t="s">
        <v>621</v>
      </c>
      <c r="B36" s="799"/>
      <c r="C36" s="799"/>
      <c r="D36" s="806"/>
      <c r="E36" s="799"/>
      <c r="F36" s="799"/>
      <c r="G36" s="799"/>
      <c r="H36" s="799"/>
      <c r="I36" s="799"/>
      <c r="J36" s="799"/>
      <c r="K36" s="799"/>
      <c r="L36" s="799"/>
      <c r="M36" s="799"/>
      <c r="N36" s="799"/>
      <c r="O36" s="799"/>
      <c r="P36" s="799"/>
    </row>
    <row r="37" spans="1:16" x14ac:dyDescent="0.25">
      <c r="A37" s="799"/>
      <c r="B37" s="799"/>
      <c r="C37" s="799"/>
      <c r="D37" s="806"/>
      <c r="E37" s="799"/>
      <c r="F37" s="799"/>
      <c r="G37" s="799"/>
      <c r="H37" s="799"/>
      <c r="I37" s="799"/>
      <c r="J37" s="799"/>
      <c r="K37" s="799"/>
      <c r="L37" s="799"/>
      <c r="M37" s="799"/>
      <c r="N37" s="799"/>
      <c r="O37" s="799"/>
      <c r="P37" s="799"/>
    </row>
    <row r="38" spans="1:16" x14ac:dyDescent="0.25">
      <c r="A38" s="1061" t="s">
        <v>622</v>
      </c>
      <c r="B38" s="1061"/>
      <c r="C38" s="1061"/>
      <c r="D38" s="1061"/>
      <c r="E38" s="1061"/>
      <c r="F38" s="1061"/>
      <c r="G38" s="1061"/>
      <c r="H38" s="1061"/>
      <c r="I38" s="1061"/>
      <c r="J38" s="1061"/>
      <c r="K38" s="1061"/>
      <c r="L38" s="1061"/>
      <c r="M38" s="1061"/>
      <c r="N38" s="1061"/>
      <c r="O38" s="1061"/>
      <c r="P38" s="1061"/>
    </row>
    <row r="39" spans="1:16" x14ac:dyDescent="0.25">
      <c r="A39" s="1061"/>
      <c r="B39" s="1061"/>
      <c r="C39" s="1061"/>
      <c r="D39" s="1061"/>
      <c r="E39" s="1061"/>
      <c r="F39" s="1061"/>
      <c r="G39" s="1061"/>
      <c r="H39" s="1061"/>
      <c r="I39" s="1061"/>
      <c r="J39" s="1061"/>
      <c r="K39" s="1061"/>
      <c r="L39" s="1061"/>
      <c r="M39" s="1061"/>
      <c r="N39" s="1061"/>
      <c r="O39" s="1061"/>
      <c r="P39" s="1061"/>
    </row>
    <row r="40" spans="1:16" x14ac:dyDescent="0.25">
      <c r="A40" s="1061"/>
      <c r="B40" s="1061"/>
      <c r="C40" s="1061"/>
      <c r="D40" s="1061"/>
      <c r="E40" s="1061"/>
      <c r="F40" s="1061"/>
      <c r="G40" s="1061"/>
      <c r="H40" s="1061"/>
      <c r="I40" s="1061"/>
      <c r="J40" s="1061"/>
      <c r="K40" s="1061"/>
      <c r="L40" s="1061"/>
      <c r="M40" s="1061"/>
      <c r="N40" s="1061"/>
      <c r="O40" s="1061"/>
      <c r="P40" s="1061"/>
    </row>
    <row r="41" spans="1:16" x14ac:dyDescent="0.25">
      <c r="A41" s="1061"/>
      <c r="B41" s="1061"/>
      <c r="C41" s="1061"/>
      <c r="D41" s="1061"/>
      <c r="E41" s="1061"/>
      <c r="F41" s="1061"/>
      <c r="G41" s="1061"/>
      <c r="H41" s="1061"/>
      <c r="I41" s="1061"/>
      <c r="J41" s="1061"/>
      <c r="K41" s="1061"/>
      <c r="L41" s="1061"/>
      <c r="M41" s="1061"/>
      <c r="N41" s="1061"/>
      <c r="O41" s="1061"/>
      <c r="P41" s="1061"/>
    </row>
    <row r="42" spans="1:16" x14ac:dyDescent="0.25">
      <c r="A42" s="1061"/>
      <c r="B42" s="1061"/>
      <c r="C42" s="1061"/>
      <c r="D42" s="1061"/>
      <c r="E42" s="1061"/>
      <c r="F42" s="1061"/>
      <c r="G42" s="1061"/>
      <c r="H42" s="1061"/>
      <c r="I42" s="1061"/>
      <c r="J42" s="1061"/>
      <c r="K42" s="1061"/>
      <c r="L42" s="1061"/>
      <c r="M42" s="1061"/>
      <c r="N42" s="1061"/>
      <c r="O42" s="1061"/>
      <c r="P42" s="1061"/>
    </row>
    <row r="43" spans="1:16" x14ac:dyDescent="0.25">
      <c r="A43" s="190"/>
      <c r="B43" s="190"/>
      <c r="C43" s="190"/>
      <c r="D43" s="190"/>
      <c r="E43" s="190"/>
      <c r="F43" s="190"/>
      <c r="G43" s="190"/>
      <c r="H43" s="190"/>
      <c r="I43" s="190"/>
      <c r="J43" s="190"/>
      <c r="K43" s="190"/>
      <c r="L43" s="190"/>
      <c r="M43" s="190"/>
      <c r="N43" s="190"/>
      <c r="O43" s="190"/>
      <c r="P43" s="190"/>
    </row>
    <row r="44" spans="1:16" x14ac:dyDescent="0.25">
      <c r="A44" s="949" t="s">
        <v>623</v>
      </c>
      <c r="B44" s="949"/>
      <c r="C44" s="949"/>
      <c r="D44" s="949"/>
      <c r="E44" s="949"/>
      <c r="F44" s="949"/>
      <c r="G44" s="949"/>
      <c r="H44" s="949"/>
      <c r="I44" s="949"/>
      <c r="J44" s="949"/>
      <c r="K44" s="949"/>
      <c r="L44" s="949"/>
      <c r="M44" s="949"/>
      <c r="N44" s="949"/>
      <c r="O44" s="949"/>
      <c r="P44" s="949"/>
    </row>
    <row r="45" spans="1:16" x14ac:dyDescent="0.25">
      <c r="A45" s="949"/>
      <c r="B45" s="949"/>
      <c r="C45" s="949"/>
      <c r="D45" s="949"/>
      <c r="E45" s="949"/>
      <c r="F45" s="949"/>
      <c r="G45" s="949"/>
      <c r="H45" s="949"/>
      <c r="I45" s="949"/>
      <c r="J45" s="949"/>
      <c r="K45" s="949"/>
      <c r="L45" s="949"/>
      <c r="M45" s="949"/>
      <c r="N45" s="949"/>
      <c r="O45" s="949"/>
      <c r="P45" s="949"/>
    </row>
    <row r="46" spans="1:16" x14ac:dyDescent="0.25">
      <c r="A46" s="949"/>
      <c r="B46" s="949"/>
      <c r="C46" s="949"/>
      <c r="D46" s="949"/>
      <c r="E46" s="949"/>
      <c r="F46" s="949"/>
      <c r="G46" s="949"/>
      <c r="H46" s="949"/>
      <c r="I46" s="949"/>
      <c r="J46" s="949"/>
      <c r="K46" s="949"/>
      <c r="L46" s="949"/>
      <c r="M46" s="949"/>
      <c r="N46" s="949"/>
      <c r="O46" s="949"/>
      <c r="P46" s="949"/>
    </row>
    <row r="47" spans="1:16" x14ac:dyDescent="0.25">
      <c r="A47" s="799"/>
      <c r="B47" s="799"/>
      <c r="C47" s="799"/>
      <c r="D47" s="806"/>
      <c r="E47" s="799"/>
      <c r="F47" s="799"/>
      <c r="G47" s="799"/>
      <c r="H47" s="799"/>
      <c r="I47" s="799"/>
      <c r="J47" s="799"/>
      <c r="K47" s="799"/>
      <c r="L47" s="799"/>
      <c r="M47" s="799"/>
      <c r="N47" s="799"/>
      <c r="O47" s="799"/>
      <c r="P47" s="799"/>
    </row>
    <row r="48" spans="1:16" x14ac:dyDescent="0.25">
      <c r="A48" s="1059" t="s">
        <v>624</v>
      </c>
      <c r="B48" s="1060"/>
      <c r="C48" s="1060"/>
      <c r="D48" s="1060"/>
      <c r="E48" s="1060"/>
      <c r="F48" s="1060"/>
      <c r="G48" s="1060"/>
      <c r="H48" s="1060"/>
      <c r="I48" s="1060"/>
      <c r="J48" s="1060"/>
      <c r="K48" s="1060"/>
      <c r="L48" s="1060"/>
      <c r="M48" s="1060"/>
      <c r="N48" s="1060"/>
      <c r="O48" s="1060"/>
      <c r="P48" s="1060"/>
    </row>
    <row r="49" spans="1:16" x14ac:dyDescent="0.25">
      <c r="A49" s="1060"/>
      <c r="B49" s="1060"/>
      <c r="C49" s="1060"/>
      <c r="D49" s="1060"/>
      <c r="E49" s="1060"/>
      <c r="F49" s="1060"/>
      <c r="G49" s="1060"/>
      <c r="H49" s="1060"/>
      <c r="I49" s="1060"/>
      <c r="J49" s="1060"/>
      <c r="K49" s="1060"/>
      <c r="L49" s="1060"/>
      <c r="M49" s="1060"/>
      <c r="N49" s="1060"/>
      <c r="O49" s="1060"/>
      <c r="P49" s="1060"/>
    </row>
    <row r="50" spans="1:16" x14ac:dyDescent="0.25">
      <c r="A50" s="799"/>
      <c r="B50" s="799"/>
      <c r="C50" s="799"/>
      <c r="D50" s="806"/>
      <c r="E50" s="799"/>
      <c r="F50" s="799"/>
      <c r="G50" s="799"/>
      <c r="H50" s="799"/>
      <c r="I50" s="799"/>
      <c r="J50" s="799"/>
      <c r="K50" s="799"/>
      <c r="L50" s="799"/>
      <c r="M50" s="799"/>
      <c r="N50" s="799"/>
      <c r="O50" s="799"/>
      <c r="P50" s="799"/>
    </row>
    <row r="51" spans="1:16" x14ac:dyDescent="0.25">
      <c r="A51" s="1055" t="s">
        <v>625</v>
      </c>
      <c r="B51" s="1055"/>
      <c r="C51" s="1055"/>
      <c r="D51" s="1055"/>
      <c r="E51" s="1055"/>
      <c r="F51" s="1055"/>
      <c r="G51" s="1055"/>
      <c r="H51" s="1055"/>
      <c r="I51" s="1055"/>
      <c r="J51" s="1055"/>
      <c r="K51" s="1055"/>
      <c r="L51" s="1055"/>
      <c r="M51" s="1055"/>
      <c r="N51" s="1055"/>
      <c r="O51" s="1055"/>
      <c r="P51" s="1055"/>
    </row>
    <row r="52" spans="1:16" x14ac:dyDescent="0.25">
      <c r="A52" s="1055"/>
      <c r="B52" s="1055"/>
      <c r="C52" s="1055"/>
      <c r="D52" s="1055"/>
      <c r="E52" s="1055"/>
      <c r="F52" s="1055"/>
      <c r="G52" s="1055"/>
      <c r="H52" s="1055"/>
      <c r="I52" s="1055"/>
      <c r="J52" s="1055"/>
      <c r="K52" s="1055"/>
      <c r="L52" s="1055"/>
      <c r="M52" s="1055"/>
      <c r="N52" s="1055"/>
      <c r="O52" s="1055"/>
      <c r="P52" s="1055"/>
    </row>
    <row r="53" spans="1:16" x14ac:dyDescent="0.25">
      <c r="A53" s="1055"/>
      <c r="B53" s="1055"/>
      <c r="C53" s="1055"/>
      <c r="D53" s="1055"/>
      <c r="E53" s="1055"/>
      <c r="F53" s="1055"/>
      <c r="G53" s="1055"/>
      <c r="H53" s="1055"/>
      <c r="I53" s="1055"/>
      <c r="J53" s="1055"/>
      <c r="K53" s="1055"/>
      <c r="L53" s="1055"/>
      <c r="M53" s="1055"/>
      <c r="N53" s="1055"/>
      <c r="O53" s="1055"/>
      <c r="P53" s="1055"/>
    </row>
    <row r="54" spans="1:16" x14ac:dyDescent="0.25">
      <c r="A54" s="807"/>
      <c r="B54" s="807"/>
      <c r="C54" s="807"/>
      <c r="D54" s="808"/>
      <c r="E54" s="807"/>
      <c r="F54" s="807"/>
      <c r="G54" s="807"/>
      <c r="H54" s="807"/>
      <c r="I54" s="807"/>
      <c r="J54" s="807"/>
      <c r="K54" s="807"/>
      <c r="L54" s="807"/>
      <c r="M54" s="807"/>
      <c r="N54" s="807"/>
      <c r="O54" s="807"/>
      <c r="P54" s="807"/>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83" t="s">
        <v>626</v>
      </c>
    </row>
    <row r="2" spans="1:6" ht="20.45" customHeight="1" x14ac:dyDescent="0.3">
      <c r="A2" s="817" t="s">
        <v>627</v>
      </c>
      <c r="B2" s="817" t="s">
        <v>628</v>
      </c>
      <c r="C2" s="817" t="s">
        <v>629</v>
      </c>
      <c r="D2" s="817" t="s">
        <v>630</v>
      </c>
    </row>
    <row r="3" spans="1:6" x14ac:dyDescent="0.25">
      <c r="A3" s="818" t="s">
        <v>631</v>
      </c>
      <c r="B3" s="805">
        <f>SUM(B4:B7)</f>
        <v>325</v>
      </c>
      <c r="E3" s="1062" t="s">
        <v>632</v>
      </c>
      <c r="F3" s="1062"/>
    </row>
    <row r="4" spans="1:6" x14ac:dyDescent="0.25">
      <c r="A4" s="792" t="s">
        <v>633</v>
      </c>
      <c r="B4" s="805">
        <v>284</v>
      </c>
      <c r="E4" s="257" t="s">
        <v>51</v>
      </c>
      <c r="F4" s="257" t="s">
        <v>634</v>
      </c>
    </row>
    <row r="5" spans="1:6" x14ac:dyDescent="0.25">
      <c r="A5" s="792" t="s">
        <v>475</v>
      </c>
      <c r="B5" s="805">
        <v>20</v>
      </c>
      <c r="E5" s="183" t="s">
        <v>150</v>
      </c>
      <c r="F5" s="183">
        <f>SUM(B11:B16)</f>
        <v>82</v>
      </c>
    </row>
    <row r="6" spans="1:6" x14ac:dyDescent="0.25">
      <c r="A6" s="792" t="s">
        <v>482</v>
      </c>
      <c r="B6" s="805">
        <v>15</v>
      </c>
      <c r="E6" s="183" t="s">
        <v>49</v>
      </c>
      <c r="F6" s="183">
        <f>B23</f>
        <v>3</v>
      </c>
    </row>
    <row r="7" spans="1:6" x14ac:dyDescent="0.25">
      <c r="A7" s="792" t="s">
        <v>483</v>
      </c>
      <c r="B7" s="805">
        <v>6</v>
      </c>
      <c r="E7" s="183" t="s">
        <v>391</v>
      </c>
      <c r="F7" s="183">
        <f>B27-B28</f>
        <v>29</v>
      </c>
    </row>
    <row r="8" spans="1:6" x14ac:dyDescent="0.25">
      <c r="A8" s="257" t="s">
        <v>635</v>
      </c>
      <c r="B8" s="805">
        <v>121</v>
      </c>
      <c r="E8" s="183" t="s">
        <v>408</v>
      </c>
      <c r="F8" s="183">
        <f>B42</f>
        <v>2</v>
      </c>
    </row>
    <row r="9" spans="1:6" x14ac:dyDescent="0.25">
      <c r="A9" s="819" t="s">
        <v>636</v>
      </c>
      <c r="B9" s="805">
        <v>166</v>
      </c>
      <c r="E9" s="183" t="s">
        <v>637</v>
      </c>
      <c r="F9" s="183">
        <f>B18+B20+B21</f>
        <v>34</v>
      </c>
    </row>
    <row r="10" spans="1:6" x14ac:dyDescent="0.25">
      <c r="A10" s="816" t="s">
        <v>638</v>
      </c>
      <c r="B10" s="805">
        <v>82</v>
      </c>
      <c r="E10" s="257" t="s">
        <v>639</v>
      </c>
      <c r="F10" s="257" t="s">
        <v>640</v>
      </c>
    </row>
    <row r="11" spans="1:6" x14ac:dyDescent="0.25">
      <c r="A11" s="792" t="s">
        <v>641</v>
      </c>
      <c r="B11" s="805">
        <v>54</v>
      </c>
      <c r="E11" s="183" t="s">
        <v>364</v>
      </c>
      <c r="F11" s="183">
        <f>B4</f>
        <v>284</v>
      </c>
    </row>
    <row r="12" spans="1:6" x14ac:dyDescent="0.25">
      <c r="A12" s="792" t="s">
        <v>642</v>
      </c>
      <c r="B12" s="805">
        <v>20</v>
      </c>
      <c r="E12" s="183" t="s">
        <v>643</v>
      </c>
      <c r="F12" s="183">
        <f>B5</f>
        <v>20</v>
      </c>
    </row>
    <row r="13" spans="1:6" x14ac:dyDescent="0.25">
      <c r="A13" s="792" t="s">
        <v>644</v>
      </c>
      <c r="B13" s="805">
        <v>4</v>
      </c>
      <c r="E13" s="183" t="s">
        <v>482</v>
      </c>
      <c r="F13" s="183">
        <f>B6</f>
        <v>15</v>
      </c>
    </row>
    <row r="14" spans="1:6" ht="27.6" customHeight="1" x14ac:dyDescent="0.25">
      <c r="A14" s="792" t="s">
        <v>645</v>
      </c>
      <c r="B14" s="805">
        <v>2</v>
      </c>
      <c r="E14" s="254" t="s">
        <v>483</v>
      </c>
      <c r="F14" s="183">
        <f>B7</f>
        <v>6</v>
      </c>
    </row>
    <row r="15" spans="1:6" ht="27.6" customHeight="1" x14ac:dyDescent="0.25">
      <c r="A15" s="792" t="s">
        <v>646</v>
      </c>
      <c r="B15" s="805">
        <v>1</v>
      </c>
      <c r="E15" s="254" t="s">
        <v>647</v>
      </c>
      <c r="F15" s="183">
        <f>B28</f>
        <v>15</v>
      </c>
    </row>
    <row r="16" spans="1:6" x14ac:dyDescent="0.25">
      <c r="A16" s="792" t="s">
        <v>648</v>
      </c>
      <c r="B16" s="805">
        <v>1</v>
      </c>
      <c r="E16" s="183" t="s">
        <v>649</v>
      </c>
      <c r="F16" s="183">
        <f>B37</f>
        <v>12</v>
      </c>
    </row>
    <row r="17" spans="1:6" x14ac:dyDescent="0.25">
      <c r="A17" s="257" t="s">
        <v>650</v>
      </c>
      <c r="B17" s="805">
        <v>72</v>
      </c>
      <c r="E17" s="183" t="s">
        <v>651</v>
      </c>
      <c r="F17" s="183">
        <f>B38</f>
        <v>10</v>
      </c>
    </row>
    <row r="18" spans="1:6" x14ac:dyDescent="0.25">
      <c r="A18" s="792" t="s">
        <v>652</v>
      </c>
      <c r="B18" s="805">
        <v>22</v>
      </c>
      <c r="C18" s="183" t="s">
        <v>653</v>
      </c>
    </row>
    <row r="19" spans="1:6" x14ac:dyDescent="0.25">
      <c r="A19" s="792" t="s">
        <v>654</v>
      </c>
      <c r="B19" s="805">
        <v>20</v>
      </c>
      <c r="C19" s="183" t="s">
        <v>109</v>
      </c>
    </row>
    <row r="20" spans="1:6" x14ac:dyDescent="0.25">
      <c r="A20" s="792" t="s">
        <v>655</v>
      </c>
      <c r="B20" s="805">
        <v>8</v>
      </c>
      <c r="C20" s="183" t="s">
        <v>653</v>
      </c>
    </row>
    <row r="21" spans="1:6" x14ac:dyDescent="0.25">
      <c r="A21" s="792" t="s">
        <v>656</v>
      </c>
      <c r="B21" s="805">
        <v>4</v>
      </c>
      <c r="C21" s="183" t="s">
        <v>51</v>
      </c>
    </row>
    <row r="22" spans="1:6" x14ac:dyDescent="0.25">
      <c r="A22" s="792" t="s">
        <v>657</v>
      </c>
      <c r="B22" s="805">
        <v>4</v>
      </c>
      <c r="C22" s="183" t="s">
        <v>109</v>
      </c>
    </row>
    <row r="23" spans="1:6" x14ac:dyDescent="0.25">
      <c r="A23" s="792" t="s">
        <v>658</v>
      </c>
      <c r="B23" s="805">
        <v>3</v>
      </c>
      <c r="C23" s="183" t="s">
        <v>659</v>
      </c>
    </row>
    <row r="24" spans="1:6" x14ac:dyDescent="0.25">
      <c r="A24" s="792" t="s">
        <v>660</v>
      </c>
      <c r="B24" s="805">
        <v>3</v>
      </c>
      <c r="C24" s="183" t="s">
        <v>661</v>
      </c>
    </row>
    <row r="25" spans="1:6" x14ac:dyDescent="0.25">
      <c r="A25" s="820" t="s">
        <v>662</v>
      </c>
      <c r="B25" s="805">
        <v>3</v>
      </c>
      <c r="C25" s="183" t="s">
        <v>55</v>
      </c>
    </row>
    <row r="26" spans="1:6" x14ac:dyDescent="0.25">
      <c r="A26" s="792" t="s">
        <v>663</v>
      </c>
      <c r="B26" s="805">
        <v>4</v>
      </c>
      <c r="C26" s="183" t="s">
        <v>664</v>
      </c>
    </row>
    <row r="27" spans="1:6" x14ac:dyDescent="0.25">
      <c r="A27" s="257" t="s">
        <v>391</v>
      </c>
      <c r="B27" s="805">
        <v>44</v>
      </c>
    </row>
    <row r="28" spans="1:6" x14ac:dyDescent="0.25">
      <c r="A28" s="813" t="s">
        <v>647</v>
      </c>
      <c r="B28" s="814">
        <v>15</v>
      </c>
    </row>
    <row r="29" spans="1:6" x14ac:dyDescent="0.25">
      <c r="A29" s="792" t="s">
        <v>665</v>
      </c>
      <c r="B29" s="805">
        <v>14</v>
      </c>
    </row>
    <row r="30" spans="1:6" x14ac:dyDescent="0.25">
      <c r="A30" s="792" t="s">
        <v>666</v>
      </c>
      <c r="B30" s="805">
        <v>10</v>
      </c>
    </row>
    <row r="31" spans="1:6" x14ac:dyDescent="0.25">
      <c r="A31" s="792" t="s">
        <v>667</v>
      </c>
      <c r="B31" s="805">
        <v>2</v>
      </c>
    </row>
    <row r="32" spans="1:6" x14ac:dyDescent="0.25">
      <c r="A32" s="792" t="s">
        <v>668</v>
      </c>
      <c r="B32" s="805">
        <v>2</v>
      </c>
    </row>
    <row r="33" spans="1:6" x14ac:dyDescent="0.25">
      <c r="A33" s="792" t="s">
        <v>669</v>
      </c>
      <c r="B33" s="805">
        <v>1</v>
      </c>
    </row>
    <row r="34" spans="1:6" x14ac:dyDescent="0.25">
      <c r="A34" s="257" t="s">
        <v>670</v>
      </c>
      <c r="B34" s="805">
        <v>88</v>
      </c>
    </row>
    <row r="35" spans="1:6" x14ac:dyDescent="0.25">
      <c r="A35" s="820" t="s">
        <v>671</v>
      </c>
      <c r="B35" s="805">
        <v>26</v>
      </c>
    </row>
    <row r="36" spans="1:6" x14ac:dyDescent="0.25">
      <c r="A36" s="792" t="s">
        <v>672</v>
      </c>
      <c r="B36" s="805">
        <v>25</v>
      </c>
    </row>
    <row r="37" spans="1:6" x14ac:dyDescent="0.25">
      <c r="A37" s="792" t="s">
        <v>649</v>
      </c>
      <c r="B37" s="805">
        <v>12</v>
      </c>
      <c r="C37" s="183" t="s">
        <v>673</v>
      </c>
      <c r="E37" s="183" t="s">
        <v>674</v>
      </c>
      <c r="F37" s="183" t="s">
        <v>675</v>
      </c>
    </row>
    <row r="38" spans="1:6" x14ac:dyDescent="0.25">
      <c r="A38" s="792" t="s">
        <v>651</v>
      </c>
      <c r="B38" s="805">
        <v>10</v>
      </c>
      <c r="C38" s="183" t="s">
        <v>673</v>
      </c>
      <c r="E38" s="183" t="s">
        <v>676</v>
      </c>
      <c r="F38" s="183" t="s">
        <v>677</v>
      </c>
    </row>
    <row r="39" spans="1:6" x14ac:dyDescent="0.25">
      <c r="A39" s="792" t="s">
        <v>678</v>
      </c>
      <c r="B39" s="805">
        <v>7</v>
      </c>
      <c r="C39" s="183" t="s">
        <v>664</v>
      </c>
      <c r="E39" s="183" t="s">
        <v>679</v>
      </c>
      <c r="F39" s="183" t="s">
        <v>680</v>
      </c>
    </row>
    <row r="40" spans="1:6" x14ac:dyDescent="0.25">
      <c r="A40" s="792" t="s">
        <v>681</v>
      </c>
      <c r="B40" s="805">
        <v>5</v>
      </c>
      <c r="C40" s="183" t="s">
        <v>109</v>
      </c>
      <c r="E40" s="183" t="s">
        <v>682</v>
      </c>
    </row>
    <row r="41" spans="1:6" x14ac:dyDescent="0.25">
      <c r="A41" s="792" t="s">
        <v>683</v>
      </c>
      <c r="B41" s="805">
        <v>2</v>
      </c>
      <c r="C41" s="183" t="s">
        <v>664</v>
      </c>
      <c r="E41" s="183" t="s">
        <v>684</v>
      </c>
    </row>
    <row r="42" spans="1:6" x14ac:dyDescent="0.25">
      <c r="A42" s="792" t="s">
        <v>685</v>
      </c>
      <c r="B42" s="805">
        <v>2</v>
      </c>
      <c r="C42" s="183" t="s">
        <v>653</v>
      </c>
      <c r="E42" s="815" t="s">
        <v>686</v>
      </c>
    </row>
    <row r="43" spans="1:6" x14ac:dyDescent="0.25">
      <c r="A43" s="792" t="s">
        <v>687</v>
      </c>
      <c r="B43" s="805">
        <v>0</v>
      </c>
      <c r="E43" s="183" t="s">
        <v>688</v>
      </c>
    </row>
    <row r="44" spans="1:6" x14ac:dyDescent="0.25">
      <c r="A44" s="257" t="s">
        <v>689</v>
      </c>
      <c r="B44" s="805">
        <v>40</v>
      </c>
    </row>
    <row r="45" spans="1:6" x14ac:dyDescent="0.25">
      <c r="A45" s="820" t="s">
        <v>690</v>
      </c>
      <c r="B45" s="821">
        <v>21</v>
      </c>
    </row>
    <row r="46" spans="1:6" x14ac:dyDescent="0.25">
      <c r="A46" s="792" t="s">
        <v>691</v>
      </c>
      <c r="B46" s="805">
        <v>6</v>
      </c>
    </row>
    <row r="47" spans="1:6" x14ac:dyDescent="0.25">
      <c r="A47" s="820" t="s">
        <v>692</v>
      </c>
      <c r="B47" s="821">
        <v>4</v>
      </c>
    </row>
    <row r="48" spans="1:6" x14ac:dyDescent="0.25">
      <c r="A48" s="792" t="s">
        <v>693</v>
      </c>
      <c r="B48" s="805">
        <v>4</v>
      </c>
    </row>
    <row r="49" spans="1:2" x14ac:dyDescent="0.25">
      <c r="A49" s="820" t="s">
        <v>694</v>
      </c>
      <c r="B49" s="821">
        <v>3</v>
      </c>
    </row>
    <row r="50" spans="1:2" x14ac:dyDescent="0.25">
      <c r="A50" s="792" t="s">
        <v>695</v>
      </c>
      <c r="B50" s="80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X1" zoomScale="105" zoomScaleNormal="90" workbookViewId="0">
      <selection activeCell="AK3" sqref="AK3"/>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911</v>
      </c>
      <c r="I1" s="1063"/>
      <c r="J1" s="1063"/>
      <c r="K1" s="1063"/>
    </row>
    <row r="2" spans="1:62" ht="13.15" customHeight="1" x14ac:dyDescent="0.25">
      <c r="A2" s="837"/>
      <c r="O2" s="865" t="s">
        <v>867</v>
      </c>
      <c r="P2" s="1069" t="s">
        <v>696</v>
      </c>
      <c r="Q2" s="1069"/>
      <c r="R2" s="1069"/>
      <c r="S2" s="1069"/>
      <c r="T2" s="822"/>
      <c r="U2" s="822"/>
      <c r="V2" s="822"/>
      <c r="W2" s="822"/>
      <c r="X2" s="822"/>
      <c r="Y2" s="1064" t="s">
        <v>697</v>
      </c>
      <c r="Z2" s="1065"/>
      <c r="AA2" s="1065"/>
      <c r="AB2" s="1065"/>
      <c r="AC2" s="1065"/>
      <c r="AD2" s="1065"/>
      <c r="AE2" s="822"/>
      <c r="AF2" s="822"/>
      <c r="AG2" s="1066" t="s">
        <v>698</v>
      </c>
      <c r="AH2" s="1065"/>
      <c r="AI2" s="1065"/>
      <c r="AJ2" s="1068" t="s">
        <v>699</v>
      </c>
      <c r="AK2" s="1068"/>
      <c r="AL2" s="1068"/>
      <c r="AM2" s="1068"/>
      <c r="AN2" s="1068"/>
      <c r="AO2" s="1068"/>
      <c r="AP2" s="1068"/>
      <c r="AQ2" s="1068"/>
      <c r="AR2" s="1068"/>
      <c r="AS2" s="1068"/>
      <c r="AT2" s="823"/>
      <c r="AU2" s="1067" t="s">
        <v>434</v>
      </c>
      <c r="AV2" s="1067"/>
      <c r="AW2" s="1067"/>
      <c r="AX2" s="1067"/>
      <c r="AY2" s="1067"/>
      <c r="AZ2" s="1067"/>
      <c r="BA2" s="1067"/>
      <c r="BB2" s="849"/>
      <c r="BC2" s="849"/>
      <c r="BD2" s="849"/>
      <c r="BE2" s="849"/>
      <c r="BF2" s="849"/>
      <c r="BG2" s="849"/>
      <c r="BH2" s="849"/>
      <c r="BI2" s="849"/>
      <c r="BJ2" s="855" t="s">
        <v>700</v>
      </c>
    </row>
    <row r="3" spans="1:62" ht="43.15" customHeight="1" x14ac:dyDescent="0.25">
      <c r="A3" s="838"/>
      <c r="B3" s="838"/>
      <c r="C3" s="838"/>
      <c r="D3" s="838"/>
      <c r="E3" s="838"/>
      <c r="F3" s="838"/>
      <c r="G3" s="838"/>
      <c r="H3" s="838"/>
      <c r="I3" s="838"/>
      <c r="J3" s="838"/>
      <c r="K3" s="838"/>
      <c r="L3" s="838"/>
      <c r="M3" s="838"/>
      <c r="N3" s="838"/>
      <c r="O3" s="866" t="s">
        <v>701</v>
      </c>
      <c r="P3" s="848" t="s">
        <v>702</v>
      </c>
      <c r="Q3" s="848" t="s">
        <v>703</v>
      </c>
      <c r="R3" s="848" t="s">
        <v>704</v>
      </c>
      <c r="S3" s="848" t="s">
        <v>705</v>
      </c>
      <c r="T3" s="848" t="s">
        <v>706</v>
      </c>
      <c r="U3" s="848" t="s">
        <v>707</v>
      </c>
      <c r="V3" s="848" t="s">
        <v>708</v>
      </c>
      <c r="W3" s="848" t="s">
        <v>709</v>
      </c>
      <c r="X3" s="848" t="s">
        <v>710</v>
      </c>
      <c r="Y3" s="848" t="s">
        <v>711</v>
      </c>
      <c r="Z3" s="848"/>
      <c r="AA3" s="848"/>
      <c r="AB3" s="848"/>
      <c r="AC3" s="848" t="s">
        <v>712</v>
      </c>
      <c r="AD3" s="848" t="s">
        <v>713</v>
      </c>
      <c r="AE3" s="848" t="s">
        <v>714</v>
      </c>
      <c r="AF3" s="848" t="s">
        <v>715</v>
      </c>
      <c r="AG3" s="848" t="s">
        <v>716</v>
      </c>
      <c r="AH3" s="848" t="s">
        <v>717</v>
      </c>
      <c r="AI3" s="848" t="s">
        <v>718</v>
      </c>
      <c r="AJ3" s="848" t="s">
        <v>719</v>
      </c>
      <c r="AK3" s="848" t="s">
        <v>720</v>
      </c>
      <c r="AL3" s="848" t="s">
        <v>721</v>
      </c>
      <c r="AM3" s="848" t="s">
        <v>722</v>
      </c>
      <c r="AN3" s="848" t="s">
        <v>723</v>
      </c>
      <c r="AO3" s="848" t="s">
        <v>724</v>
      </c>
      <c r="AP3" s="848" t="s">
        <v>725</v>
      </c>
      <c r="AQ3" s="861" t="s">
        <v>726</v>
      </c>
      <c r="AR3" s="848" t="s">
        <v>727</v>
      </c>
      <c r="AS3" s="848" t="s">
        <v>728</v>
      </c>
      <c r="AT3" s="848" t="s">
        <v>729</v>
      </c>
      <c r="AU3" s="848" t="s">
        <v>730</v>
      </c>
      <c r="AV3" s="848" t="s">
        <v>731</v>
      </c>
      <c r="AW3" s="848" t="s">
        <v>732</v>
      </c>
      <c r="AX3" s="848" t="s">
        <v>733</v>
      </c>
      <c r="AY3" s="848" t="s">
        <v>734</v>
      </c>
      <c r="AZ3" s="848" t="s">
        <v>735</v>
      </c>
      <c r="BA3" s="848" t="s">
        <v>712</v>
      </c>
      <c r="BB3" s="856" t="s">
        <v>736</v>
      </c>
      <c r="BC3" s="856" t="s">
        <v>737</v>
      </c>
      <c r="BD3" s="856" t="s">
        <v>738</v>
      </c>
      <c r="BE3" s="856" t="s">
        <v>739</v>
      </c>
      <c r="BF3" s="856" t="s">
        <v>740</v>
      </c>
      <c r="BG3" s="856" t="s">
        <v>741</v>
      </c>
      <c r="BH3" s="856" t="s">
        <v>742</v>
      </c>
      <c r="BI3" s="856" t="s">
        <v>743</v>
      </c>
      <c r="BJ3" s="850" t="s">
        <v>744</v>
      </c>
    </row>
    <row r="4" spans="1:62" ht="63" customHeight="1" x14ac:dyDescent="0.25">
      <c r="A4" s="859" t="s">
        <v>745</v>
      </c>
      <c r="B4" s="837" t="s">
        <v>56</v>
      </c>
      <c r="C4" s="837" t="s">
        <v>746</v>
      </c>
      <c r="D4" s="837" t="s">
        <v>616</v>
      </c>
      <c r="E4" s="837" t="s">
        <v>747</v>
      </c>
      <c r="F4" s="837" t="s">
        <v>748</v>
      </c>
      <c r="G4" s="837" t="s">
        <v>749</v>
      </c>
      <c r="H4" s="837" t="s">
        <v>131</v>
      </c>
      <c r="I4" s="844" t="s">
        <v>396</v>
      </c>
      <c r="J4" s="844" t="s">
        <v>150</v>
      </c>
      <c r="K4" s="844" t="s">
        <v>750</v>
      </c>
      <c r="L4" s="842" t="s">
        <v>159</v>
      </c>
      <c r="M4" s="837" t="s">
        <v>109</v>
      </c>
      <c r="N4" s="837" t="s">
        <v>751</v>
      </c>
      <c r="O4" s="867" t="s">
        <v>752</v>
      </c>
      <c r="P4" s="856" t="s">
        <v>753</v>
      </c>
      <c r="Q4" s="856" t="s">
        <v>754</v>
      </c>
      <c r="R4" s="856" t="s">
        <v>755</v>
      </c>
      <c r="S4" s="856" t="s">
        <v>756</v>
      </c>
      <c r="T4" s="856" t="s">
        <v>757</v>
      </c>
      <c r="U4" s="856" t="s">
        <v>758</v>
      </c>
      <c r="V4" s="856" t="s">
        <v>759</v>
      </c>
      <c r="W4" s="856" t="s">
        <v>760</v>
      </c>
      <c r="X4" s="856" t="s">
        <v>761</v>
      </c>
      <c r="Y4" s="856" t="s">
        <v>762</v>
      </c>
      <c r="Z4" s="856" t="s">
        <v>763</v>
      </c>
      <c r="AA4" s="856" t="s">
        <v>764</v>
      </c>
      <c r="AB4" s="856" t="s">
        <v>765</v>
      </c>
      <c r="AC4" s="856" t="s">
        <v>766</v>
      </c>
      <c r="AD4" s="856" t="s">
        <v>767</v>
      </c>
      <c r="AE4" s="856" t="s">
        <v>768</v>
      </c>
      <c r="AF4" s="856" t="s">
        <v>769</v>
      </c>
      <c r="AG4" s="856" t="s">
        <v>210</v>
      </c>
      <c r="AH4" s="856" t="s">
        <v>211</v>
      </c>
      <c r="AI4" s="856" t="s">
        <v>770</v>
      </c>
      <c r="AJ4" s="856" t="s">
        <v>771</v>
      </c>
      <c r="AK4" s="856" t="s">
        <v>772</v>
      </c>
      <c r="AL4" s="856" t="s">
        <v>773</v>
      </c>
      <c r="AM4" s="856" t="s">
        <v>774</v>
      </c>
      <c r="AN4" s="856" t="s">
        <v>775</v>
      </c>
      <c r="AO4" s="856" t="s">
        <v>776</v>
      </c>
      <c r="AP4" s="856" t="s">
        <v>777</v>
      </c>
      <c r="AQ4" s="857" t="s">
        <v>778</v>
      </c>
      <c r="AR4" s="856" t="s">
        <v>779</v>
      </c>
      <c r="AS4" s="856" t="s">
        <v>780</v>
      </c>
      <c r="AT4" s="856" t="s">
        <v>781</v>
      </c>
      <c r="AU4" s="856" t="s">
        <v>782</v>
      </c>
      <c r="AV4" s="856" t="s">
        <v>783</v>
      </c>
      <c r="AW4" s="856" t="s">
        <v>784</v>
      </c>
      <c r="AX4" s="856" t="s">
        <v>785</v>
      </c>
      <c r="AY4" s="856" t="s">
        <v>786</v>
      </c>
      <c r="AZ4" s="856" t="s">
        <v>787</v>
      </c>
      <c r="BA4" s="856"/>
      <c r="BB4" s="856" t="s">
        <v>487</v>
      </c>
      <c r="BC4" s="856" t="s">
        <v>788</v>
      </c>
      <c r="BD4" s="856" t="s">
        <v>789</v>
      </c>
      <c r="BE4" s="856" t="s">
        <v>790</v>
      </c>
      <c r="BF4" s="856" t="s">
        <v>791</v>
      </c>
      <c r="BG4" s="856" t="s">
        <v>792</v>
      </c>
      <c r="BH4" s="856" t="s">
        <v>793</v>
      </c>
      <c r="BI4" s="856" t="s">
        <v>794</v>
      </c>
      <c r="BJ4" s="858" t="s">
        <v>795</v>
      </c>
    </row>
    <row r="5" spans="1:62" x14ac:dyDescent="0.25">
      <c r="A5" s="839">
        <v>2021</v>
      </c>
      <c r="B5" s="841">
        <f>Q5</f>
        <v>394.202</v>
      </c>
      <c r="C5" s="841">
        <f>SUM(Y5:AB5)</f>
        <v>195.7</v>
      </c>
      <c r="D5" s="841">
        <f>T5</f>
        <v>18.823</v>
      </c>
      <c r="E5" s="841">
        <f>SUM(P5:S5)-B5</f>
        <v>0.77600000000001046</v>
      </c>
      <c r="F5" s="841">
        <f>SUM(T5:AF5)-C5-L5-D5 - 28</f>
        <v>19.722000000000016</v>
      </c>
      <c r="G5" s="841">
        <f>SUM(BB5:BI5)-BC5</f>
        <v>81.642999999999986</v>
      </c>
      <c r="H5" s="841">
        <f>SUM(AG5:AI5)</f>
        <v>7.798</v>
      </c>
      <c r="I5" s="841">
        <f>AJ5</f>
        <v>283.95749999999998</v>
      </c>
      <c r="J5" s="841">
        <f>AL5</f>
        <v>12.347</v>
      </c>
      <c r="K5" s="841">
        <f>SUM(AM5:AT5)</f>
        <v>29.628</v>
      </c>
      <c r="L5" s="845">
        <f>103/4</f>
        <v>25.75</v>
      </c>
      <c r="M5" s="841">
        <f t="shared" ref="M5:M16" si="0">SUM(AU5:BA5)</f>
        <v>31.939</v>
      </c>
      <c r="N5" s="841">
        <f>AK5</f>
        <v>3.4</v>
      </c>
      <c r="O5" s="868">
        <v>50</v>
      </c>
      <c r="P5" s="863">
        <v>0.55000000000000004</v>
      </c>
      <c r="Q5" s="864">
        <v>394.202</v>
      </c>
      <c r="R5" s="870">
        <v>0.14599999999999999</v>
      </c>
      <c r="S5" s="870">
        <v>0.08</v>
      </c>
      <c r="T5" s="870">
        <v>18.823</v>
      </c>
      <c r="U5" s="864">
        <v>19</v>
      </c>
      <c r="V5" s="870">
        <v>11.481999999999999</v>
      </c>
      <c r="W5" s="834">
        <v>1.5580000000000001</v>
      </c>
      <c r="X5" s="834">
        <v>0.74</v>
      </c>
      <c r="Y5" s="864">
        <v>0.2</v>
      </c>
      <c r="Z5" s="864">
        <v>43.1</v>
      </c>
      <c r="AA5" s="864">
        <v>33.9</v>
      </c>
      <c r="AB5" s="864">
        <v>118.5</v>
      </c>
      <c r="AC5" s="864">
        <v>28</v>
      </c>
      <c r="AD5" s="834">
        <v>-2.0379999999999998</v>
      </c>
      <c r="AE5" s="864">
        <v>14.31</v>
      </c>
      <c r="AF5" s="870">
        <v>0.42</v>
      </c>
      <c r="AG5" s="870">
        <v>7.7279999999999998</v>
      </c>
      <c r="AH5" s="864">
        <v>7.0000000000000007E-2</v>
      </c>
      <c r="AI5" s="864">
        <v>0</v>
      </c>
      <c r="AJ5" s="864">
        <v>283.95749999999998</v>
      </c>
      <c r="AK5" s="862">
        <v>3.4</v>
      </c>
      <c r="AL5" s="862">
        <v>12.347</v>
      </c>
      <c r="AM5" s="871">
        <v>0.28599999999999998</v>
      </c>
      <c r="AN5" s="862">
        <v>2</v>
      </c>
      <c r="AO5" s="864">
        <v>0.81</v>
      </c>
      <c r="AP5" s="862">
        <v>0.52100000000000002</v>
      </c>
      <c r="AQ5" s="824">
        <v>10</v>
      </c>
      <c r="AR5" s="862">
        <v>2.7</v>
      </c>
      <c r="AS5" s="862">
        <v>0.751</v>
      </c>
      <c r="AT5" s="864">
        <v>12.56</v>
      </c>
      <c r="AU5" s="864">
        <v>0</v>
      </c>
      <c r="AV5" s="862">
        <v>1.415</v>
      </c>
      <c r="AW5" s="862">
        <v>10.51</v>
      </c>
      <c r="AX5" s="862">
        <v>2.6</v>
      </c>
      <c r="AY5" s="864">
        <v>-0.33</v>
      </c>
      <c r="AZ5" s="862">
        <v>17.744</v>
      </c>
      <c r="BA5" s="864">
        <v>0</v>
      </c>
      <c r="BB5" s="862">
        <v>4.0999999999999996</v>
      </c>
      <c r="BC5" s="862">
        <v>7.25</v>
      </c>
      <c r="BD5" s="862">
        <v>48.4</v>
      </c>
      <c r="BE5" s="870">
        <v>0.83</v>
      </c>
      <c r="BF5" s="834">
        <v>4.5110000000000001</v>
      </c>
      <c r="BG5" s="864">
        <v>3.0739999999999998</v>
      </c>
      <c r="BH5" s="825">
        <v>-0.28399999999999997</v>
      </c>
      <c r="BI5" s="862">
        <v>21.012</v>
      </c>
      <c r="BJ5" s="851">
        <v>1.1599999999999999</v>
      </c>
    </row>
    <row r="6" spans="1:62" x14ac:dyDescent="0.25">
      <c r="A6" s="839">
        <v>2022</v>
      </c>
      <c r="B6" s="841">
        <f t="shared" ref="B6:B15" si="1">Q6</f>
        <v>17.465</v>
      </c>
      <c r="C6" s="841">
        <f t="shared" ref="C6:C15" si="2">SUM(Y6:AB6)</f>
        <v>10.1</v>
      </c>
      <c r="D6" s="841">
        <f t="shared" ref="D6:D15" si="3">T6</f>
        <v>2.5950000000000002</v>
      </c>
      <c r="E6" s="841">
        <f t="shared" ref="E6:E15" si="4">SUM(P6:S6)-B6</f>
        <v>19.719000000000005</v>
      </c>
      <c r="F6" s="841">
        <f>SUM(T6:AF6)-C6-L6-D6</f>
        <v>52.756999999999998</v>
      </c>
      <c r="G6" s="841">
        <f t="shared" ref="G6:G16" si="5">SUM(BB6:BI6)-BC6</f>
        <v>110.24799999999999</v>
      </c>
      <c r="H6" s="841">
        <f t="shared" ref="H6:H15" si="6">SUM(AG6:AI6)</f>
        <v>7.9489999999999998</v>
      </c>
      <c r="I6" s="841">
        <f t="shared" ref="I6:I15" si="7">AJ6</f>
        <v>77.092500000000001</v>
      </c>
      <c r="J6" s="841">
        <f t="shared" ref="J6:J15" si="8">AL6</f>
        <v>46.79</v>
      </c>
      <c r="K6" s="841">
        <f t="shared" ref="K6:K16" si="9">SUM(AM6:AT6)</f>
        <v>35.671000000000006</v>
      </c>
      <c r="L6" s="845">
        <v>0</v>
      </c>
      <c r="M6" s="841">
        <f t="shared" si="0"/>
        <v>56.412999999999997</v>
      </c>
      <c r="N6" s="841">
        <f t="shared" ref="N6:N15" si="10">AK6</f>
        <v>5.0999999999999996</v>
      </c>
      <c r="O6" s="868">
        <v>55</v>
      </c>
      <c r="P6" s="863">
        <v>15.61</v>
      </c>
      <c r="Q6" s="864">
        <v>17.465</v>
      </c>
      <c r="R6" s="870">
        <v>0.317</v>
      </c>
      <c r="S6" s="870">
        <v>3.7919999999999998</v>
      </c>
      <c r="T6" s="864">
        <v>2.5950000000000002</v>
      </c>
      <c r="U6" s="862">
        <v>14.5</v>
      </c>
      <c r="V6" s="864">
        <v>25.070999999999998</v>
      </c>
      <c r="W6" s="834">
        <v>1.952</v>
      </c>
      <c r="X6" s="834">
        <v>0.61399999999999999</v>
      </c>
      <c r="Y6" s="862">
        <v>0</v>
      </c>
      <c r="Z6" s="862">
        <v>2.2999999999999998</v>
      </c>
      <c r="AA6" s="862">
        <v>1.6</v>
      </c>
      <c r="AB6" s="862">
        <v>6.2</v>
      </c>
      <c r="AC6" s="864">
        <v>0</v>
      </c>
      <c r="AD6" s="864">
        <v>1.31</v>
      </c>
      <c r="AE6" s="864">
        <v>8.61</v>
      </c>
      <c r="AF6" s="864">
        <v>0.7</v>
      </c>
      <c r="AG6" s="870">
        <v>7.782</v>
      </c>
      <c r="AH6" s="864">
        <v>0.12</v>
      </c>
      <c r="AI6" s="864">
        <v>4.7E-2</v>
      </c>
      <c r="AJ6" s="864">
        <v>77.092500000000001</v>
      </c>
      <c r="AK6" s="862">
        <v>5.0999999999999996</v>
      </c>
      <c r="AL6" s="862">
        <v>46.79</v>
      </c>
      <c r="AM6" s="825">
        <v>0.30499999999999999</v>
      </c>
      <c r="AN6" s="862">
        <v>4.3</v>
      </c>
      <c r="AO6" s="834">
        <v>1.1000000000000001</v>
      </c>
      <c r="AP6" s="862">
        <v>1.575</v>
      </c>
      <c r="AQ6" s="824">
        <v>10</v>
      </c>
      <c r="AR6" s="862">
        <v>4.5</v>
      </c>
      <c r="AS6" s="862">
        <v>1.9810000000000001</v>
      </c>
      <c r="AT6" s="864">
        <v>11.91</v>
      </c>
      <c r="AU6" s="864">
        <v>0</v>
      </c>
      <c r="AV6" s="862">
        <v>3.927</v>
      </c>
      <c r="AW6" s="862">
        <v>4.2880000000000003</v>
      </c>
      <c r="AX6" s="862">
        <v>3.7</v>
      </c>
      <c r="AY6" s="864">
        <v>-1.34</v>
      </c>
      <c r="AZ6" s="862">
        <v>45.838000000000001</v>
      </c>
      <c r="BA6" s="864">
        <v>0</v>
      </c>
      <c r="BB6" s="862">
        <v>11.3</v>
      </c>
      <c r="BC6" s="862">
        <v>0</v>
      </c>
      <c r="BD6" s="862">
        <v>1.1000000000000001</v>
      </c>
      <c r="BE6" s="870">
        <v>1.75</v>
      </c>
      <c r="BF6" s="834">
        <v>1.7330000000000001</v>
      </c>
      <c r="BG6" s="834">
        <v>7.1440000000000001</v>
      </c>
      <c r="BH6" s="826">
        <v>81.608999999999995</v>
      </c>
      <c r="BI6" s="862">
        <v>5.6120000000000001</v>
      </c>
      <c r="BJ6" s="851">
        <v>4.2</v>
      </c>
    </row>
    <row r="7" spans="1:62" x14ac:dyDescent="0.25">
      <c r="A7" s="839">
        <v>2023</v>
      </c>
      <c r="B7" s="841">
        <f t="shared" si="1"/>
        <v>0.48599999999999999</v>
      </c>
      <c r="C7" s="841">
        <f t="shared" si="2"/>
        <v>0</v>
      </c>
      <c r="D7" s="841">
        <f t="shared" si="3"/>
        <v>0.93700000000000006</v>
      </c>
      <c r="E7" s="841">
        <f t="shared" si="4"/>
        <v>1.4159999999999999</v>
      </c>
      <c r="F7" s="841">
        <f t="shared" ref="F7:F15" si="11">SUM(T7:AF7)-C7-L7-D7</f>
        <v>12</v>
      </c>
      <c r="G7" s="841">
        <f t="shared" si="5"/>
        <v>12.726000000000001</v>
      </c>
      <c r="H7" s="841">
        <f t="shared" si="6"/>
        <v>4.7519999999999998</v>
      </c>
      <c r="I7" s="841">
        <f t="shared" si="7"/>
        <v>1</v>
      </c>
      <c r="J7" s="841">
        <f t="shared" si="8"/>
        <v>38.595999999999997</v>
      </c>
      <c r="K7" s="841">
        <f t="shared" si="9"/>
        <v>24.216000000000001</v>
      </c>
      <c r="L7" s="845">
        <v>0</v>
      </c>
      <c r="M7" s="841">
        <f t="shared" si="0"/>
        <v>15.652999999999999</v>
      </c>
      <c r="N7" s="841">
        <f t="shared" si="10"/>
        <v>0</v>
      </c>
      <c r="O7" s="868">
        <v>0.7</v>
      </c>
      <c r="P7" s="863">
        <v>0.96</v>
      </c>
      <c r="Q7" s="864">
        <v>0.48599999999999999</v>
      </c>
      <c r="R7" s="870">
        <v>0.45600000000000002</v>
      </c>
      <c r="S7" s="864">
        <v>0</v>
      </c>
      <c r="T7" s="827">
        <v>0.93700000000000006</v>
      </c>
      <c r="U7" s="862">
        <v>3</v>
      </c>
      <c r="V7" s="870">
        <v>7.891</v>
      </c>
      <c r="W7" s="834">
        <v>0.61699999999999999</v>
      </c>
      <c r="X7" s="834">
        <v>8.4000000000000005E-2</v>
      </c>
      <c r="Y7" s="862">
        <v>0</v>
      </c>
      <c r="Z7" s="862">
        <v>0</v>
      </c>
      <c r="AA7" s="862">
        <v>0</v>
      </c>
      <c r="AB7" s="862">
        <v>0</v>
      </c>
      <c r="AC7" s="864">
        <v>0</v>
      </c>
      <c r="AD7" s="864">
        <v>0.318</v>
      </c>
      <c r="AE7" s="870">
        <v>-0.11000000000000001</v>
      </c>
      <c r="AF7" s="864">
        <v>0.2</v>
      </c>
      <c r="AG7" s="870">
        <v>4.6749999999999998</v>
      </c>
      <c r="AH7" s="864">
        <v>0.06</v>
      </c>
      <c r="AI7" s="864">
        <v>1.7000000000000001E-2</v>
      </c>
      <c r="AJ7" s="864">
        <v>1</v>
      </c>
      <c r="AK7" s="862">
        <v>0</v>
      </c>
      <c r="AL7" s="862">
        <v>38.595999999999997</v>
      </c>
      <c r="AM7" s="864">
        <v>0.14899999999999999</v>
      </c>
      <c r="AN7" s="862">
        <v>1.2</v>
      </c>
      <c r="AO7" s="834">
        <v>0.53</v>
      </c>
      <c r="AP7" s="862">
        <v>0.38100000000000001</v>
      </c>
      <c r="AQ7" s="824">
        <v>8</v>
      </c>
      <c r="AR7" s="862">
        <v>4.5</v>
      </c>
      <c r="AS7" s="862">
        <v>0.76600000000000001</v>
      </c>
      <c r="AT7" s="864">
        <v>8.69</v>
      </c>
      <c r="AU7" s="864">
        <v>0</v>
      </c>
      <c r="AV7" s="862">
        <v>1.93</v>
      </c>
      <c r="AW7" s="862">
        <v>1.4379999999999999</v>
      </c>
      <c r="AX7" s="862">
        <v>2.6</v>
      </c>
      <c r="AY7" s="834">
        <v>-2.48</v>
      </c>
      <c r="AZ7" s="862">
        <v>12.164999999999999</v>
      </c>
      <c r="BA7" s="834">
        <v>0</v>
      </c>
      <c r="BB7" s="862">
        <v>8.4</v>
      </c>
      <c r="BC7" s="862">
        <v>0</v>
      </c>
      <c r="BD7" s="862">
        <v>0.3</v>
      </c>
      <c r="BE7" s="870">
        <v>1.8</v>
      </c>
      <c r="BF7" s="834">
        <v>0</v>
      </c>
      <c r="BG7" s="834">
        <v>0</v>
      </c>
      <c r="BH7" s="825">
        <v>1.3759999999999999</v>
      </c>
      <c r="BI7" s="862">
        <v>0.85</v>
      </c>
      <c r="BJ7" s="851">
        <v>2.7</v>
      </c>
    </row>
    <row r="8" spans="1:62" x14ac:dyDescent="0.25">
      <c r="A8" s="839">
        <v>2024</v>
      </c>
      <c r="B8" s="841">
        <f t="shared" si="1"/>
        <v>0</v>
      </c>
      <c r="C8" s="841">
        <f t="shared" si="2"/>
        <v>0</v>
      </c>
      <c r="D8" s="841">
        <f t="shared" si="3"/>
        <v>0.16</v>
      </c>
      <c r="E8" s="841">
        <f t="shared" si="4"/>
        <v>1.4790000000000001</v>
      </c>
      <c r="F8" s="841">
        <f t="shared" si="11"/>
        <v>4.2219999999999995</v>
      </c>
      <c r="G8" s="841">
        <f t="shared" si="5"/>
        <v>1.365</v>
      </c>
      <c r="H8" s="841">
        <f t="shared" si="6"/>
        <v>4.637999999999999</v>
      </c>
      <c r="I8" s="841">
        <f t="shared" si="7"/>
        <v>0</v>
      </c>
      <c r="J8" s="841">
        <f t="shared" si="8"/>
        <v>31.911000000000001</v>
      </c>
      <c r="K8" s="841">
        <f t="shared" si="9"/>
        <v>9.6430000000000007</v>
      </c>
      <c r="L8" s="845">
        <v>0</v>
      </c>
      <c r="M8" s="841">
        <f t="shared" si="0"/>
        <v>3.9320000000000004</v>
      </c>
      <c r="N8" s="841">
        <f t="shared" si="10"/>
        <v>0</v>
      </c>
      <c r="O8" s="868">
        <v>0.7</v>
      </c>
      <c r="P8" s="863">
        <v>0.96</v>
      </c>
      <c r="Q8" s="862">
        <v>0</v>
      </c>
      <c r="R8" s="870">
        <v>0.51900000000000002</v>
      </c>
      <c r="S8" s="864">
        <v>0</v>
      </c>
      <c r="T8" s="828">
        <v>0.16</v>
      </c>
      <c r="U8" s="862">
        <v>2.8</v>
      </c>
      <c r="V8" s="864">
        <v>0.504</v>
      </c>
      <c r="W8" s="834">
        <v>0.47199999999999998</v>
      </c>
      <c r="X8" s="834">
        <v>2E-3</v>
      </c>
      <c r="Y8" s="862">
        <v>0</v>
      </c>
      <c r="Z8" s="862">
        <v>0</v>
      </c>
      <c r="AA8" s="862">
        <v>0</v>
      </c>
      <c r="AB8" s="862">
        <v>0</v>
      </c>
      <c r="AC8" s="864">
        <v>0</v>
      </c>
      <c r="AD8" s="864">
        <v>0.34399999999999997</v>
      </c>
      <c r="AE8" s="870">
        <v>0</v>
      </c>
      <c r="AF8" s="870">
        <v>0.1</v>
      </c>
      <c r="AG8" s="870">
        <v>4.5739999999999998</v>
      </c>
      <c r="AH8" s="864">
        <v>0.06</v>
      </c>
      <c r="AI8" s="864">
        <v>4.0000000000000001E-3</v>
      </c>
      <c r="AJ8" s="864">
        <v>0</v>
      </c>
      <c r="AK8" s="862">
        <v>0</v>
      </c>
      <c r="AL8" s="862">
        <v>31.911000000000001</v>
      </c>
      <c r="AM8" s="864">
        <v>4.1000000000000002E-2</v>
      </c>
      <c r="AN8" s="862">
        <v>0.4</v>
      </c>
      <c r="AO8" s="834">
        <v>0.41</v>
      </c>
      <c r="AP8" s="862">
        <v>0.13100000000000001</v>
      </c>
      <c r="AQ8" s="824">
        <v>0</v>
      </c>
      <c r="AR8" s="862">
        <v>3</v>
      </c>
      <c r="AS8" s="862">
        <v>0.30099999999999999</v>
      </c>
      <c r="AT8" s="834">
        <v>5.36</v>
      </c>
      <c r="AU8" s="864">
        <v>0</v>
      </c>
      <c r="AV8" s="862">
        <v>0.79600000000000004</v>
      </c>
      <c r="AW8" s="862">
        <v>0.27500000000000002</v>
      </c>
      <c r="AX8" s="862">
        <v>1</v>
      </c>
      <c r="AY8" s="834">
        <v>-2.6</v>
      </c>
      <c r="AZ8" s="862">
        <v>4.4610000000000003</v>
      </c>
      <c r="BA8" s="834">
        <v>0</v>
      </c>
      <c r="BB8" s="862">
        <v>0.2</v>
      </c>
      <c r="BC8" s="862">
        <v>0</v>
      </c>
      <c r="BD8" s="862">
        <v>0</v>
      </c>
      <c r="BE8" s="870">
        <v>1.95</v>
      </c>
      <c r="BF8" s="834">
        <v>0</v>
      </c>
      <c r="BG8" s="834">
        <v>0</v>
      </c>
      <c r="BH8" s="825">
        <v>-0.875</v>
      </c>
      <c r="BI8" s="862">
        <v>0.09</v>
      </c>
      <c r="BJ8" s="852">
        <v>0.87</v>
      </c>
    </row>
    <row r="9" spans="1:62" x14ac:dyDescent="0.25">
      <c r="A9" s="839">
        <v>2025</v>
      </c>
      <c r="B9" s="841">
        <f t="shared" si="1"/>
        <v>0</v>
      </c>
      <c r="C9" s="841">
        <f t="shared" si="2"/>
        <v>0</v>
      </c>
      <c r="D9" s="841">
        <f t="shared" si="3"/>
        <v>3.3000000000000002E-2</v>
      </c>
      <c r="E9" s="841">
        <f t="shared" si="4"/>
        <v>1.63</v>
      </c>
      <c r="F9" s="841">
        <f t="shared" si="11"/>
        <v>2.3719999999999999</v>
      </c>
      <c r="G9" s="841">
        <f t="shared" si="5"/>
        <v>-0.90100000000000025</v>
      </c>
      <c r="H9" s="841">
        <f t="shared" si="6"/>
        <v>1.8800000000000001</v>
      </c>
      <c r="I9" s="841">
        <f t="shared" si="7"/>
        <v>0</v>
      </c>
      <c r="J9" s="841">
        <f t="shared" si="8"/>
        <v>23.099</v>
      </c>
      <c r="K9" s="841">
        <f t="shared" si="9"/>
        <v>4.5789999999999997</v>
      </c>
      <c r="L9" s="845">
        <v>0</v>
      </c>
      <c r="M9" s="841">
        <f t="shared" si="0"/>
        <v>-0.74299999999999988</v>
      </c>
      <c r="N9" s="841">
        <f t="shared" si="10"/>
        <v>0</v>
      </c>
      <c r="O9" s="868">
        <v>0.7</v>
      </c>
      <c r="P9" s="863">
        <v>1.06</v>
      </c>
      <c r="Q9" s="862">
        <v>0</v>
      </c>
      <c r="R9" s="870">
        <v>0.56999999999999995</v>
      </c>
      <c r="S9" s="864">
        <v>0</v>
      </c>
      <c r="T9" s="829">
        <v>3.3000000000000002E-2</v>
      </c>
      <c r="U9" s="862">
        <v>2</v>
      </c>
      <c r="V9" s="829">
        <v>0</v>
      </c>
      <c r="W9" s="834">
        <v>0.21299999999999999</v>
      </c>
      <c r="X9" s="834">
        <v>2E-3</v>
      </c>
      <c r="Y9" s="862">
        <v>0</v>
      </c>
      <c r="Z9" s="862">
        <v>0</v>
      </c>
      <c r="AA9" s="862">
        <v>0</v>
      </c>
      <c r="AB9" s="862">
        <v>0</v>
      </c>
      <c r="AC9" s="864">
        <v>0</v>
      </c>
      <c r="AD9" s="864">
        <v>0.157</v>
      </c>
      <c r="AE9" s="870">
        <v>0</v>
      </c>
      <c r="AF9" s="870">
        <v>0</v>
      </c>
      <c r="AG9" s="864">
        <v>1.81</v>
      </c>
      <c r="AH9" s="864">
        <v>7.0000000000000007E-2</v>
      </c>
      <c r="AI9" s="864">
        <v>0</v>
      </c>
      <c r="AJ9" s="862">
        <v>0</v>
      </c>
      <c r="AK9" s="862">
        <v>0</v>
      </c>
      <c r="AL9" s="862">
        <v>23.099</v>
      </c>
      <c r="AM9" s="864">
        <v>1.2999999999999999E-2</v>
      </c>
      <c r="AN9" s="862">
        <v>0.3</v>
      </c>
      <c r="AO9" s="860">
        <v>0.15</v>
      </c>
      <c r="AP9" s="862">
        <v>0.112</v>
      </c>
      <c r="AQ9" s="824">
        <v>0</v>
      </c>
      <c r="AR9" s="862">
        <v>0.2</v>
      </c>
      <c r="AS9" s="862">
        <v>7.3999999999999996E-2</v>
      </c>
      <c r="AT9" s="834">
        <v>3.73</v>
      </c>
      <c r="AU9" s="864">
        <v>0</v>
      </c>
      <c r="AV9" s="862">
        <v>5.3999999999999999E-2</v>
      </c>
      <c r="AW9" s="862">
        <v>0.13100000000000001</v>
      </c>
      <c r="AX9" s="862">
        <v>0</v>
      </c>
      <c r="AY9" s="834">
        <v>-2.71</v>
      </c>
      <c r="AZ9" s="862">
        <v>1.782</v>
      </c>
      <c r="BA9" s="834">
        <v>0</v>
      </c>
      <c r="BB9" s="862">
        <v>0</v>
      </c>
      <c r="BC9" s="862">
        <v>0</v>
      </c>
      <c r="BD9" s="862">
        <v>0</v>
      </c>
      <c r="BE9" s="870">
        <v>1.43</v>
      </c>
      <c r="BF9" s="834">
        <v>0</v>
      </c>
      <c r="BG9" s="834">
        <v>0</v>
      </c>
      <c r="BH9" s="825">
        <v>-2.3410000000000002</v>
      </c>
      <c r="BI9" s="862">
        <v>0.01</v>
      </c>
      <c r="BJ9" s="852">
        <v>0.33</v>
      </c>
    </row>
    <row r="10" spans="1:62" x14ac:dyDescent="0.25">
      <c r="A10" s="839">
        <v>2026</v>
      </c>
      <c r="B10" s="841">
        <f t="shared" si="1"/>
        <v>0</v>
      </c>
      <c r="C10" s="841">
        <f t="shared" si="2"/>
        <v>0</v>
      </c>
      <c r="D10" s="841">
        <f t="shared" si="3"/>
        <v>3.2000000000000001E-2</v>
      </c>
      <c r="E10" s="841">
        <f t="shared" si="4"/>
        <v>1.671</v>
      </c>
      <c r="F10" s="841">
        <f t="shared" si="11"/>
        <v>0.49</v>
      </c>
      <c r="G10" s="841">
        <f t="shared" si="5"/>
        <v>-2.1500000000000004</v>
      </c>
      <c r="H10" s="841">
        <f t="shared" si="6"/>
        <v>1.446</v>
      </c>
      <c r="I10" s="841">
        <f t="shared" si="7"/>
        <v>0</v>
      </c>
      <c r="J10" s="841">
        <f t="shared" si="8"/>
        <v>10.766999999999999</v>
      </c>
      <c r="K10" s="841">
        <f t="shared" si="9"/>
        <v>2.9130000000000003</v>
      </c>
      <c r="L10" s="845"/>
      <c r="M10" s="841">
        <f t="shared" si="0"/>
        <v>-21.606000000000002</v>
      </c>
      <c r="N10" s="841">
        <f t="shared" si="10"/>
        <v>0</v>
      </c>
      <c r="O10" s="868">
        <v>0.7</v>
      </c>
      <c r="P10" s="863">
        <v>1.07</v>
      </c>
      <c r="Q10" s="862">
        <v>0</v>
      </c>
      <c r="R10" s="870">
        <v>0.60099999999999998</v>
      </c>
      <c r="S10" s="864">
        <v>0</v>
      </c>
      <c r="T10" s="825">
        <v>3.2000000000000001E-2</v>
      </c>
      <c r="U10" s="862">
        <v>0.3</v>
      </c>
      <c r="V10" s="870">
        <v>0</v>
      </c>
      <c r="W10" s="834">
        <v>0.188</v>
      </c>
      <c r="X10" s="834">
        <v>2E-3</v>
      </c>
      <c r="Y10" s="862">
        <v>0</v>
      </c>
      <c r="Z10" s="862">
        <v>0</v>
      </c>
      <c r="AA10" s="862">
        <v>0</v>
      </c>
      <c r="AB10" s="862">
        <v>0</v>
      </c>
      <c r="AC10" s="864">
        <v>0</v>
      </c>
      <c r="AD10" s="864">
        <v>0</v>
      </c>
      <c r="AE10" s="864">
        <v>0</v>
      </c>
      <c r="AF10" s="870">
        <v>0</v>
      </c>
      <c r="AG10" s="864">
        <v>1.3759999999999999</v>
      </c>
      <c r="AH10" s="864">
        <v>7.0000000000000007E-2</v>
      </c>
      <c r="AI10" s="864">
        <v>0</v>
      </c>
      <c r="AJ10" s="830">
        <v>0</v>
      </c>
      <c r="AK10" s="862">
        <v>0</v>
      </c>
      <c r="AL10" s="862">
        <v>10.766999999999999</v>
      </c>
      <c r="AM10" s="864">
        <v>3.0000000000000001E-3</v>
      </c>
      <c r="AN10" s="862">
        <v>0.2</v>
      </c>
      <c r="AO10" s="860">
        <v>0.1</v>
      </c>
      <c r="AP10" s="862">
        <v>0.05</v>
      </c>
      <c r="AQ10" s="824">
        <v>0</v>
      </c>
      <c r="AR10" s="862">
        <v>0</v>
      </c>
      <c r="AS10" s="862">
        <v>0</v>
      </c>
      <c r="AT10" s="834">
        <v>2.56</v>
      </c>
      <c r="AU10" s="864">
        <v>0</v>
      </c>
      <c r="AV10" s="862">
        <v>3.7999999999999999E-2</v>
      </c>
      <c r="AW10" s="862">
        <v>2.5999999999999999E-2</v>
      </c>
      <c r="AX10" s="862">
        <v>0</v>
      </c>
      <c r="AY10" s="834">
        <v>-2.6700000000000004</v>
      </c>
      <c r="AZ10" s="862">
        <v>0</v>
      </c>
      <c r="BA10" s="834">
        <v>-19</v>
      </c>
      <c r="BB10" s="862">
        <v>0</v>
      </c>
      <c r="BC10" s="862">
        <v>0</v>
      </c>
      <c r="BD10" s="862">
        <v>0</v>
      </c>
      <c r="BE10" s="834">
        <v>0.88</v>
      </c>
      <c r="BF10" s="834">
        <v>0</v>
      </c>
      <c r="BG10" s="834">
        <v>0</v>
      </c>
      <c r="BH10" s="864">
        <v>-2.8200000000000003</v>
      </c>
      <c r="BI10" s="862">
        <v>-0.21</v>
      </c>
      <c r="BJ10" s="852">
        <v>0.17</v>
      </c>
    </row>
    <row r="11" spans="1:62" x14ac:dyDescent="0.25">
      <c r="A11" s="839">
        <v>2027</v>
      </c>
      <c r="B11" s="841">
        <f t="shared" si="1"/>
        <v>0</v>
      </c>
      <c r="C11" s="841">
        <f t="shared" si="2"/>
        <v>0</v>
      </c>
      <c r="D11" s="841">
        <f t="shared" si="3"/>
        <v>3.2000000000000001E-2</v>
      </c>
      <c r="E11" s="841">
        <f t="shared" si="4"/>
        <v>1.7130000000000001</v>
      </c>
      <c r="F11" s="841">
        <f t="shared" si="11"/>
        <v>0</v>
      </c>
      <c r="G11" s="841">
        <f t="shared" si="5"/>
        <v>-4.8169999999999993</v>
      </c>
      <c r="H11" s="841">
        <f t="shared" si="6"/>
        <v>0.65699999999999992</v>
      </c>
      <c r="I11" s="841">
        <f t="shared" si="7"/>
        <v>0</v>
      </c>
      <c r="J11" s="841">
        <f t="shared" si="8"/>
        <v>4.0789999999999997</v>
      </c>
      <c r="K11" s="841">
        <f t="shared" si="9"/>
        <v>2.46</v>
      </c>
      <c r="L11" s="845"/>
      <c r="M11" s="841">
        <f t="shared" si="0"/>
        <v>-14.713000000000001</v>
      </c>
      <c r="N11" s="841">
        <f t="shared" si="10"/>
        <v>0</v>
      </c>
      <c r="O11" s="868">
        <v>0.3</v>
      </c>
      <c r="P11" s="863">
        <v>1.08</v>
      </c>
      <c r="Q11" s="862">
        <v>0</v>
      </c>
      <c r="R11" s="870">
        <v>0.63300000000000001</v>
      </c>
      <c r="S11" s="828">
        <v>0</v>
      </c>
      <c r="T11" s="862">
        <v>3.2000000000000001E-2</v>
      </c>
      <c r="U11" s="862">
        <v>0</v>
      </c>
      <c r="V11" s="864">
        <v>0</v>
      </c>
      <c r="W11" s="834">
        <v>0</v>
      </c>
      <c r="X11" s="834">
        <v>0</v>
      </c>
      <c r="Y11" s="862">
        <v>0</v>
      </c>
      <c r="Z11" s="862">
        <v>0</v>
      </c>
      <c r="AA11" s="862">
        <v>0</v>
      </c>
      <c r="AB11" s="862">
        <v>0</v>
      </c>
      <c r="AC11" s="864">
        <v>0</v>
      </c>
      <c r="AD11" s="870">
        <v>0</v>
      </c>
      <c r="AE11" s="864">
        <v>0</v>
      </c>
      <c r="AF11" s="870">
        <v>0</v>
      </c>
      <c r="AG11" s="864">
        <v>0.57699999999999996</v>
      </c>
      <c r="AH11" s="864">
        <v>0.08</v>
      </c>
      <c r="AI11" s="864">
        <v>0</v>
      </c>
      <c r="AJ11" s="864">
        <v>0</v>
      </c>
      <c r="AK11" s="862">
        <v>0</v>
      </c>
      <c r="AL11" s="862">
        <v>4.0789999999999997</v>
      </c>
      <c r="AM11" s="862">
        <v>0</v>
      </c>
      <c r="AN11" s="862">
        <v>0.1</v>
      </c>
      <c r="AO11" s="860">
        <v>0.1</v>
      </c>
      <c r="AP11" s="862">
        <v>0.03</v>
      </c>
      <c r="AQ11" s="824">
        <v>0</v>
      </c>
      <c r="AR11" s="862">
        <v>0</v>
      </c>
      <c r="AS11" s="862">
        <v>0</v>
      </c>
      <c r="AT11" s="860">
        <v>2.23</v>
      </c>
      <c r="AU11" s="864">
        <v>0</v>
      </c>
      <c r="AV11" s="862">
        <v>1.7000000000000001E-2</v>
      </c>
      <c r="AW11" s="862">
        <v>0</v>
      </c>
      <c r="AX11" s="862">
        <v>0</v>
      </c>
      <c r="AY11" s="834">
        <v>-2.73</v>
      </c>
      <c r="AZ11" s="862">
        <v>0</v>
      </c>
      <c r="BA11" s="834">
        <v>-12</v>
      </c>
      <c r="BB11" s="862">
        <v>0</v>
      </c>
      <c r="BC11" s="862">
        <v>0</v>
      </c>
      <c r="BD11" s="862">
        <v>0</v>
      </c>
      <c r="BE11" s="834">
        <v>0.28000000000000003</v>
      </c>
      <c r="BF11" s="834">
        <v>0</v>
      </c>
      <c r="BG11" s="834">
        <v>0</v>
      </c>
      <c r="BH11" s="829">
        <v>-5.0069999999999997</v>
      </c>
      <c r="BI11" s="862">
        <v>-0.09</v>
      </c>
      <c r="BJ11" s="853">
        <v>0.06</v>
      </c>
    </row>
    <row r="12" spans="1:62" x14ac:dyDescent="0.25">
      <c r="A12" s="839">
        <v>2028</v>
      </c>
      <c r="B12" s="841">
        <f t="shared" si="1"/>
        <v>0</v>
      </c>
      <c r="C12" s="841">
        <f t="shared" si="2"/>
        <v>0</v>
      </c>
      <c r="D12" s="841">
        <f t="shared" si="3"/>
        <v>3.3000000000000002E-2</v>
      </c>
      <c r="E12" s="841">
        <f t="shared" si="4"/>
        <v>1.7130000000000001</v>
      </c>
      <c r="F12" s="841">
        <f t="shared" si="11"/>
        <v>0</v>
      </c>
      <c r="G12" s="841">
        <f t="shared" si="5"/>
        <v>-5.0590000000000002</v>
      </c>
      <c r="H12" s="841">
        <f t="shared" si="6"/>
        <v>-1.071</v>
      </c>
      <c r="I12" s="841">
        <f t="shared" si="7"/>
        <v>0</v>
      </c>
      <c r="J12" s="841">
        <f t="shared" si="8"/>
        <v>1.635</v>
      </c>
      <c r="K12" s="841">
        <f t="shared" si="9"/>
        <v>1.81</v>
      </c>
      <c r="L12" s="845"/>
      <c r="M12" s="841">
        <f t="shared" si="0"/>
        <v>-2.7690000000000001</v>
      </c>
      <c r="N12" s="841">
        <f t="shared" si="10"/>
        <v>0</v>
      </c>
      <c r="O12" s="868">
        <v>0.3</v>
      </c>
      <c r="P12" s="863">
        <v>1.08</v>
      </c>
      <c r="Q12" s="862">
        <v>0</v>
      </c>
      <c r="R12" s="870">
        <v>0.63300000000000001</v>
      </c>
      <c r="S12" s="828">
        <v>0</v>
      </c>
      <c r="T12" s="831">
        <v>3.3000000000000002E-2</v>
      </c>
      <c r="U12" s="862">
        <v>0</v>
      </c>
      <c r="V12" s="864">
        <v>0</v>
      </c>
      <c r="W12" s="834">
        <v>0</v>
      </c>
      <c r="X12" s="834">
        <v>0</v>
      </c>
      <c r="Y12" s="862">
        <v>0</v>
      </c>
      <c r="Z12" s="862">
        <v>0</v>
      </c>
      <c r="AA12" s="862">
        <v>0</v>
      </c>
      <c r="AB12" s="862">
        <v>0</v>
      </c>
      <c r="AC12" s="864">
        <v>0</v>
      </c>
      <c r="AD12" s="864">
        <v>0</v>
      </c>
      <c r="AE12" s="864">
        <v>0</v>
      </c>
      <c r="AF12" s="864">
        <v>0</v>
      </c>
      <c r="AG12" s="864">
        <v>-1.151</v>
      </c>
      <c r="AH12" s="864">
        <v>0.08</v>
      </c>
      <c r="AI12" s="864">
        <v>0</v>
      </c>
      <c r="AJ12" s="864">
        <v>0</v>
      </c>
      <c r="AK12" s="862">
        <v>0</v>
      </c>
      <c r="AL12" s="862">
        <v>1.635</v>
      </c>
      <c r="AM12" s="862">
        <v>0</v>
      </c>
      <c r="AN12" s="862">
        <v>0.1</v>
      </c>
      <c r="AO12" s="834">
        <v>0</v>
      </c>
      <c r="AP12" s="862">
        <v>0</v>
      </c>
      <c r="AQ12" s="824">
        <v>0</v>
      </c>
      <c r="AR12" s="862">
        <v>0</v>
      </c>
      <c r="AS12" s="862">
        <v>0</v>
      </c>
      <c r="AT12" s="860">
        <v>1.71</v>
      </c>
      <c r="AU12" s="864">
        <v>0</v>
      </c>
      <c r="AV12" s="862">
        <v>1E-3</v>
      </c>
      <c r="AW12" s="862">
        <v>0</v>
      </c>
      <c r="AX12" s="862">
        <v>0</v>
      </c>
      <c r="AY12" s="834">
        <v>-2.77</v>
      </c>
      <c r="AZ12" s="862">
        <v>0</v>
      </c>
      <c r="BA12" s="834">
        <v>0</v>
      </c>
      <c r="BB12" s="862">
        <v>0</v>
      </c>
      <c r="BC12" s="862">
        <v>0</v>
      </c>
      <c r="BD12" s="862">
        <v>0</v>
      </c>
      <c r="BE12" s="834">
        <v>0.1</v>
      </c>
      <c r="BF12" s="834">
        <v>0</v>
      </c>
      <c r="BG12" s="834">
        <v>0</v>
      </c>
      <c r="BH12" s="829">
        <v>-5.069</v>
      </c>
      <c r="BI12" s="862">
        <v>-0.09</v>
      </c>
      <c r="BJ12" s="853">
        <v>0.03</v>
      </c>
    </row>
    <row r="13" spans="1:62" x14ac:dyDescent="0.25">
      <c r="A13" s="839">
        <v>2029</v>
      </c>
      <c r="B13" s="841">
        <f t="shared" si="1"/>
        <v>0</v>
      </c>
      <c r="C13" s="841">
        <f t="shared" si="2"/>
        <v>0</v>
      </c>
      <c r="D13" s="841">
        <f t="shared" si="3"/>
        <v>3.3000000000000002E-2</v>
      </c>
      <c r="E13" s="841">
        <f t="shared" si="4"/>
        <v>1.7130000000000001</v>
      </c>
      <c r="F13" s="841">
        <f t="shared" si="11"/>
        <v>0</v>
      </c>
      <c r="G13" s="841">
        <f t="shared" si="5"/>
        <v>-5.218</v>
      </c>
      <c r="H13" s="841">
        <f t="shared" si="6"/>
        <v>-1.964</v>
      </c>
      <c r="I13" s="841">
        <f t="shared" si="7"/>
        <v>0</v>
      </c>
      <c r="J13" s="841">
        <f t="shared" si="8"/>
        <v>-1.7000000000000001E-2</v>
      </c>
      <c r="K13" s="841">
        <f t="shared" si="9"/>
        <v>1</v>
      </c>
      <c r="L13" s="845"/>
      <c r="M13" s="841">
        <f t="shared" si="0"/>
        <v>-2.75</v>
      </c>
      <c r="N13" s="841">
        <f t="shared" si="10"/>
        <v>0</v>
      </c>
      <c r="O13" s="868">
        <v>0.3</v>
      </c>
      <c r="P13" s="863">
        <v>1.08</v>
      </c>
      <c r="Q13" s="862">
        <v>0</v>
      </c>
      <c r="R13" s="870">
        <v>0.63300000000000001</v>
      </c>
      <c r="S13" s="828">
        <v>0</v>
      </c>
      <c r="T13" s="864">
        <v>3.3000000000000002E-2</v>
      </c>
      <c r="U13" s="862">
        <v>0</v>
      </c>
      <c r="V13" s="864">
        <v>0</v>
      </c>
      <c r="W13" s="834">
        <v>0</v>
      </c>
      <c r="X13" s="834">
        <v>0</v>
      </c>
      <c r="Y13" s="862">
        <v>0</v>
      </c>
      <c r="Z13" s="862">
        <v>0</v>
      </c>
      <c r="AA13" s="862">
        <v>0</v>
      </c>
      <c r="AB13" s="862">
        <v>0</v>
      </c>
      <c r="AC13" s="864">
        <v>0</v>
      </c>
      <c r="AD13" s="864">
        <v>0</v>
      </c>
      <c r="AE13" s="864">
        <v>0</v>
      </c>
      <c r="AF13" s="864">
        <v>0</v>
      </c>
      <c r="AG13" s="862">
        <v>-2.044</v>
      </c>
      <c r="AH13" s="864">
        <v>0.08</v>
      </c>
      <c r="AI13" s="864">
        <v>0</v>
      </c>
      <c r="AJ13" s="832">
        <v>0</v>
      </c>
      <c r="AK13" s="862">
        <v>0</v>
      </c>
      <c r="AL13" s="862">
        <v>-1.7000000000000001E-2</v>
      </c>
      <c r="AM13" s="862">
        <v>0</v>
      </c>
      <c r="AN13" s="862">
        <v>0</v>
      </c>
      <c r="AO13" s="834">
        <v>0</v>
      </c>
      <c r="AP13" s="862">
        <v>0</v>
      </c>
      <c r="AQ13" s="824">
        <v>0</v>
      </c>
      <c r="AR13" s="862">
        <v>0</v>
      </c>
      <c r="AS13" s="862">
        <v>0</v>
      </c>
      <c r="AT13" s="860">
        <v>1</v>
      </c>
      <c r="AU13" s="864">
        <v>0</v>
      </c>
      <c r="AV13" s="862">
        <v>0</v>
      </c>
      <c r="AW13" s="862">
        <v>0</v>
      </c>
      <c r="AX13" s="862">
        <v>0</v>
      </c>
      <c r="AY13" s="834">
        <v>-2.75</v>
      </c>
      <c r="AZ13" s="862">
        <v>0</v>
      </c>
      <c r="BA13" s="834">
        <v>0</v>
      </c>
      <c r="BB13" s="862">
        <v>0</v>
      </c>
      <c r="BC13" s="862">
        <v>0</v>
      </c>
      <c r="BD13" s="862">
        <v>0</v>
      </c>
      <c r="BE13" s="834">
        <v>0</v>
      </c>
      <c r="BF13" s="833">
        <v>0</v>
      </c>
      <c r="BG13" s="834">
        <v>0</v>
      </c>
      <c r="BH13" s="829">
        <v>-5.1180000000000003</v>
      </c>
      <c r="BI13" s="862">
        <v>-0.1</v>
      </c>
      <c r="BJ13" s="853">
        <v>0.01</v>
      </c>
    </row>
    <row r="14" spans="1:62" x14ac:dyDescent="0.25">
      <c r="A14" s="839">
        <v>2030</v>
      </c>
      <c r="B14" s="841">
        <f t="shared" si="1"/>
        <v>0</v>
      </c>
      <c r="C14" s="841">
        <f t="shared" si="2"/>
        <v>0</v>
      </c>
      <c r="D14" s="841">
        <f t="shared" si="3"/>
        <v>3.3000000000000002E-2</v>
      </c>
      <c r="E14" s="841">
        <f t="shared" si="4"/>
        <v>1.8130000000000002</v>
      </c>
      <c r="F14" s="841">
        <f t="shared" si="11"/>
        <v>0</v>
      </c>
      <c r="G14" s="841">
        <f t="shared" si="5"/>
        <v>-5.9420000000000002</v>
      </c>
      <c r="H14" s="841">
        <f t="shared" si="6"/>
        <v>-2.0210000000000004</v>
      </c>
      <c r="I14" s="841">
        <f t="shared" si="7"/>
        <v>0</v>
      </c>
      <c r="J14" s="841">
        <f t="shared" si="8"/>
        <v>-1.9E-2</v>
      </c>
      <c r="K14" s="841">
        <f t="shared" si="9"/>
        <v>0.8</v>
      </c>
      <c r="L14" s="845"/>
      <c r="M14" s="841">
        <f t="shared" si="0"/>
        <v>-8.1189999999999998</v>
      </c>
      <c r="N14" s="841">
        <f t="shared" si="10"/>
        <v>0</v>
      </c>
      <c r="O14" s="868">
        <v>0.3</v>
      </c>
      <c r="P14" s="863">
        <v>1.1800000000000002</v>
      </c>
      <c r="Q14" s="862">
        <v>0</v>
      </c>
      <c r="R14" s="870">
        <v>0.63300000000000001</v>
      </c>
      <c r="S14" s="828">
        <v>0</v>
      </c>
      <c r="T14" s="864">
        <v>3.3000000000000002E-2</v>
      </c>
      <c r="U14" s="862">
        <v>0</v>
      </c>
      <c r="V14" s="864">
        <v>0</v>
      </c>
      <c r="W14" s="834">
        <v>0</v>
      </c>
      <c r="X14" s="834">
        <v>0</v>
      </c>
      <c r="Y14" s="862">
        <v>0</v>
      </c>
      <c r="Z14" s="862">
        <v>0</v>
      </c>
      <c r="AA14" s="862">
        <v>0</v>
      </c>
      <c r="AB14" s="862">
        <v>0</v>
      </c>
      <c r="AC14" s="864">
        <v>0</v>
      </c>
      <c r="AD14" s="870">
        <v>0</v>
      </c>
      <c r="AE14" s="862">
        <v>0</v>
      </c>
      <c r="AF14" s="864">
        <v>0</v>
      </c>
      <c r="AG14" s="864">
        <v>-2.1110000000000002</v>
      </c>
      <c r="AH14" s="864">
        <v>0.09</v>
      </c>
      <c r="AI14" s="864">
        <v>0</v>
      </c>
      <c r="AJ14" s="835">
        <v>0</v>
      </c>
      <c r="AK14" s="862">
        <v>0</v>
      </c>
      <c r="AL14" s="862">
        <v>-1.9E-2</v>
      </c>
      <c r="AM14" s="862">
        <v>0</v>
      </c>
      <c r="AN14" s="862">
        <v>0</v>
      </c>
      <c r="AO14" s="834">
        <v>0</v>
      </c>
      <c r="AP14" s="862">
        <v>0</v>
      </c>
      <c r="AQ14" s="824">
        <v>0</v>
      </c>
      <c r="AR14" s="862">
        <v>0</v>
      </c>
      <c r="AS14" s="862">
        <v>0</v>
      </c>
      <c r="AT14" s="834">
        <v>0.8</v>
      </c>
      <c r="AU14" s="864">
        <v>-5.4089999999999998</v>
      </c>
      <c r="AV14" s="862">
        <v>0</v>
      </c>
      <c r="AW14" s="862">
        <v>0</v>
      </c>
      <c r="AX14" s="862">
        <v>0</v>
      </c>
      <c r="AY14" s="834">
        <v>-2.71</v>
      </c>
      <c r="AZ14" s="862">
        <v>0</v>
      </c>
      <c r="BA14" s="834">
        <v>0</v>
      </c>
      <c r="BB14" s="862">
        <v>0</v>
      </c>
      <c r="BC14" s="862">
        <v>0</v>
      </c>
      <c r="BD14" s="862">
        <v>0</v>
      </c>
      <c r="BE14" s="862">
        <v>0</v>
      </c>
      <c r="BF14" s="834">
        <v>0</v>
      </c>
      <c r="BG14" s="834">
        <v>0</v>
      </c>
      <c r="BH14" s="864">
        <v>-5.8319999999999999</v>
      </c>
      <c r="BI14" s="862">
        <v>-0.11</v>
      </c>
      <c r="BJ14" s="852">
        <v>0.01</v>
      </c>
    </row>
    <row r="15" spans="1:62" ht="17.25" customHeight="1" x14ac:dyDescent="0.25">
      <c r="A15" s="839">
        <v>2031</v>
      </c>
      <c r="B15" s="841">
        <f t="shared" si="1"/>
        <v>0</v>
      </c>
      <c r="C15" s="841">
        <f t="shared" si="2"/>
        <v>0</v>
      </c>
      <c r="D15" s="841">
        <f t="shared" si="3"/>
        <v>0</v>
      </c>
      <c r="E15" s="841">
        <f t="shared" si="4"/>
        <v>1.8230000000000002</v>
      </c>
      <c r="F15" s="841">
        <f t="shared" si="11"/>
        <v>0</v>
      </c>
      <c r="G15" s="841">
        <f t="shared" si="5"/>
        <v>-7.7250000000000005</v>
      </c>
      <c r="H15" s="841">
        <f t="shared" si="6"/>
        <v>-2.4630000000000001</v>
      </c>
      <c r="I15" s="841">
        <f t="shared" si="7"/>
        <v>0</v>
      </c>
      <c r="J15" s="841">
        <f t="shared" si="8"/>
        <v>-1.9E-2</v>
      </c>
      <c r="K15" s="841">
        <f t="shared" si="9"/>
        <v>0</v>
      </c>
      <c r="L15" s="845"/>
      <c r="M15" s="841">
        <f t="shared" si="0"/>
        <v>-3.0390000000000001</v>
      </c>
      <c r="N15" s="841">
        <f t="shared" si="10"/>
        <v>0</v>
      </c>
      <c r="O15" s="868">
        <v>0.3</v>
      </c>
      <c r="P15" s="863">
        <v>1.1900000000000002</v>
      </c>
      <c r="Q15" s="862">
        <v>0</v>
      </c>
      <c r="R15" s="870">
        <v>0.63300000000000001</v>
      </c>
      <c r="S15" s="828">
        <v>0</v>
      </c>
      <c r="T15" s="834">
        <v>0</v>
      </c>
      <c r="U15" s="862">
        <v>0</v>
      </c>
      <c r="V15" s="862">
        <v>0</v>
      </c>
      <c r="W15" s="834">
        <v>0</v>
      </c>
      <c r="X15" s="834">
        <v>0</v>
      </c>
      <c r="Y15" s="862">
        <v>0</v>
      </c>
      <c r="Z15" s="862">
        <v>0</v>
      </c>
      <c r="AA15" s="862">
        <v>0</v>
      </c>
      <c r="AB15" s="862">
        <v>0</v>
      </c>
      <c r="AC15" s="864">
        <v>0</v>
      </c>
      <c r="AD15" s="862">
        <v>0</v>
      </c>
      <c r="AE15" s="864">
        <v>0</v>
      </c>
      <c r="AF15" s="864">
        <v>0</v>
      </c>
      <c r="AG15" s="864">
        <v>-2.5529999999999999</v>
      </c>
      <c r="AH15" s="864">
        <v>0.09</v>
      </c>
      <c r="AI15" s="864">
        <v>0</v>
      </c>
      <c r="AJ15" s="836">
        <v>0</v>
      </c>
      <c r="AK15" s="862">
        <v>0</v>
      </c>
      <c r="AL15" s="862">
        <v>-1.9E-2</v>
      </c>
      <c r="AM15" s="862">
        <v>0</v>
      </c>
      <c r="AN15" s="862">
        <v>0</v>
      </c>
      <c r="AO15" s="834">
        <v>0</v>
      </c>
      <c r="AP15" s="862">
        <v>0</v>
      </c>
      <c r="AQ15" s="824">
        <v>0</v>
      </c>
      <c r="AR15" s="862">
        <v>0</v>
      </c>
      <c r="AS15" s="862">
        <v>0</v>
      </c>
      <c r="AT15" s="834">
        <v>0</v>
      </c>
      <c r="AU15" s="864">
        <v>-0.26900000000000002</v>
      </c>
      <c r="AV15" s="862">
        <v>0</v>
      </c>
      <c r="AW15" s="862">
        <v>0</v>
      </c>
      <c r="AX15" s="862">
        <v>0</v>
      </c>
      <c r="AY15" s="834">
        <v>-2.77</v>
      </c>
      <c r="AZ15" s="862">
        <v>0</v>
      </c>
      <c r="BA15" s="834">
        <v>0</v>
      </c>
      <c r="BB15" s="862">
        <v>0</v>
      </c>
      <c r="BC15" s="862">
        <v>0</v>
      </c>
      <c r="BD15" s="862">
        <v>0</v>
      </c>
      <c r="BE15" s="862">
        <v>0</v>
      </c>
      <c r="BF15" s="834">
        <v>0</v>
      </c>
      <c r="BG15" s="834">
        <v>0</v>
      </c>
      <c r="BH15" s="864">
        <v>-5.4350000000000005</v>
      </c>
      <c r="BI15" s="862">
        <v>-2.29</v>
      </c>
      <c r="BJ15" s="852">
        <v>0</v>
      </c>
    </row>
    <row r="16" spans="1:62" x14ac:dyDescent="0.25">
      <c r="A16" s="840" t="s">
        <v>360</v>
      </c>
      <c r="B16" s="840">
        <f>SUM(B5:B15)</f>
        <v>412.15299999999996</v>
      </c>
      <c r="C16" s="840">
        <f>SUM(C5:C15)</f>
        <v>205.79999999999998</v>
      </c>
      <c r="D16" s="840">
        <f>SUM(D5:D15)</f>
        <v>22.711000000000006</v>
      </c>
      <c r="E16" s="840">
        <f t="shared" ref="E16:H16" si="12">SUM(E5:E15)</f>
        <v>35.466000000000015</v>
      </c>
      <c r="F16" s="840">
        <f t="shared" si="12"/>
        <v>91.563000000000002</v>
      </c>
      <c r="G16" s="841">
        <f t="shared" si="5"/>
        <v>174.17</v>
      </c>
      <c r="H16" s="840">
        <f t="shared" si="12"/>
        <v>21.600999999999996</v>
      </c>
      <c r="I16" s="845">
        <f t="shared" ref="I16" si="13">SUM(I5:I15)</f>
        <v>362.04999999999995</v>
      </c>
      <c r="J16" s="845">
        <f t="shared" ref="J16" si="14">SUM(J5:J15)</f>
        <v>169.16899999999998</v>
      </c>
      <c r="K16" s="841">
        <f t="shared" si="9"/>
        <v>112.72</v>
      </c>
      <c r="L16" s="845">
        <f>SUM(L5:L15)</f>
        <v>25.75</v>
      </c>
      <c r="M16" s="841">
        <f t="shared" si="0"/>
        <v>85.197999999999993</v>
      </c>
      <c r="N16" s="841">
        <f>AK16</f>
        <v>8.5</v>
      </c>
      <c r="O16" s="869">
        <f t="shared" ref="O16:BI16" si="15">SUM(O5:O15)</f>
        <v>109.3</v>
      </c>
      <c r="P16" s="862">
        <f t="shared" si="15"/>
        <v>25.819999999999997</v>
      </c>
      <c r="Q16" s="862">
        <f t="shared" si="15"/>
        <v>412.15299999999996</v>
      </c>
      <c r="R16" s="862">
        <f t="shared" si="15"/>
        <v>5.774</v>
      </c>
      <c r="S16" s="862">
        <f t="shared" si="15"/>
        <v>3.8719999999999999</v>
      </c>
      <c r="T16" s="862">
        <f t="shared" si="15"/>
        <v>22.711000000000006</v>
      </c>
      <c r="U16" s="862">
        <f t="shared" si="15"/>
        <v>41.599999999999994</v>
      </c>
      <c r="V16" s="862">
        <f t="shared" si="15"/>
        <v>44.947999999999993</v>
      </c>
      <c r="W16" s="862">
        <f t="shared" si="15"/>
        <v>5</v>
      </c>
      <c r="X16" s="862">
        <f t="shared" si="15"/>
        <v>1.4440000000000002</v>
      </c>
      <c r="Y16" s="862">
        <f t="shared" si="15"/>
        <v>0.2</v>
      </c>
      <c r="Z16" s="862">
        <f t="shared" si="15"/>
        <v>45.4</v>
      </c>
      <c r="AA16" s="862">
        <f t="shared" si="15"/>
        <v>35.5</v>
      </c>
      <c r="AB16" s="862">
        <f t="shared" si="15"/>
        <v>124.7</v>
      </c>
      <c r="AC16" s="862">
        <f t="shared" si="15"/>
        <v>28</v>
      </c>
      <c r="AD16" s="862">
        <f t="shared" si="15"/>
        <v>9.100000000000022E-2</v>
      </c>
      <c r="AE16" s="862">
        <f t="shared" si="15"/>
        <v>22.810000000000002</v>
      </c>
      <c r="AF16" s="862">
        <f t="shared" si="15"/>
        <v>1.42</v>
      </c>
      <c r="AG16" s="862">
        <f t="shared" si="15"/>
        <v>20.662999999999997</v>
      </c>
      <c r="AH16" s="862">
        <f t="shared" si="15"/>
        <v>0.86999999999999988</v>
      </c>
      <c r="AI16" s="862">
        <f t="shared" si="15"/>
        <v>6.8000000000000005E-2</v>
      </c>
      <c r="AJ16" s="862">
        <f t="shared" si="15"/>
        <v>362.04999999999995</v>
      </c>
      <c r="AK16" s="862">
        <f t="shared" ref="AK16:AO16" si="16">SUM(AK5:AK15)</f>
        <v>8.5</v>
      </c>
      <c r="AL16" s="862">
        <f t="shared" si="16"/>
        <v>169.16899999999998</v>
      </c>
      <c r="AM16" s="843">
        <f t="shared" si="16"/>
        <v>0.79700000000000004</v>
      </c>
      <c r="AN16" s="862">
        <f t="shared" si="16"/>
        <v>8.6</v>
      </c>
      <c r="AO16" s="862">
        <f t="shared" si="16"/>
        <v>3.2000000000000006</v>
      </c>
      <c r="AP16" s="862">
        <f t="shared" si="15"/>
        <v>2.8000000000000003</v>
      </c>
      <c r="AQ16" s="846">
        <f>SUM(AQ5:AQ15)</f>
        <v>28</v>
      </c>
      <c r="AR16" s="862">
        <f>SUM(AR5:AR15)</f>
        <v>14.899999999999999</v>
      </c>
      <c r="AS16" s="862">
        <f>SUM(AS5:AS15)</f>
        <v>3.8730000000000002</v>
      </c>
      <c r="AT16" s="862">
        <f t="shared" ref="AT16" si="17">SUM(AT5:AT15)</f>
        <v>50.54999999999999</v>
      </c>
      <c r="AU16" s="862">
        <f t="shared" si="15"/>
        <v>-5.6779999999999999</v>
      </c>
      <c r="AV16" s="862">
        <f t="shared" si="15"/>
        <v>8.177999999999999</v>
      </c>
      <c r="AW16" s="862">
        <f t="shared" si="15"/>
        <v>16.667999999999999</v>
      </c>
      <c r="AX16" s="862">
        <f t="shared" si="15"/>
        <v>9.9</v>
      </c>
      <c r="AY16" s="862">
        <f t="shared" si="15"/>
        <v>-25.860000000000003</v>
      </c>
      <c r="AZ16" s="862">
        <f t="shared" si="15"/>
        <v>81.99</v>
      </c>
      <c r="BA16" s="862">
        <v>0</v>
      </c>
      <c r="BB16" s="862">
        <f t="shared" si="15"/>
        <v>24</v>
      </c>
      <c r="BC16" s="862">
        <f t="shared" si="15"/>
        <v>7.25</v>
      </c>
      <c r="BD16" s="862">
        <f t="shared" si="15"/>
        <v>49.8</v>
      </c>
      <c r="BE16" s="862">
        <f t="shared" si="15"/>
        <v>9.02</v>
      </c>
      <c r="BF16" s="862">
        <f t="shared" si="15"/>
        <v>6.2439999999999998</v>
      </c>
      <c r="BG16" s="862">
        <f t="shared" si="15"/>
        <v>10.218</v>
      </c>
      <c r="BH16" s="862">
        <f t="shared" si="15"/>
        <v>50.203999999999979</v>
      </c>
      <c r="BI16" s="862">
        <f t="shared" si="15"/>
        <v>24.684000000000005</v>
      </c>
      <c r="BJ16" s="854">
        <f>SUM(BJ5:BJ15)</f>
        <v>9.5399999999999991</v>
      </c>
    </row>
    <row r="17" spans="2:61" x14ac:dyDescent="0.25">
      <c r="R17" s="870"/>
      <c r="S17" s="870"/>
      <c r="W17" s="870"/>
      <c r="X17" s="870"/>
      <c r="AE17" s="870"/>
      <c r="AF17" s="870"/>
      <c r="AV17" s="870"/>
      <c r="AW17" s="870"/>
      <c r="AX17" s="870"/>
      <c r="AY17" s="870"/>
      <c r="AZ17" s="870"/>
      <c r="BA17" s="870"/>
      <c r="BC17" s="870"/>
      <c r="BE17" s="870"/>
      <c r="BF17" s="870"/>
      <c r="BG17" s="870"/>
    </row>
    <row r="18" spans="2:61" x14ac:dyDescent="0.25">
      <c r="R18" s="870"/>
      <c r="S18" s="870"/>
      <c r="W18" s="870"/>
      <c r="X18" s="870"/>
      <c r="AE18" s="870"/>
      <c r="AF18" s="870"/>
      <c r="AV18" s="870"/>
      <c r="AW18" s="870"/>
      <c r="AX18" s="870"/>
      <c r="AY18" s="870"/>
      <c r="AZ18" s="870"/>
      <c r="BA18" s="870"/>
      <c r="BC18" s="870" t="s">
        <v>796</v>
      </c>
      <c r="BD18" s="870" t="s">
        <v>796</v>
      </c>
      <c r="BE18" s="870"/>
      <c r="BF18" s="870" t="s">
        <v>796</v>
      </c>
      <c r="BG18" s="870" t="s">
        <v>796</v>
      </c>
      <c r="BI18" s="870" t="s">
        <v>796</v>
      </c>
    </row>
    <row r="19" spans="2:61" x14ac:dyDescent="0.25">
      <c r="B19" s="847"/>
      <c r="C19" s="847"/>
      <c r="D19" s="847"/>
      <c r="E19" s="847"/>
      <c r="F19" s="847"/>
      <c r="H19" s="847"/>
      <c r="I19" s="847"/>
      <c r="J19" s="847"/>
      <c r="K19" s="847"/>
      <c r="M19" s="847"/>
      <c r="N19" s="847"/>
      <c r="R19" s="870"/>
      <c r="S19" s="870"/>
      <c r="W19" s="870"/>
      <c r="X19" s="870"/>
      <c r="AE19" s="870"/>
      <c r="AF19" s="870"/>
      <c r="AV19" s="870"/>
      <c r="AW19" s="870"/>
      <c r="AX19" s="870"/>
      <c r="AY19" s="870"/>
      <c r="AZ19" s="870"/>
      <c r="BA19" s="870"/>
      <c r="BC19" s="870"/>
      <c r="BD19" t="s">
        <v>797</v>
      </c>
      <c r="BE19" s="870"/>
      <c r="BF19" s="870"/>
      <c r="BG19" s="870"/>
    </row>
    <row r="20" spans="2:61" x14ac:dyDescent="0.25">
      <c r="R20" s="870"/>
      <c r="S20" s="870"/>
      <c r="W20" s="870"/>
      <c r="X20" s="870"/>
      <c r="AE20" s="870"/>
      <c r="AF20" s="870"/>
      <c r="AV20" s="870"/>
      <c r="AW20" s="870"/>
      <c r="AX20" s="870"/>
      <c r="AY20" s="870"/>
      <c r="AZ20" s="870"/>
      <c r="BA20" s="870"/>
      <c r="BC20" s="870"/>
      <c r="BE20" s="870"/>
      <c r="BF20" s="870"/>
      <c r="BG20" s="870"/>
    </row>
    <row r="21" spans="2:61" x14ac:dyDescent="0.25">
      <c r="R21" s="870"/>
      <c r="S21" s="870"/>
      <c r="W21" s="870"/>
      <c r="X21" s="870"/>
      <c r="AE21" s="870"/>
      <c r="AF21" s="870"/>
      <c r="AV21" s="870"/>
      <c r="AW21" s="870"/>
      <c r="AX21" s="870"/>
      <c r="AY21" s="870"/>
      <c r="AZ21" s="870"/>
      <c r="BA21" s="870"/>
      <c r="BC21" s="870"/>
      <c r="BE21" s="870"/>
      <c r="BF21" s="870"/>
      <c r="BG21" s="870"/>
    </row>
    <row r="22" spans="2:61" x14ac:dyDescent="0.25">
      <c r="B22" s="847"/>
      <c r="R22" s="870"/>
      <c r="S22" s="870"/>
      <c r="W22" s="870"/>
      <c r="X22" s="870"/>
      <c r="AE22" s="870"/>
      <c r="AF22" s="870"/>
      <c r="AV22" s="870"/>
      <c r="AW22" s="870"/>
      <c r="AX22" s="870"/>
      <c r="AY22" s="870"/>
      <c r="AZ22" s="870"/>
      <c r="BA22" s="870"/>
      <c r="BC22" s="870"/>
      <c r="BE22" s="870"/>
      <c r="BF22" s="870"/>
      <c r="BG22" s="870"/>
    </row>
    <row r="23" spans="2:61" x14ac:dyDescent="0.25">
      <c r="B23" s="847"/>
      <c r="R23" s="870"/>
      <c r="S23" s="870"/>
      <c r="W23" s="870"/>
      <c r="X23" s="870"/>
      <c r="AE23" s="870"/>
      <c r="AF23" s="870"/>
      <c r="AV23" s="870"/>
      <c r="AW23" s="870"/>
      <c r="AX23" s="870"/>
      <c r="AY23" s="870"/>
      <c r="AZ23" s="870"/>
      <c r="BA23" s="870"/>
      <c r="BC23" s="870"/>
      <c r="BE23" s="870"/>
      <c r="BF23" s="870"/>
      <c r="BG23" s="870"/>
    </row>
    <row r="24" spans="2:61" x14ac:dyDescent="0.25">
      <c r="B24" s="847"/>
      <c r="R24" s="870"/>
      <c r="S24" s="870"/>
      <c r="W24" s="870"/>
      <c r="X24" s="870"/>
      <c r="AE24" s="870"/>
      <c r="AF24" s="870"/>
      <c r="AV24" s="870"/>
      <c r="AW24" s="870"/>
      <c r="AX24" s="870"/>
      <c r="AY24" s="870"/>
      <c r="AZ24" s="870"/>
      <c r="BA24" s="870"/>
      <c r="BC24" s="870"/>
      <c r="BE24" s="870"/>
      <c r="BF24" s="870"/>
      <c r="BG24" s="870"/>
    </row>
    <row r="25" spans="2:61" x14ac:dyDescent="0.25">
      <c r="B25" s="847"/>
      <c r="R25" s="870"/>
      <c r="S25" s="870"/>
      <c r="W25" s="870"/>
      <c r="X25" s="870"/>
      <c r="AE25" s="870"/>
      <c r="AF25" s="870"/>
      <c r="AV25" s="870"/>
      <c r="AW25" s="870"/>
      <c r="AX25" s="870"/>
      <c r="AY25" s="870"/>
      <c r="AZ25" s="870"/>
      <c r="BA25" s="870"/>
      <c r="BC25" s="870"/>
      <c r="BE25" s="870"/>
      <c r="BF25" s="870"/>
      <c r="BG25" s="870"/>
    </row>
    <row r="26" spans="2:61" x14ac:dyDescent="0.25">
      <c r="B26" s="847"/>
      <c r="R26" s="870"/>
      <c r="S26" s="870"/>
      <c r="W26" s="870"/>
      <c r="X26" s="870"/>
      <c r="AE26" s="870"/>
      <c r="AF26" s="870"/>
      <c r="AV26" s="870"/>
      <c r="AW26" s="870"/>
      <c r="AX26" s="870"/>
      <c r="AY26" s="870"/>
      <c r="AZ26" s="870"/>
      <c r="BA26" s="870"/>
      <c r="BC26" s="870"/>
      <c r="BE26" s="870"/>
      <c r="BF26" s="870"/>
      <c r="BG26" s="870"/>
    </row>
    <row r="27" spans="2:61" x14ac:dyDescent="0.25">
      <c r="B27" s="847"/>
      <c r="R27" s="870"/>
      <c r="S27" s="870"/>
      <c r="W27" s="870"/>
      <c r="X27" s="870"/>
      <c r="AE27" s="870"/>
      <c r="AF27" s="870"/>
      <c r="AV27" s="870"/>
      <c r="AW27" s="870"/>
      <c r="AX27" s="870"/>
      <c r="AY27" s="870"/>
      <c r="AZ27" s="870"/>
      <c r="BA27" s="870"/>
      <c r="BC27" s="870"/>
      <c r="BE27" s="870"/>
      <c r="BF27" s="870"/>
      <c r="BG27" s="870"/>
    </row>
    <row r="28" spans="2:61" x14ac:dyDescent="0.25">
      <c r="B28" s="847"/>
      <c r="R28" s="870"/>
      <c r="S28" s="870"/>
      <c r="W28" s="870"/>
      <c r="X28" s="870"/>
      <c r="AE28" s="870"/>
      <c r="AF28" s="870"/>
      <c r="AV28" s="870"/>
      <c r="AW28" s="870"/>
      <c r="AX28" s="870"/>
      <c r="AY28" s="870"/>
      <c r="AZ28" s="870"/>
      <c r="BA28" s="870"/>
      <c r="BC28" s="870"/>
      <c r="BE28" s="870"/>
      <c r="BF28" s="870"/>
      <c r="BG28" s="870"/>
    </row>
    <row r="29" spans="2:61" x14ac:dyDescent="0.25">
      <c r="R29" s="870"/>
      <c r="S29" s="870"/>
      <c r="W29" s="870"/>
      <c r="X29" s="870"/>
      <c r="AE29" s="870"/>
      <c r="AF29" s="870"/>
      <c r="AV29" s="870"/>
      <c r="AW29" s="870"/>
      <c r="AX29" s="870"/>
      <c r="AY29" s="870"/>
      <c r="AZ29" s="870"/>
      <c r="BA29" s="870"/>
      <c r="BC29" s="870"/>
      <c r="BE29" s="870"/>
      <c r="BF29" s="870"/>
      <c r="BG29" s="870"/>
    </row>
    <row r="30" spans="2:61" x14ac:dyDescent="0.25">
      <c r="R30" s="870"/>
      <c r="S30" s="870"/>
      <c r="W30" s="870"/>
      <c r="X30" s="870"/>
      <c r="AE30" s="870"/>
      <c r="AF30" s="870"/>
      <c r="AV30" s="870"/>
      <c r="AW30" s="870"/>
      <c r="AX30" s="870"/>
      <c r="AY30" s="870"/>
      <c r="AZ30" s="870"/>
      <c r="BA30" s="870"/>
      <c r="BC30" s="870"/>
      <c r="BE30" s="870"/>
      <c r="BF30" s="870"/>
      <c r="BG30" s="870"/>
    </row>
    <row r="31" spans="2:61" x14ac:dyDescent="0.25">
      <c r="R31" s="870"/>
      <c r="S31" s="870"/>
      <c r="W31" s="870"/>
      <c r="X31" s="870"/>
      <c r="AE31" s="870"/>
      <c r="AF31" s="870"/>
      <c r="AV31" s="870"/>
      <c r="AW31" s="870"/>
      <c r="AX31" s="870"/>
      <c r="AY31" s="870"/>
      <c r="AZ31" s="870"/>
      <c r="BA31" s="870"/>
      <c r="BC31" s="870"/>
      <c r="BE31" s="870"/>
      <c r="BF31" s="870"/>
      <c r="BG31" s="870"/>
    </row>
    <row r="32" spans="2:61" x14ac:dyDescent="0.25">
      <c r="R32" s="870"/>
      <c r="S32" s="870"/>
      <c r="W32" s="870"/>
      <c r="X32" s="870"/>
      <c r="AE32" s="870"/>
      <c r="AF32" s="870"/>
      <c r="AV32" s="870"/>
      <c r="AW32" s="870"/>
      <c r="AX32" s="870"/>
      <c r="AY32" s="870"/>
      <c r="AZ32" s="870"/>
      <c r="BA32" s="870"/>
      <c r="BC32" s="870"/>
      <c r="BE32" s="870"/>
      <c r="BF32" s="870"/>
      <c r="BG32" s="870"/>
    </row>
    <row r="33" spans="18:59" x14ac:dyDescent="0.25">
      <c r="R33" s="870"/>
      <c r="S33" s="870"/>
      <c r="W33" s="870"/>
      <c r="X33" s="870"/>
      <c r="AE33" s="870"/>
      <c r="AF33" s="870"/>
      <c r="AV33" s="870"/>
      <c r="AW33" s="870"/>
      <c r="AX33" s="870"/>
      <c r="AY33" s="870"/>
      <c r="AZ33" s="870"/>
      <c r="BA33" s="870"/>
      <c r="BC33" s="870"/>
      <c r="BE33" s="870"/>
      <c r="BF33" s="870"/>
      <c r="BG33" s="870"/>
    </row>
    <row r="34" spans="18:59" x14ac:dyDescent="0.25">
      <c r="R34" s="870"/>
      <c r="S34" s="870"/>
      <c r="W34" s="870"/>
      <c r="X34" s="870"/>
      <c r="AE34" s="870"/>
      <c r="AF34" s="870"/>
      <c r="AV34" s="870"/>
      <c r="AW34" s="870"/>
      <c r="AX34" s="870"/>
      <c r="AY34" s="870"/>
      <c r="AZ34" s="870"/>
      <c r="BA34" s="870"/>
      <c r="BC34" s="870"/>
      <c r="BE34" s="870"/>
      <c r="BF34" s="870"/>
      <c r="BG34" s="870"/>
    </row>
    <row r="35" spans="18:59" x14ac:dyDescent="0.25">
      <c r="R35" s="870"/>
      <c r="S35" s="870"/>
      <c r="W35" s="870"/>
      <c r="X35" s="870"/>
      <c r="AE35" s="870"/>
      <c r="AF35" s="870"/>
      <c r="AV35" s="870"/>
      <c r="AW35" s="870"/>
      <c r="AX35" s="870"/>
      <c r="AY35" s="870"/>
      <c r="AZ35" s="870"/>
      <c r="BA35" s="870"/>
      <c r="BC35" s="870"/>
      <c r="BE35" s="870"/>
      <c r="BF35" s="870"/>
      <c r="BG35" s="870"/>
    </row>
    <row r="36" spans="18:59" x14ac:dyDescent="0.25">
      <c r="R36" s="870"/>
      <c r="S36" s="870"/>
      <c r="W36" s="870"/>
      <c r="X36" s="870"/>
      <c r="AE36" s="870"/>
      <c r="AF36" s="870"/>
      <c r="AV36" s="870"/>
      <c r="AW36" s="870"/>
      <c r="AX36" s="870"/>
      <c r="AY36" s="870"/>
      <c r="AZ36" s="870"/>
      <c r="BA36" s="870"/>
      <c r="BC36" s="870"/>
      <c r="BE36" s="870"/>
      <c r="BF36" s="870"/>
      <c r="BG36" s="870"/>
    </row>
    <row r="37" spans="18:59" x14ac:dyDescent="0.25">
      <c r="R37" s="870"/>
      <c r="S37" s="870"/>
      <c r="W37" s="870"/>
      <c r="X37" s="870"/>
      <c r="AE37" s="870"/>
      <c r="AF37" s="870"/>
      <c r="AV37" s="870"/>
      <c r="AW37" s="870"/>
      <c r="AX37" s="870"/>
      <c r="AY37" s="870"/>
      <c r="AZ37" s="870"/>
      <c r="BA37" s="870"/>
      <c r="BC37" s="870"/>
      <c r="BE37" s="870"/>
      <c r="BF37" s="870"/>
      <c r="BG37" s="870"/>
    </row>
    <row r="38" spans="18:59" x14ac:dyDescent="0.25">
      <c r="R38" s="870"/>
      <c r="S38" s="870"/>
      <c r="W38" s="870"/>
      <c r="X38" s="870"/>
      <c r="AE38" s="870"/>
      <c r="AF38" s="870"/>
      <c r="AV38" s="870"/>
      <c r="AW38" s="870"/>
      <c r="AX38" s="870"/>
      <c r="AY38" s="870"/>
      <c r="AZ38" s="870"/>
      <c r="BA38" s="870"/>
      <c r="BC38" s="870"/>
      <c r="BE38" s="870"/>
      <c r="BF38" s="870"/>
      <c r="BG38" s="870"/>
    </row>
    <row r="39" spans="18:59" x14ac:dyDescent="0.25">
      <c r="R39" s="870"/>
      <c r="S39" s="870"/>
      <c r="W39" s="870"/>
      <c r="X39" s="870"/>
      <c r="AE39" s="870"/>
      <c r="AF39" s="870"/>
      <c r="AV39" s="870"/>
      <c r="AW39" s="870"/>
      <c r="AX39" s="870"/>
      <c r="AY39" s="870"/>
      <c r="AZ39" s="870"/>
      <c r="BA39" s="870"/>
      <c r="BC39" s="870"/>
      <c r="BE39" s="870"/>
      <c r="BF39" s="870"/>
      <c r="BG39" s="870"/>
    </row>
    <row r="40" spans="18:59" x14ac:dyDescent="0.25">
      <c r="R40" s="870"/>
      <c r="S40" s="870"/>
      <c r="W40" s="870"/>
      <c r="X40" s="870"/>
      <c r="AE40" s="870"/>
      <c r="AF40" s="870"/>
      <c r="AV40" s="870"/>
      <c r="AW40" s="870"/>
      <c r="AX40" s="870"/>
      <c r="AY40" s="870"/>
      <c r="AZ40" s="870"/>
      <c r="BA40" s="870"/>
      <c r="BC40" s="870"/>
      <c r="BE40" s="870"/>
      <c r="BF40" s="870"/>
      <c r="BG40" s="870"/>
    </row>
    <row r="41" spans="18:59" x14ac:dyDescent="0.25">
      <c r="R41" s="870"/>
      <c r="S41" s="870"/>
      <c r="W41" s="870"/>
      <c r="X41" s="870"/>
      <c r="AE41" s="870"/>
      <c r="AF41" s="870"/>
      <c r="AV41" s="870"/>
      <c r="AW41" s="870"/>
      <c r="AX41" s="870"/>
      <c r="AY41" s="870"/>
      <c r="AZ41" s="870"/>
      <c r="BA41" s="870"/>
      <c r="BC41" s="870"/>
      <c r="BE41" s="870"/>
      <c r="BF41" s="870"/>
      <c r="BG41" s="870"/>
    </row>
    <row r="42" spans="18:59" x14ac:dyDescent="0.25">
      <c r="R42" s="870"/>
      <c r="S42" s="870"/>
      <c r="W42" s="870"/>
      <c r="X42" s="870"/>
      <c r="AE42" s="870"/>
      <c r="AF42" s="870"/>
      <c r="AV42" s="870"/>
      <c r="AW42" s="870"/>
      <c r="AX42" s="870"/>
      <c r="AY42" s="870"/>
      <c r="AZ42" s="870"/>
      <c r="BA42" s="870"/>
      <c r="BC42" s="870"/>
      <c r="BE42" s="870"/>
      <c r="BF42" s="870"/>
      <c r="BG42" s="870"/>
    </row>
    <row r="43" spans="18:59" x14ac:dyDescent="0.25">
      <c r="R43" s="870"/>
      <c r="S43" s="870"/>
      <c r="W43" s="870"/>
      <c r="X43" s="870"/>
      <c r="AE43" s="870"/>
      <c r="AF43" s="870"/>
      <c r="AV43" s="870"/>
      <c r="AW43" s="870"/>
      <c r="AX43" s="870"/>
      <c r="AY43" s="870"/>
      <c r="AZ43" s="870"/>
      <c r="BA43" s="870"/>
      <c r="BC43" s="870"/>
      <c r="BE43" s="870"/>
      <c r="BF43" s="870"/>
      <c r="BG43" s="870"/>
    </row>
    <row r="44" spans="18:59" x14ac:dyDescent="0.25">
      <c r="R44" s="870"/>
      <c r="S44" s="870"/>
      <c r="W44" s="870"/>
      <c r="X44" s="870"/>
      <c r="AE44" s="870"/>
      <c r="AF44" s="870"/>
      <c r="AV44" s="870"/>
      <c r="AW44" s="870"/>
      <c r="AX44" s="870"/>
      <c r="AY44" s="870"/>
      <c r="AZ44" s="870"/>
      <c r="BA44" s="870"/>
      <c r="BC44" s="870"/>
      <c r="BE44" s="870"/>
      <c r="BF44" s="870"/>
      <c r="BG44" s="870"/>
    </row>
    <row r="45" spans="18:59" x14ac:dyDescent="0.25">
      <c r="R45" s="870"/>
      <c r="S45" s="870"/>
      <c r="W45" s="870"/>
      <c r="X45" s="870"/>
      <c r="AE45" s="870"/>
      <c r="AF45" s="870"/>
      <c r="AV45" s="870"/>
      <c r="AW45" s="870"/>
      <c r="AX45" s="870"/>
      <c r="AY45" s="870"/>
      <c r="AZ45" s="870"/>
      <c r="BA45" s="870"/>
      <c r="BC45" s="870"/>
      <c r="BE45" s="870"/>
      <c r="BF45" s="870"/>
      <c r="BG45" s="870"/>
    </row>
    <row r="46" spans="18:59" x14ac:dyDescent="0.25">
      <c r="R46" s="870"/>
      <c r="S46" s="870"/>
      <c r="W46" s="870"/>
      <c r="X46" s="870"/>
      <c r="AE46" s="870"/>
      <c r="AF46" s="870"/>
      <c r="AV46" s="870"/>
      <c r="AW46" s="870"/>
      <c r="AX46" s="870"/>
      <c r="AY46" s="870"/>
      <c r="AZ46" s="870"/>
      <c r="BA46" s="870"/>
      <c r="BC46" s="870"/>
      <c r="BE46" s="870"/>
      <c r="BF46" s="870"/>
      <c r="BG46" s="870"/>
    </row>
    <row r="47" spans="18:59" x14ac:dyDescent="0.25">
      <c r="R47" s="870"/>
      <c r="S47" s="870"/>
      <c r="W47" s="870"/>
      <c r="X47" s="870"/>
      <c r="AE47" s="870"/>
      <c r="AF47" s="870"/>
      <c r="AV47" s="870"/>
      <c r="AW47" s="870"/>
      <c r="AX47" s="870"/>
      <c r="AY47" s="870"/>
      <c r="AZ47" s="870"/>
      <c r="BA47" s="870"/>
      <c r="BC47" s="870"/>
      <c r="BE47" s="870"/>
      <c r="BF47" s="870"/>
      <c r="BG47" s="870"/>
    </row>
    <row r="48" spans="18:59" x14ac:dyDescent="0.25">
      <c r="R48" s="870"/>
      <c r="S48" s="870"/>
      <c r="W48" s="870"/>
      <c r="X48" s="870"/>
      <c r="AE48" s="870"/>
      <c r="AF48" s="870"/>
      <c r="AV48" s="870"/>
      <c r="AW48" s="870"/>
      <c r="AX48" s="870"/>
      <c r="AY48" s="870"/>
      <c r="AZ48" s="870"/>
      <c r="BA48" s="870"/>
      <c r="BC48" s="870"/>
      <c r="BE48" s="870"/>
      <c r="BF48" s="870"/>
      <c r="BG48" s="870"/>
    </row>
    <row r="49" spans="18:59" x14ac:dyDescent="0.25">
      <c r="R49" s="870"/>
      <c r="S49" s="870"/>
      <c r="W49" s="870"/>
      <c r="X49" s="870"/>
      <c r="AE49" s="870"/>
      <c r="AF49" s="870"/>
      <c r="AV49" s="870"/>
      <c r="AW49" s="870"/>
      <c r="AX49" s="870"/>
      <c r="AY49" s="870"/>
      <c r="AZ49" s="870"/>
      <c r="BA49" s="870"/>
      <c r="BC49" s="870"/>
      <c r="BE49" s="870"/>
      <c r="BF49" s="870"/>
      <c r="BG49" s="870"/>
    </row>
    <row r="50" spans="18:59" x14ac:dyDescent="0.25">
      <c r="R50" s="870"/>
      <c r="S50" s="870"/>
      <c r="W50" s="870"/>
      <c r="X50" s="870"/>
      <c r="AE50" s="870"/>
      <c r="AF50" s="870"/>
      <c r="AV50" s="870"/>
      <c r="AW50" s="870"/>
      <c r="AX50" s="870"/>
      <c r="AY50" s="870"/>
      <c r="AZ50" s="870"/>
      <c r="BA50" s="870"/>
      <c r="BC50" s="870"/>
      <c r="BE50" s="870"/>
      <c r="BF50" s="870"/>
      <c r="BG50" s="870"/>
    </row>
    <row r="51" spans="18:59" x14ac:dyDescent="0.25">
      <c r="R51" s="870"/>
      <c r="S51" s="870"/>
      <c r="W51" s="870"/>
      <c r="X51" s="870"/>
      <c r="AE51" s="870"/>
      <c r="AF51" s="870"/>
      <c r="AV51" s="870"/>
      <c r="AW51" s="870"/>
      <c r="AX51" s="870"/>
      <c r="AY51" s="870"/>
      <c r="AZ51" s="870"/>
      <c r="BA51" s="870"/>
      <c r="BC51" s="870"/>
      <c r="BE51" s="870"/>
      <c r="BF51" s="870"/>
      <c r="BG51" s="870"/>
    </row>
    <row r="52" spans="18:59" x14ac:dyDescent="0.25">
      <c r="R52" s="870"/>
      <c r="S52" s="870"/>
      <c r="W52" s="870"/>
      <c r="X52" s="870"/>
      <c r="AE52" s="870"/>
      <c r="AF52" s="870"/>
      <c r="AV52" s="870"/>
      <c r="AW52" s="870"/>
      <c r="AX52" s="870"/>
      <c r="AY52" s="870"/>
      <c r="AZ52" s="870"/>
      <c r="BA52" s="870"/>
      <c r="BC52" s="870"/>
      <c r="BE52" s="870"/>
      <c r="BF52" s="870"/>
      <c r="BG52" s="870"/>
    </row>
    <row r="53" spans="18:59" x14ac:dyDescent="0.25">
      <c r="R53" s="870"/>
      <c r="S53" s="870"/>
      <c r="W53" s="870"/>
      <c r="X53" s="870"/>
      <c r="AE53" s="870"/>
      <c r="AF53" s="870"/>
      <c r="AV53" s="870"/>
      <c r="AW53" s="870"/>
      <c r="AX53" s="870"/>
      <c r="AY53" s="870"/>
      <c r="AZ53" s="870"/>
      <c r="BA53" s="870"/>
      <c r="BC53" s="870"/>
      <c r="BE53" s="870"/>
      <c r="BF53" s="870"/>
      <c r="BG53" s="870"/>
    </row>
    <row r="54" spans="18:59" x14ac:dyDescent="0.25">
      <c r="R54" s="870"/>
      <c r="S54" s="870"/>
      <c r="W54" s="870"/>
      <c r="X54" s="870"/>
      <c r="AE54" s="870"/>
      <c r="AF54" s="870"/>
      <c r="AV54" s="870"/>
      <c r="AW54" s="870"/>
      <c r="AX54" s="870"/>
      <c r="AY54" s="870"/>
      <c r="AZ54" s="870"/>
      <c r="BA54" s="870"/>
      <c r="BC54" s="870"/>
      <c r="BE54" s="870"/>
      <c r="BF54" s="870"/>
      <c r="BG54" s="870"/>
    </row>
    <row r="55" spans="18:59" x14ac:dyDescent="0.25">
      <c r="R55" s="870"/>
      <c r="S55" s="870"/>
      <c r="W55" s="870"/>
      <c r="X55" s="870"/>
      <c r="AE55" s="870"/>
      <c r="AF55" s="870"/>
      <c r="AV55" s="870"/>
      <c r="AW55" s="870"/>
      <c r="AX55" s="870"/>
      <c r="AY55" s="870"/>
      <c r="AZ55" s="870"/>
      <c r="BA55" s="870"/>
      <c r="BC55" s="870"/>
      <c r="BE55" s="870"/>
      <c r="BF55" s="870"/>
      <c r="BG55" s="870"/>
    </row>
    <row r="56" spans="18:59" x14ac:dyDescent="0.25">
      <c r="R56" s="870"/>
      <c r="S56" s="870"/>
      <c r="W56" s="870"/>
      <c r="X56" s="870"/>
      <c r="AE56" s="870"/>
      <c r="AF56" s="870"/>
      <c r="AV56" s="870"/>
      <c r="AW56" s="870"/>
      <c r="AX56" s="870"/>
      <c r="AY56" s="870"/>
      <c r="AZ56" s="870"/>
      <c r="BA56" s="870"/>
      <c r="BC56" s="870"/>
      <c r="BE56" s="870"/>
      <c r="BF56" s="870"/>
      <c r="BG56" s="870"/>
    </row>
    <row r="57" spans="18:59" x14ac:dyDescent="0.25">
      <c r="R57" s="870"/>
      <c r="S57" s="870"/>
      <c r="W57" s="870"/>
      <c r="X57" s="870"/>
      <c r="AE57" s="870"/>
      <c r="AF57" s="870"/>
      <c r="AV57" s="870"/>
      <c r="AW57" s="870"/>
      <c r="AX57" s="870"/>
      <c r="AY57" s="870"/>
      <c r="AZ57" s="870"/>
      <c r="BA57" s="870"/>
      <c r="BC57" s="870"/>
      <c r="BE57" s="870"/>
      <c r="BF57" s="870"/>
      <c r="BG57" s="870"/>
    </row>
    <row r="58" spans="18:59" x14ac:dyDescent="0.25">
      <c r="R58" s="870"/>
      <c r="S58" s="870"/>
      <c r="W58" s="870"/>
      <c r="X58" s="870"/>
      <c r="AE58" s="870"/>
      <c r="AF58" s="870"/>
      <c r="AV58" s="870"/>
      <c r="AW58" s="870"/>
      <c r="AX58" s="870"/>
      <c r="AY58" s="870"/>
      <c r="AZ58" s="870"/>
      <c r="BA58" s="870"/>
      <c r="BC58" s="870"/>
      <c r="BE58" s="870"/>
      <c r="BF58" s="870"/>
      <c r="BG58" s="870"/>
    </row>
    <row r="59" spans="18:59" x14ac:dyDescent="0.25">
      <c r="R59" s="870"/>
      <c r="S59" s="870"/>
      <c r="W59" s="870"/>
      <c r="X59" s="870"/>
      <c r="AE59" s="870"/>
      <c r="AF59" s="870"/>
      <c r="AV59" s="870"/>
      <c r="AW59" s="870"/>
      <c r="AX59" s="870"/>
      <c r="AY59" s="870"/>
      <c r="AZ59" s="870"/>
      <c r="BA59" s="870"/>
      <c r="BC59" s="870"/>
      <c r="BE59" s="870"/>
      <c r="BF59" s="870"/>
      <c r="BG59" s="870"/>
    </row>
    <row r="60" spans="18:59" x14ac:dyDescent="0.25">
      <c r="R60" s="870"/>
      <c r="S60" s="870"/>
      <c r="W60" s="870"/>
      <c r="X60" s="870"/>
      <c r="AE60" s="870"/>
      <c r="AF60" s="870"/>
      <c r="AV60" s="870"/>
      <c r="AW60" s="870"/>
      <c r="AX60" s="870"/>
      <c r="AY60" s="870"/>
      <c r="AZ60" s="870"/>
      <c r="BA60" s="870"/>
      <c r="BC60" s="870"/>
      <c r="BE60" s="870"/>
      <c r="BF60" s="870"/>
      <c r="BG60" s="870"/>
    </row>
    <row r="61" spans="18:59" x14ac:dyDescent="0.25">
      <c r="R61" s="870"/>
      <c r="S61" s="870"/>
      <c r="W61" s="870"/>
      <c r="X61" s="870"/>
      <c r="AE61" s="870"/>
      <c r="AF61" s="870"/>
      <c r="AV61" s="870"/>
      <c r="AW61" s="870"/>
      <c r="AX61" s="870"/>
      <c r="AY61" s="870"/>
      <c r="AZ61" s="870"/>
      <c r="BA61" s="870"/>
      <c r="BC61" s="870"/>
      <c r="BE61" s="870"/>
      <c r="BF61" s="870"/>
      <c r="BG61" s="870"/>
    </row>
    <row r="62" spans="18:59" x14ac:dyDescent="0.25">
      <c r="R62" s="870"/>
      <c r="S62" s="870"/>
      <c r="W62" s="870"/>
      <c r="X62" s="870"/>
      <c r="AE62" s="870"/>
      <c r="AF62" s="870"/>
      <c r="AV62" s="870"/>
      <c r="AW62" s="870"/>
      <c r="AX62" s="870"/>
      <c r="AY62" s="870"/>
      <c r="AZ62" s="870"/>
      <c r="BA62" s="870"/>
      <c r="BC62" s="870"/>
      <c r="BE62" s="870"/>
      <c r="BF62" s="870"/>
      <c r="BG62" s="870"/>
    </row>
    <row r="63" spans="18:59" x14ac:dyDescent="0.25">
      <c r="R63" s="870"/>
      <c r="S63" s="870"/>
      <c r="W63" s="870"/>
      <c r="X63" s="870"/>
      <c r="AE63" s="870"/>
      <c r="AF63" s="870"/>
      <c r="AV63" s="870"/>
      <c r="AW63" s="870"/>
      <c r="AX63" s="870"/>
      <c r="AY63" s="870"/>
      <c r="AZ63" s="870"/>
      <c r="BA63" s="870"/>
      <c r="BC63" s="870"/>
      <c r="BE63" s="870"/>
      <c r="BF63" s="870"/>
      <c r="BG63" s="870"/>
    </row>
    <row r="64" spans="18:59" x14ac:dyDescent="0.25">
      <c r="R64" s="870"/>
      <c r="S64" s="870"/>
      <c r="W64" s="870"/>
      <c r="X64" s="870"/>
      <c r="AE64" s="870"/>
      <c r="AF64" s="870"/>
      <c r="AV64" s="870"/>
      <c r="AW64" s="870"/>
      <c r="AX64" s="870"/>
      <c r="AY64" s="870"/>
      <c r="AZ64" s="870"/>
      <c r="BA64" s="870"/>
      <c r="BC64" s="870"/>
      <c r="BE64" s="870"/>
      <c r="BF64" s="870"/>
      <c r="BG64" s="870"/>
    </row>
    <row r="65" spans="18:59" x14ac:dyDescent="0.25">
      <c r="R65" s="870"/>
      <c r="S65" s="870"/>
      <c r="W65" s="870"/>
      <c r="X65" s="870"/>
      <c r="AE65" s="870"/>
      <c r="AF65" s="870"/>
      <c r="AV65" s="870"/>
      <c r="AW65" s="870"/>
      <c r="AX65" s="870"/>
      <c r="AY65" s="870"/>
      <c r="AZ65" s="870"/>
      <c r="BA65" s="870"/>
      <c r="BC65" s="870"/>
      <c r="BE65" s="870"/>
      <c r="BF65" s="870"/>
      <c r="BG65" s="870"/>
    </row>
    <row r="66" spans="18:59" x14ac:dyDescent="0.25">
      <c r="R66" s="870"/>
      <c r="S66" s="870"/>
      <c r="W66" s="870"/>
      <c r="X66" s="870"/>
      <c r="AE66" s="870"/>
      <c r="AF66" s="870"/>
      <c r="AV66" s="870"/>
      <c r="AW66" s="870"/>
      <c r="AX66" s="870"/>
      <c r="AY66" s="870"/>
      <c r="AZ66" s="870"/>
      <c r="BA66" s="870"/>
      <c r="BC66" s="870"/>
      <c r="BE66" s="870"/>
      <c r="BF66" s="870"/>
      <c r="BG66" s="870"/>
    </row>
    <row r="67" spans="18:59" x14ac:dyDescent="0.25">
      <c r="R67" s="870"/>
      <c r="S67" s="870"/>
      <c r="W67" s="870"/>
      <c r="X67" s="870"/>
      <c r="AE67" s="870"/>
      <c r="AF67" s="870"/>
      <c r="AV67" s="870"/>
      <c r="AW67" s="870"/>
      <c r="AX67" s="870"/>
      <c r="AY67" s="870"/>
      <c r="AZ67" s="870"/>
      <c r="BA67" s="870"/>
      <c r="BC67" s="870"/>
      <c r="BE67" s="870"/>
      <c r="BF67" s="870"/>
      <c r="BG67" s="870"/>
    </row>
    <row r="68" spans="18:59" x14ac:dyDescent="0.25">
      <c r="R68" s="870"/>
      <c r="S68" s="870"/>
      <c r="W68" s="870"/>
      <c r="X68" s="870"/>
      <c r="AE68" s="870"/>
      <c r="AF68" s="870"/>
      <c r="AV68" s="870"/>
      <c r="AW68" s="870"/>
      <c r="AX68" s="870"/>
      <c r="AY68" s="870"/>
      <c r="AZ68" s="870"/>
      <c r="BA68" s="870"/>
      <c r="BC68" s="870"/>
      <c r="BE68" s="870"/>
      <c r="BF68" s="870"/>
      <c r="BG68" s="870"/>
    </row>
    <row r="69" spans="18:59" x14ac:dyDescent="0.25">
      <c r="R69" s="870"/>
      <c r="S69" s="870"/>
      <c r="W69" s="870"/>
      <c r="X69" s="870"/>
      <c r="AE69" s="870"/>
      <c r="AF69" s="870"/>
      <c r="AV69" s="870"/>
      <c r="AW69" s="870"/>
      <c r="AX69" s="870"/>
      <c r="AY69" s="870"/>
      <c r="AZ69" s="870"/>
      <c r="BA69" s="870"/>
      <c r="BC69" s="870"/>
      <c r="BE69" s="870"/>
      <c r="BF69" s="870"/>
      <c r="BG69" s="870"/>
    </row>
    <row r="70" spans="18:59" x14ac:dyDescent="0.25">
      <c r="R70" s="870"/>
      <c r="S70" s="870"/>
      <c r="W70" s="870"/>
      <c r="X70" s="870"/>
      <c r="AE70" s="870"/>
      <c r="AF70" s="870"/>
      <c r="AV70" s="870"/>
      <c r="AW70" s="870"/>
      <c r="AX70" s="870"/>
      <c r="AY70" s="870"/>
      <c r="AZ70" s="870"/>
      <c r="BA70" s="870"/>
      <c r="BC70" s="870"/>
      <c r="BE70" s="870"/>
      <c r="BF70" s="870"/>
      <c r="BG70" s="870"/>
    </row>
    <row r="71" spans="18:59" x14ac:dyDescent="0.25">
      <c r="R71" s="870"/>
      <c r="S71" s="870"/>
      <c r="W71" s="870"/>
      <c r="X71" s="870"/>
      <c r="AE71" s="870"/>
      <c r="AF71" s="870"/>
      <c r="AV71" s="870"/>
      <c r="AW71" s="870"/>
      <c r="AX71" s="870"/>
      <c r="AY71" s="870"/>
      <c r="AZ71" s="870"/>
      <c r="BA71" s="870"/>
      <c r="BC71" s="870"/>
      <c r="BE71" s="870"/>
      <c r="BF71" s="870"/>
      <c r="BG71" s="870"/>
    </row>
    <row r="72" spans="18:59" x14ac:dyDescent="0.25">
      <c r="R72" s="870"/>
      <c r="S72" s="870"/>
      <c r="W72" s="870"/>
      <c r="X72" s="870"/>
      <c r="AE72" s="870"/>
      <c r="AF72" s="870"/>
      <c r="AV72" s="870"/>
      <c r="AW72" s="870"/>
      <c r="AX72" s="870"/>
      <c r="AY72" s="870"/>
      <c r="AZ72" s="870"/>
      <c r="BA72" s="870"/>
      <c r="BC72" s="870"/>
      <c r="BE72" s="870"/>
      <c r="BF72" s="870"/>
      <c r="BG72" s="870"/>
    </row>
    <row r="73" spans="18:59" x14ac:dyDescent="0.25">
      <c r="R73" s="870"/>
      <c r="S73" s="870"/>
      <c r="W73" s="870"/>
      <c r="X73" s="870"/>
      <c r="AE73" s="870"/>
      <c r="AF73" s="870"/>
      <c r="AV73" s="870"/>
      <c r="AW73" s="870"/>
      <c r="AX73" s="870"/>
      <c r="AY73" s="870"/>
      <c r="AZ73" s="870"/>
      <c r="BA73" s="870"/>
      <c r="BC73" s="870"/>
      <c r="BE73" s="870"/>
      <c r="BF73" s="870"/>
      <c r="BG73" s="870"/>
    </row>
    <row r="74" spans="18:59" x14ac:dyDescent="0.25">
      <c r="R74" s="870"/>
      <c r="S74" s="870"/>
      <c r="W74" s="870"/>
      <c r="X74" s="870"/>
      <c r="AE74" s="870"/>
      <c r="AF74" s="870"/>
      <c r="AV74" s="870"/>
      <c r="AW74" s="870"/>
      <c r="AX74" s="870"/>
      <c r="AY74" s="870"/>
      <c r="AZ74" s="870"/>
      <c r="BA74" s="870"/>
      <c r="BC74" s="870"/>
      <c r="BE74" s="870"/>
      <c r="BF74" s="870"/>
      <c r="BG74" s="870"/>
    </row>
    <row r="75" spans="18:59" x14ac:dyDescent="0.25">
      <c r="R75" s="870"/>
      <c r="S75" s="870"/>
      <c r="W75" s="870"/>
      <c r="X75" s="870"/>
      <c r="AE75" s="870"/>
      <c r="AF75" s="870"/>
      <c r="AV75" s="870"/>
      <c r="AW75" s="870"/>
      <c r="AX75" s="870"/>
      <c r="AY75" s="870"/>
      <c r="AZ75" s="870"/>
      <c r="BA75" s="870"/>
      <c r="BC75" s="870"/>
      <c r="BE75" s="870"/>
      <c r="BF75" s="870"/>
      <c r="BG75" s="870"/>
    </row>
    <row r="76" spans="18:59" x14ac:dyDescent="0.25">
      <c r="R76" s="870"/>
      <c r="S76" s="870"/>
      <c r="W76" s="870"/>
      <c r="X76" s="870"/>
      <c r="AE76" s="870"/>
      <c r="AF76" s="870"/>
      <c r="AV76" s="870"/>
      <c r="AW76" s="870"/>
      <c r="AX76" s="870"/>
      <c r="AY76" s="870"/>
      <c r="AZ76" s="870"/>
      <c r="BA76" s="870"/>
      <c r="BC76" s="870"/>
      <c r="BE76" s="870"/>
      <c r="BF76" s="870"/>
      <c r="BG76" s="870"/>
    </row>
    <row r="77" spans="18:59" x14ac:dyDescent="0.25">
      <c r="R77" s="870"/>
      <c r="S77" s="870"/>
      <c r="W77" s="870"/>
      <c r="X77" s="870"/>
      <c r="AE77" s="870"/>
      <c r="AF77" s="870"/>
      <c r="AV77" s="870"/>
      <c r="AW77" s="870"/>
      <c r="AX77" s="870"/>
      <c r="AY77" s="870"/>
      <c r="AZ77" s="870"/>
      <c r="BA77" s="870"/>
      <c r="BC77" s="870"/>
      <c r="BE77" s="870"/>
      <c r="BF77" s="870"/>
      <c r="BG77" s="870"/>
    </row>
    <row r="78" spans="18:59" x14ac:dyDescent="0.25">
      <c r="R78" s="870"/>
      <c r="S78" s="870"/>
      <c r="W78" s="870"/>
      <c r="X78" s="870"/>
      <c r="AE78" s="870"/>
      <c r="AF78" s="870"/>
      <c r="AV78" s="870"/>
      <c r="AW78" s="870"/>
      <c r="AX78" s="870"/>
      <c r="AY78" s="870"/>
      <c r="AZ78" s="870"/>
      <c r="BA78" s="870"/>
      <c r="BC78" s="870"/>
      <c r="BE78" s="870"/>
      <c r="BF78" s="870"/>
      <c r="BG78" s="870"/>
    </row>
    <row r="79" spans="18:59" x14ac:dyDescent="0.25">
      <c r="R79" s="870"/>
      <c r="S79" s="870"/>
      <c r="W79" s="870"/>
      <c r="X79" s="870"/>
      <c r="AE79" s="870"/>
      <c r="AF79" s="870"/>
      <c r="AV79" s="870"/>
      <c r="AW79" s="870"/>
      <c r="AX79" s="870"/>
      <c r="AY79" s="870"/>
      <c r="AZ79" s="870"/>
      <c r="BA79" s="870"/>
      <c r="BC79" s="870"/>
      <c r="BE79" s="870"/>
      <c r="BF79" s="870"/>
      <c r="BG79" s="870"/>
    </row>
    <row r="80" spans="18:59" x14ac:dyDescent="0.25">
      <c r="R80" s="870"/>
      <c r="S80" s="870"/>
      <c r="W80" s="870"/>
      <c r="X80" s="870"/>
      <c r="AE80" s="870"/>
      <c r="AF80" s="870"/>
      <c r="AV80" s="870"/>
      <c r="AW80" s="870"/>
      <c r="AX80" s="870"/>
      <c r="AY80" s="870"/>
      <c r="AZ80" s="870"/>
      <c r="BA80" s="870"/>
      <c r="BC80" s="870"/>
      <c r="BE80" s="870"/>
      <c r="BF80" s="870"/>
      <c r="BG80" s="870"/>
    </row>
    <row r="81" spans="18:59" x14ac:dyDescent="0.25">
      <c r="R81" s="870"/>
      <c r="S81" s="870"/>
      <c r="W81" s="870"/>
      <c r="X81" s="870"/>
      <c r="AE81" s="870"/>
      <c r="AF81" s="870"/>
      <c r="AV81" s="870"/>
      <c r="AW81" s="870"/>
      <c r="AX81" s="870"/>
      <c r="AY81" s="870"/>
      <c r="AZ81" s="870"/>
      <c r="BA81" s="870"/>
      <c r="BC81" s="870"/>
      <c r="BE81" s="870"/>
      <c r="BF81" s="870"/>
      <c r="BG81" s="870"/>
    </row>
    <row r="82" spans="18:59" x14ac:dyDescent="0.25">
      <c r="R82" s="870"/>
      <c r="S82" s="870"/>
      <c r="W82" s="870"/>
      <c r="X82" s="870"/>
      <c r="AE82" s="870"/>
      <c r="AF82" s="870"/>
      <c r="AV82" s="870"/>
      <c r="AW82" s="870"/>
      <c r="AX82" s="870"/>
      <c r="AY82" s="870"/>
      <c r="AZ82" s="870"/>
      <c r="BA82" s="870"/>
      <c r="BC82" s="870"/>
      <c r="BE82" s="870"/>
      <c r="BF82" s="870"/>
      <c r="BG82" s="870"/>
    </row>
    <row r="83" spans="18:59" x14ac:dyDescent="0.25">
      <c r="R83" s="870"/>
      <c r="S83" s="870"/>
      <c r="W83" s="870"/>
      <c r="X83" s="870"/>
      <c r="AE83" s="870"/>
      <c r="AF83" s="870"/>
      <c r="AV83" s="870"/>
      <c r="AW83" s="870"/>
      <c r="AX83" s="870"/>
      <c r="AY83" s="870"/>
      <c r="AZ83" s="870"/>
      <c r="BA83" s="870"/>
      <c r="BC83" s="870"/>
      <c r="BE83" s="870"/>
      <c r="BF83" s="870"/>
      <c r="BG83" s="870"/>
    </row>
    <row r="84" spans="18:59" x14ac:dyDescent="0.25">
      <c r="R84" s="870"/>
      <c r="S84" s="870"/>
      <c r="W84" s="870"/>
      <c r="X84" s="870"/>
      <c r="AE84" s="870"/>
      <c r="AF84" s="870"/>
      <c r="AV84" s="870"/>
      <c r="AW84" s="870"/>
      <c r="AX84" s="870"/>
      <c r="AY84" s="870"/>
      <c r="AZ84" s="870"/>
      <c r="BA84" s="870"/>
      <c r="BC84" s="870"/>
      <c r="BE84" s="870"/>
      <c r="BF84" s="870"/>
      <c r="BG84" s="870"/>
    </row>
    <row r="85" spans="18:59" x14ac:dyDescent="0.25">
      <c r="R85" s="870"/>
      <c r="S85" s="870"/>
      <c r="W85" s="870"/>
      <c r="X85" s="870"/>
      <c r="AE85" s="870"/>
      <c r="AF85" s="870"/>
      <c r="AV85" s="870"/>
      <c r="AW85" s="870"/>
      <c r="AX85" s="870"/>
      <c r="AY85" s="870"/>
      <c r="AZ85" s="870"/>
      <c r="BA85" s="870"/>
      <c r="BC85" s="870"/>
      <c r="BE85" s="870"/>
      <c r="BF85" s="870"/>
      <c r="BG85" s="870"/>
    </row>
    <row r="86" spans="18:59" x14ac:dyDescent="0.25">
      <c r="R86" s="870"/>
      <c r="S86" s="870"/>
      <c r="W86" s="870"/>
      <c r="X86" s="870"/>
      <c r="AE86" s="870"/>
      <c r="AF86" s="870"/>
      <c r="AV86" s="870"/>
      <c r="AW86" s="870"/>
      <c r="AX86" s="870"/>
      <c r="AY86" s="870"/>
      <c r="AZ86" s="870"/>
      <c r="BA86" s="870"/>
      <c r="BC86" s="870"/>
      <c r="BE86" s="870"/>
      <c r="BF86" s="870"/>
      <c r="BG86" s="870"/>
    </row>
    <row r="87" spans="18:59" x14ac:dyDescent="0.25">
      <c r="R87" s="870"/>
      <c r="S87" s="870"/>
      <c r="W87" s="870"/>
      <c r="X87" s="870"/>
      <c r="AE87" s="870"/>
      <c r="AF87" s="870"/>
      <c r="AV87" s="870"/>
      <c r="AW87" s="870"/>
      <c r="AX87" s="870"/>
      <c r="AY87" s="870"/>
      <c r="AZ87" s="870"/>
      <c r="BA87" s="870"/>
      <c r="BC87" s="870"/>
      <c r="BE87" s="870"/>
      <c r="BF87" s="870"/>
      <c r="BG87" s="870"/>
    </row>
    <row r="88" spans="18:59" x14ac:dyDescent="0.25">
      <c r="R88" s="870"/>
      <c r="S88" s="870"/>
      <c r="W88" s="870"/>
      <c r="X88" s="870"/>
      <c r="AE88" s="870"/>
      <c r="AF88" s="870"/>
      <c r="AV88" s="870"/>
      <c r="AW88" s="870"/>
      <c r="AX88" s="870"/>
      <c r="AY88" s="870"/>
      <c r="AZ88" s="870"/>
      <c r="BA88" s="870"/>
      <c r="BC88" s="870"/>
      <c r="BE88" s="870"/>
      <c r="BF88" s="870"/>
      <c r="BG88" s="870"/>
    </row>
    <row r="89" spans="18:59" x14ac:dyDescent="0.25">
      <c r="R89" s="870"/>
      <c r="S89" s="870"/>
      <c r="W89" s="870"/>
      <c r="X89" s="870"/>
      <c r="AE89" s="870"/>
      <c r="AF89" s="870"/>
      <c r="AV89" s="870"/>
      <c r="AW89" s="870"/>
      <c r="AX89" s="870"/>
      <c r="AY89" s="870"/>
      <c r="AZ89" s="870"/>
      <c r="BA89" s="870"/>
      <c r="BC89" s="870"/>
      <c r="BE89" s="870"/>
      <c r="BF89" s="870"/>
      <c r="BG89" s="870"/>
    </row>
    <row r="90" spans="18:59" x14ac:dyDescent="0.25">
      <c r="R90" s="870"/>
      <c r="S90" s="870"/>
      <c r="W90" s="870"/>
      <c r="X90" s="870"/>
      <c r="AE90" s="870"/>
      <c r="AF90" s="870"/>
      <c r="AV90" s="870"/>
      <c r="AW90" s="870"/>
      <c r="AX90" s="870"/>
      <c r="AY90" s="870"/>
      <c r="AZ90" s="870"/>
      <c r="BA90" s="870"/>
      <c r="BC90" s="870"/>
      <c r="BE90" s="870"/>
      <c r="BF90" s="870"/>
      <c r="BG90" s="870"/>
    </row>
    <row r="91" spans="18:59" x14ac:dyDescent="0.25">
      <c r="R91" s="870"/>
      <c r="S91" s="870"/>
      <c r="W91" s="870"/>
      <c r="X91" s="870"/>
      <c r="AE91" s="870"/>
      <c r="AF91" s="870"/>
      <c r="AV91" s="870"/>
      <c r="AW91" s="870"/>
      <c r="AX91" s="870"/>
      <c r="AY91" s="870"/>
      <c r="AZ91" s="870"/>
      <c r="BA91" s="870"/>
      <c r="BC91" s="870"/>
      <c r="BE91" s="870"/>
      <c r="BF91" s="870"/>
      <c r="BG91" s="870"/>
    </row>
    <row r="92" spans="18:59" x14ac:dyDescent="0.25">
      <c r="R92" s="870"/>
      <c r="S92" s="870"/>
      <c r="W92" s="870"/>
      <c r="X92" s="870"/>
      <c r="AE92" s="870"/>
      <c r="AF92" s="870"/>
      <c r="AV92" s="870"/>
      <c r="AW92" s="870"/>
      <c r="AX92" s="870"/>
      <c r="AY92" s="870"/>
      <c r="AZ92" s="870"/>
      <c r="BA92" s="870"/>
      <c r="BC92" s="870"/>
      <c r="BE92" s="870"/>
      <c r="BF92" s="870"/>
      <c r="BG92" s="870"/>
    </row>
    <row r="93" spans="18:59" x14ac:dyDescent="0.25">
      <c r="R93" s="870"/>
      <c r="S93" s="870"/>
      <c r="W93" s="870"/>
      <c r="X93" s="870"/>
      <c r="AE93" s="870"/>
      <c r="AF93" s="870"/>
      <c r="AV93" s="870"/>
      <c r="AW93" s="870"/>
      <c r="AX93" s="870"/>
      <c r="AY93" s="870"/>
      <c r="AZ93" s="870"/>
      <c r="BA93" s="870"/>
      <c r="BC93" s="870"/>
      <c r="BE93" s="870"/>
      <c r="BF93" s="870"/>
      <c r="BG93" s="870"/>
    </row>
    <row r="94" spans="18:59" x14ac:dyDescent="0.25">
      <c r="R94" s="870"/>
      <c r="S94" s="870"/>
      <c r="W94" s="870"/>
      <c r="X94" s="870"/>
      <c r="AE94" s="870"/>
      <c r="AF94" s="870"/>
      <c r="AV94" s="870"/>
      <c r="AW94" s="870"/>
      <c r="AX94" s="870"/>
      <c r="AY94" s="870"/>
      <c r="AZ94" s="870"/>
      <c r="BA94" s="870"/>
      <c r="BC94" s="870"/>
      <c r="BE94" s="870"/>
      <c r="BF94" s="870"/>
      <c r="BG94" s="870"/>
    </row>
    <row r="95" spans="18:59" x14ac:dyDescent="0.25">
      <c r="R95" s="870"/>
      <c r="S95" s="870"/>
      <c r="W95" s="870"/>
      <c r="X95" s="870"/>
      <c r="AE95" s="870"/>
      <c r="AF95" s="870"/>
      <c r="AV95" s="870"/>
      <c r="AW95" s="870"/>
      <c r="AX95" s="870"/>
      <c r="AY95" s="870"/>
      <c r="AZ95" s="870"/>
      <c r="BA95" s="870"/>
      <c r="BC95" s="870"/>
      <c r="BE95" s="870"/>
      <c r="BF95" s="870"/>
      <c r="BG95" s="870"/>
    </row>
    <row r="96" spans="18:59" x14ac:dyDescent="0.25">
      <c r="R96" s="870"/>
      <c r="S96" s="870"/>
      <c r="W96" s="870"/>
      <c r="X96" s="870"/>
      <c r="AE96" s="870"/>
      <c r="AF96" s="870"/>
      <c r="AV96" s="870"/>
      <c r="AW96" s="870"/>
      <c r="AX96" s="870"/>
      <c r="AY96" s="870"/>
      <c r="AZ96" s="870"/>
      <c r="BA96" s="870"/>
      <c r="BC96" s="870"/>
      <c r="BE96" s="870"/>
      <c r="BF96" s="870"/>
      <c r="BG96" s="870"/>
    </row>
    <row r="97" spans="18:59" x14ac:dyDescent="0.25">
      <c r="R97" s="870"/>
      <c r="S97" s="870"/>
      <c r="W97" s="870"/>
      <c r="X97" s="870"/>
      <c r="AE97" s="870"/>
      <c r="AF97" s="870"/>
      <c r="AV97" s="870"/>
      <c r="AW97" s="870"/>
      <c r="AX97" s="870"/>
      <c r="AY97" s="870"/>
      <c r="AZ97" s="870"/>
      <c r="BA97" s="870"/>
      <c r="BC97" s="870"/>
      <c r="BE97" s="870"/>
      <c r="BF97" s="870"/>
      <c r="BG97" s="870"/>
    </row>
    <row r="98" spans="18:59" x14ac:dyDescent="0.25">
      <c r="R98" s="870"/>
      <c r="S98" s="870"/>
      <c r="W98" s="870"/>
      <c r="X98" s="870"/>
      <c r="AE98" s="870"/>
      <c r="AF98" s="870"/>
      <c r="AV98" s="870"/>
      <c r="AW98" s="870"/>
      <c r="AX98" s="870"/>
      <c r="AY98" s="870"/>
      <c r="AZ98" s="870"/>
      <c r="BA98" s="870"/>
      <c r="BC98" s="870"/>
      <c r="BE98" s="870"/>
      <c r="BF98" s="870"/>
      <c r="BG98" s="870"/>
    </row>
    <row r="99" spans="18:59" x14ac:dyDescent="0.25">
      <c r="R99" s="870"/>
      <c r="S99" s="870"/>
      <c r="W99" s="870"/>
      <c r="X99" s="870"/>
      <c r="AE99" s="870"/>
      <c r="AF99" s="870"/>
      <c r="AV99" s="870"/>
      <c r="AW99" s="870"/>
      <c r="AX99" s="870"/>
      <c r="AY99" s="870"/>
      <c r="AZ99" s="870"/>
      <c r="BA99" s="870"/>
      <c r="BC99" s="870"/>
      <c r="BE99" s="870"/>
      <c r="BF99" s="870"/>
      <c r="BG99" s="870"/>
    </row>
    <row r="100" spans="18:59" x14ac:dyDescent="0.25">
      <c r="R100" s="870"/>
      <c r="S100" s="870"/>
      <c r="W100" s="870"/>
      <c r="X100" s="870"/>
      <c r="AE100" s="870"/>
      <c r="AF100" s="870"/>
      <c r="AV100" s="870"/>
      <c r="AW100" s="870"/>
      <c r="AX100" s="870"/>
      <c r="AY100" s="870"/>
      <c r="AZ100" s="870"/>
      <c r="BA100" s="870"/>
      <c r="BC100" s="870"/>
      <c r="BE100" s="870"/>
      <c r="BF100" s="870"/>
      <c r="BG100" s="870"/>
    </row>
    <row r="101" spans="18:59" x14ac:dyDescent="0.25">
      <c r="R101" s="870"/>
      <c r="S101" s="870"/>
      <c r="W101" s="870"/>
      <c r="X101" s="870"/>
      <c r="AE101" s="870"/>
      <c r="AF101" s="870"/>
      <c r="AV101" s="870"/>
      <c r="AW101" s="870"/>
      <c r="AX101" s="870"/>
      <c r="AY101" s="870"/>
      <c r="AZ101" s="870"/>
      <c r="BA101" s="870"/>
      <c r="BC101" s="870"/>
      <c r="BE101" s="870"/>
      <c r="BF101" s="870"/>
      <c r="BG101" s="870"/>
    </row>
    <row r="102" spans="18:59" x14ac:dyDescent="0.25">
      <c r="R102" s="870"/>
      <c r="S102" s="870"/>
      <c r="W102" s="870"/>
      <c r="X102" s="870"/>
      <c r="AE102" s="870"/>
      <c r="AF102" s="870"/>
      <c r="AV102" s="870"/>
      <c r="AW102" s="870"/>
      <c r="AX102" s="870"/>
      <c r="AY102" s="870"/>
      <c r="AZ102" s="870"/>
      <c r="BA102" s="870"/>
      <c r="BC102" s="870"/>
      <c r="BE102" s="870"/>
      <c r="BF102" s="870"/>
      <c r="BG102" s="870"/>
    </row>
    <row r="103" spans="18:59" x14ac:dyDescent="0.25">
      <c r="R103" s="870"/>
      <c r="S103" s="870"/>
      <c r="W103" s="870"/>
      <c r="X103" s="870"/>
      <c r="AE103" s="870"/>
      <c r="AF103" s="870"/>
      <c r="AV103" s="870"/>
      <c r="AW103" s="870"/>
      <c r="AX103" s="870"/>
      <c r="AY103" s="870"/>
      <c r="AZ103" s="870"/>
      <c r="BA103" s="870"/>
      <c r="BC103" s="870"/>
      <c r="BE103" s="870"/>
      <c r="BF103" s="870"/>
      <c r="BG103" s="870"/>
    </row>
    <row r="104" spans="18:59" x14ac:dyDescent="0.25">
      <c r="R104" s="870"/>
      <c r="S104" s="870"/>
      <c r="W104" s="870"/>
      <c r="X104" s="870"/>
      <c r="AE104" s="870"/>
      <c r="AF104" s="870"/>
      <c r="AV104" s="870"/>
      <c r="AW104" s="870"/>
      <c r="AX104" s="870"/>
      <c r="AY104" s="870"/>
      <c r="AZ104" s="870"/>
      <c r="BA104" s="870"/>
      <c r="BC104" s="870"/>
      <c r="BE104" s="870"/>
      <c r="BF104" s="870"/>
      <c r="BG104" s="870"/>
    </row>
    <row r="105" spans="18:59" x14ac:dyDescent="0.25">
      <c r="R105" s="870"/>
      <c r="S105" s="870"/>
      <c r="W105" s="870"/>
      <c r="X105" s="870"/>
      <c r="AE105" s="870"/>
      <c r="AF105" s="870"/>
      <c r="AV105" s="870"/>
      <c r="AW105" s="870"/>
      <c r="AX105" s="870"/>
      <c r="AY105" s="870"/>
      <c r="AZ105" s="870"/>
      <c r="BA105" s="870"/>
      <c r="BC105" s="870"/>
      <c r="BE105" s="870"/>
      <c r="BF105" s="870"/>
      <c r="BG105" s="870"/>
    </row>
    <row r="106" spans="18:59" x14ac:dyDescent="0.25">
      <c r="R106" s="870"/>
      <c r="S106" s="870"/>
      <c r="W106" s="870"/>
      <c r="X106" s="870"/>
      <c r="AE106" s="870"/>
      <c r="AF106" s="870"/>
      <c r="AV106" s="870"/>
      <c r="AW106" s="870"/>
      <c r="AX106" s="870"/>
      <c r="AY106" s="870"/>
      <c r="AZ106" s="870"/>
      <c r="BA106" s="870"/>
      <c r="BC106" s="870"/>
      <c r="BE106" s="870"/>
      <c r="BF106" s="870"/>
      <c r="BG106" s="870"/>
    </row>
    <row r="107" spans="18:59" x14ac:dyDescent="0.25">
      <c r="R107" s="870"/>
      <c r="S107" s="870"/>
      <c r="W107" s="870"/>
      <c r="X107" s="870"/>
      <c r="AE107" s="870"/>
      <c r="AF107" s="870"/>
      <c r="AV107" s="870"/>
      <c r="AW107" s="870"/>
      <c r="AX107" s="870"/>
      <c r="AY107" s="870"/>
      <c r="AZ107" s="870"/>
      <c r="BA107" s="870"/>
      <c r="BC107" s="870"/>
      <c r="BE107" s="870"/>
      <c r="BF107" s="870"/>
      <c r="BG107" s="870"/>
    </row>
    <row r="108" spans="18:59" x14ac:dyDescent="0.25">
      <c r="R108" s="870"/>
      <c r="S108" s="870"/>
      <c r="W108" s="870"/>
      <c r="X108" s="870"/>
      <c r="AE108" s="870"/>
      <c r="AF108" s="870"/>
      <c r="AV108" s="870"/>
      <c r="AW108" s="870"/>
      <c r="AX108" s="870"/>
      <c r="AY108" s="870"/>
      <c r="AZ108" s="870"/>
      <c r="BA108" s="870"/>
      <c r="BC108" s="870"/>
      <c r="BE108" s="870"/>
      <c r="BF108" s="870"/>
      <c r="BG108" s="870"/>
    </row>
    <row r="109" spans="18:59" x14ac:dyDescent="0.25">
      <c r="R109" s="870"/>
      <c r="S109" s="870"/>
      <c r="W109" s="870"/>
      <c r="X109" s="870"/>
      <c r="AE109" s="870"/>
      <c r="AF109" s="870"/>
      <c r="AV109" s="870"/>
      <c r="AW109" s="870"/>
      <c r="AX109" s="870"/>
      <c r="AY109" s="870"/>
      <c r="AZ109" s="870"/>
      <c r="BA109" s="870"/>
      <c r="BC109" s="870"/>
      <c r="BE109" s="870"/>
      <c r="BF109" s="870"/>
      <c r="BG109" s="870"/>
    </row>
    <row r="110" spans="18:59" x14ac:dyDescent="0.25">
      <c r="R110" s="870"/>
      <c r="S110" s="870"/>
      <c r="W110" s="870"/>
      <c r="X110" s="870"/>
      <c r="AE110" s="870"/>
      <c r="AF110" s="870"/>
      <c r="AV110" s="870"/>
      <c r="AW110" s="870"/>
      <c r="AX110" s="870"/>
      <c r="AY110" s="870"/>
      <c r="AZ110" s="870"/>
      <c r="BA110" s="870"/>
      <c r="BC110" s="870"/>
      <c r="BE110" s="870"/>
      <c r="BF110" s="870"/>
      <c r="BG110" s="870"/>
    </row>
    <row r="111" spans="18:59" x14ac:dyDescent="0.25">
      <c r="R111" s="870"/>
      <c r="S111" s="870"/>
      <c r="W111" s="870"/>
      <c r="X111" s="870"/>
      <c r="AE111" s="870"/>
      <c r="AF111" s="870"/>
      <c r="AV111" s="870"/>
      <c r="AW111" s="870"/>
      <c r="AX111" s="870"/>
      <c r="AY111" s="870"/>
      <c r="AZ111" s="870"/>
      <c r="BA111" s="870"/>
      <c r="BC111" s="870"/>
      <c r="BE111" s="870"/>
      <c r="BF111" s="870"/>
      <c r="BG111" s="870"/>
    </row>
    <row r="112" spans="18:59" x14ac:dyDescent="0.25">
      <c r="R112" s="870"/>
      <c r="S112" s="870"/>
      <c r="W112" s="870"/>
      <c r="X112" s="870"/>
      <c r="AE112" s="870"/>
      <c r="AF112" s="870"/>
      <c r="AV112" s="870"/>
      <c r="AW112" s="870"/>
      <c r="AX112" s="870"/>
      <c r="AY112" s="870"/>
      <c r="AZ112" s="870"/>
      <c r="BA112" s="870"/>
      <c r="BC112" s="870"/>
      <c r="BE112" s="870"/>
      <c r="BF112" s="870"/>
      <c r="BG112" s="870"/>
    </row>
    <row r="113" spans="18:59" x14ac:dyDescent="0.25">
      <c r="R113" s="870"/>
      <c r="S113" s="870"/>
      <c r="W113" s="870"/>
      <c r="X113" s="870"/>
      <c r="AE113" s="870"/>
      <c r="AF113" s="870"/>
      <c r="AV113" s="870"/>
      <c r="AW113" s="870"/>
      <c r="AX113" s="870"/>
      <c r="AY113" s="870"/>
      <c r="AZ113" s="870"/>
      <c r="BA113" s="870"/>
      <c r="BC113" s="870"/>
      <c r="BE113" s="870"/>
      <c r="BF113" s="870"/>
      <c r="BG113" s="870"/>
    </row>
    <row r="114" spans="18:59" x14ac:dyDescent="0.25">
      <c r="R114" s="870"/>
      <c r="S114" s="870"/>
      <c r="W114" s="870"/>
      <c r="X114" s="870"/>
      <c r="AE114" s="870"/>
      <c r="AF114" s="870"/>
      <c r="AV114" s="870"/>
      <c r="AW114" s="870"/>
      <c r="AX114" s="870"/>
      <c r="AY114" s="870"/>
      <c r="AZ114" s="870"/>
      <c r="BA114" s="870"/>
      <c r="BC114" s="870"/>
      <c r="BE114" s="870"/>
      <c r="BF114" s="870"/>
      <c r="BG114" s="870"/>
    </row>
    <row r="115" spans="18:59" x14ac:dyDescent="0.25">
      <c r="R115" s="870"/>
      <c r="S115" s="870"/>
      <c r="W115" s="870"/>
      <c r="X115" s="870"/>
      <c r="AE115" s="870"/>
      <c r="AF115" s="870"/>
      <c r="AV115" s="870"/>
      <c r="AW115" s="870"/>
      <c r="AX115" s="870"/>
      <c r="AY115" s="870"/>
      <c r="AZ115" s="870"/>
      <c r="BA115" s="870"/>
      <c r="BC115" s="870"/>
      <c r="BE115" s="870"/>
      <c r="BF115" s="870"/>
      <c r="BG115" s="870"/>
    </row>
    <row r="116" spans="18:59" x14ac:dyDescent="0.25">
      <c r="R116" s="870"/>
      <c r="S116" s="870"/>
      <c r="W116" s="870"/>
      <c r="X116" s="870"/>
      <c r="AE116" s="870"/>
      <c r="AF116" s="870"/>
      <c r="AV116" s="870"/>
      <c r="AW116" s="870"/>
      <c r="AX116" s="870"/>
      <c r="AY116" s="870"/>
      <c r="AZ116" s="870"/>
      <c r="BA116" s="870"/>
      <c r="BC116" s="870"/>
      <c r="BE116" s="870"/>
      <c r="BF116" s="870"/>
      <c r="BG116" s="870"/>
    </row>
    <row r="117" spans="18:59" x14ac:dyDescent="0.25">
      <c r="R117" s="870"/>
      <c r="S117" s="870"/>
      <c r="W117" s="870"/>
      <c r="X117" s="870"/>
      <c r="AE117" s="870"/>
      <c r="AF117" s="870"/>
      <c r="AV117" s="870"/>
      <c r="AW117" s="870"/>
      <c r="AX117" s="870"/>
      <c r="AY117" s="870"/>
      <c r="AZ117" s="870"/>
      <c r="BA117" s="870"/>
      <c r="BC117" s="870"/>
      <c r="BE117" s="870"/>
      <c r="BF117" s="870"/>
      <c r="BG117" s="870"/>
    </row>
    <row r="118" spans="18:59" x14ac:dyDescent="0.25">
      <c r="R118" s="870"/>
      <c r="S118" s="870"/>
      <c r="W118" s="870"/>
      <c r="X118" s="870"/>
      <c r="AE118" s="870"/>
      <c r="AF118" s="870"/>
      <c r="AV118" s="870"/>
      <c r="AW118" s="870"/>
      <c r="AX118" s="870"/>
      <c r="AY118" s="870"/>
      <c r="AZ118" s="870"/>
      <c r="BA118" s="870"/>
      <c r="BC118" s="870"/>
      <c r="BE118" s="870"/>
      <c r="BF118" s="870"/>
      <c r="BG118" s="870"/>
    </row>
    <row r="119" spans="18:59" x14ac:dyDescent="0.25">
      <c r="R119" s="870"/>
      <c r="S119" s="870"/>
      <c r="W119" s="870"/>
      <c r="X119" s="870"/>
      <c r="AE119" s="870"/>
      <c r="AF119" s="870"/>
      <c r="AV119" s="870"/>
      <c r="AW119" s="870"/>
      <c r="AX119" s="870"/>
      <c r="AY119" s="870"/>
      <c r="AZ119" s="870"/>
      <c r="BA119" s="870"/>
      <c r="BC119" s="870"/>
      <c r="BE119" s="870"/>
      <c r="BF119" s="870"/>
      <c r="BG119" s="870"/>
    </row>
    <row r="120" spans="18:59" x14ac:dyDescent="0.25">
      <c r="R120" s="870"/>
      <c r="S120" s="870"/>
      <c r="W120" s="870"/>
      <c r="X120" s="870"/>
      <c r="AE120" s="870"/>
      <c r="AF120" s="870"/>
      <c r="AV120" s="870"/>
      <c r="AW120" s="870"/>
      <c r="AX120" s="870"/>
      <c r="AY120" s="870"/>
      <c r="AZ120" s="870"/>
      <c r="BA120" s="870"/>
      <c r="BC120" s="870"/>
      <c r="BE120" s="870"/>
      <c r="BF120" s="870"/>
      <c r="BG120" s="870"/>
    </row>
    <row r="121" spans="18:59" x14ac:dyDescent="0.25">
      <c r="R121" s="870"/>
      <c r="S121" s="870"/>
      <c r="W121" s="870"/>
      <c r="X121" s="870"/>
      <c r="AE121" s="870"/>
      <c r="AF121" s="870"/>
      <c r="AV121" s="870"/>
      <c r="AW121" s="870"/>
      <c r="AX121" s="870"/>
      <c r="AY121" s="870"/>
      <c r="AZ121" s="870"/>
      <c r="BA121" s="870"/>
      <c r="BC121" s="870"/>
      <c r="BE121" s="870"/>
      <c r="BF121" s="870"/>
      <c r="BG121" s="870"/>
    </row>
    <row r="122" spans="18:59" x14ac:dyDescent="0.25">
      <c r="R122" s="870"/>
      <c r="S122" s="870"/>
      <c r="W122" s="870"/>
      <c r="X122" s="870"/>
      <c r="AE122" s="870"/>
      <c r="AF122" s="870"/>
      <c r="AV122" s="870"/>
      <c r="AW122" s="870"/>
      <c r="AX122" s="870"/>
      <c r="AY122" s="870"/>
      <c r="AZ122" s="870"/>
      <c r="BA122" s="870"/>
      <c r="BC122" s="870"/>
      <c r="BE122" s="870"/>
      <c r="BF122" s="870"/>
      <c r="BG122" s="870"/>
    </row>
    <row r="123" spans="18:59" x14ac:dyDescent="0.25">
      <c r="R123" s="870"/>
      <c r="S123" s="870"/>
      <c r="W123" s="870"/>
      <c r="X123" s="870"/>
      <c r="AE123" s="870"/>
      <c r="AF123" s="870"/>
      <c r="AV123" s="870"/>
      <c r="AW123" s="870"/>
      <c r="AX123" s="870"/>
      <c r="AY123" s="870"/>
      <c r="AZ123" s="870"/>
      <c r="BA123" s="870"/>
      <c r="BC123" s="870"/>
      <c r="BE123" s="870"/>
      <c r="BF123" s="870"/>
      <c r="BG123" s="870"/>
    </row>
    <row r="124" spans="18:59" x14ac:dyDescent="0.25">
      <c r="R124" s="870"/>
      <c r="S124" s="870"/>
      <c r="W124" s="870"/>
      <c r="X124" s="870"/>
      <c r="AE124" s="870"/>
      <c r="AF124" s="870"/>
      <c r="AV124" s="870"/>
      <c r="AW124" s="870"/>
      <c r="AX124" s="870"/>
      <c r="AY124" s="870"/>
      <c r="AZ124" s="870"/>
      <c r="BA124" s="870"/>
      <c r="BC124" s="870"/>
      <c r="BE124" s="870"/>
      <c r="BF124" s="870"/>
      <c r="BG124" s="870"/>
    </row>
    <row r="125" spans="18:59" x14ac:dyDescent="0.25">
      <c r="R125" s="870"/>
      <c r="S125" s="870"/>
      <c r="W125" s="870"/>
      <c r="X125" s="870"/>
      <c r="AE125" s="870"/>
      <c r="AF125" s="870"/>
      <c r="AV125" s="870"/>
      <c r="AW125" s="870"/>
      <c r="AX125" s="870"/>
      <c r="AY125" s="870"/>
      <c r="AZ125" s="870"/>
      <c r="BA125" s="870"/>
      <c r="BC125" s="870"/>
      <c r="BE125" s="870"/>
      <c r="BF125" s="870"/>
      <c r="BG125" s="870"/>
    </row>
    <row r="126" spans="18:59" x14ac:dyDescent="0.25">
      <c r="R126" s="870"/>
      <c r="S126" s="870"/>
      <c r="W126" s="870"/>
      <c r="X126" s="870"/>
      <c r="AE126" s="870"/>
      <c r="AF126" s="870"/>
      <c r="AV126" s="870"/>
      <c r="AW126" s="870"/>
      <c r="AX126" s="870"/>
      <c r="AY126" s="870"/>
      <c r="AZ126" s="870"/>
      <c r="BA126" s="870"/>
      <c r="BC126" s="870"/>
      <c r="BE126" s="870"/>
      <c r="BF126" s="870"/>
      <c r="BG126" s="870"/>
    </row>
    <row r="127" spans="18:59" x14ac:dyDescent="0.25">
      <c r="R127" s="870"/>
      <c r="S127" s="870"/>
      <c r="W127" s="870"/>
      <c r="X127" s="870"/>
      <c r="AE127" s="870"/>
      <c r="AF127" s="870"/>
      <c r="AV127" s="870"/>
      <c r="AW127" s="870"/>
      <c r="AX127" s="870"/>
      <c r="AY127" s="870"/>
      <c r="AZ127" s="870"/>
      <c r="BA127" s="870"/>
      <c r="BC127" s="870"/>
      <c r="BE127" s="870"/>
      <c r="BF127" s="870"/>
      <c r="BG127" s="870"/>
    </row>
    <row r="128" spans="18:59" x14ac:dyDescent="0.25">
      <c r="R128" s="870"/>
      <c r="S128" s="870"/>
      <c r="W128" s="870"/>
      <c r="X128" s="870"/>
      <c r="AE128" s="870"/>
      <c r="AF128" s="870"/>
      <c r="AV128" s="870"/>
      <c r="AW128" s="870"/>
      <c r="AX128" s="870"/>
      <c r="AY128" s="870"/>
      <c r="AZ128" s="870"/>
      <c r="BA128" s="870"/>
      <c r="BC128" s="870"/>
      <c r="BE128" s="870"/>
      <c r="BF128" s="870"/>
      <c r="BG128" s="870"/>
    </row>
    <row r="129" spans="18:59" x14ac:dyDescent="0.25">
      <c r="R129" s="870"/>
      <c r="S129" s="870"/>
      <c r="W129" s="870"/>
      <c r="X129" s="870"/>
      <c r="AE129" s="870"/>
      <c r="AF129" s="870"/>
      <c r="AV129" s="870"/>
      <c r="AW129" s="870"/>
      <c r="AX129" s="870"/>
      <c r="AY129" s="870"/>
      <c r="AZ129" s="870"/>
      <c r="BA129" s="870"/>
      <c r="BC129" s="870"/>
      <c r="BE129" s="870"/>
      <c r="BF129" s="870"/>
      <c r="BG129" s="870"/>
    </row>
    <row r="130" spans="18:59" x14ac:dyDescent="0.25">
      <c r="R130" s="870"/>
      <c r="S130" s="870"/>
      <c r="W130" s="870"/>
      <c r="X130" s="870"/>
      <c r="AE130" s="870"/>
      <c r="AF130" s="870"/>
      <c r="AV130" s="870"/>
      <c r="AW130" s="870"/>
      <c r="AX130" s="870"/>
      <c r="AY130" s="870"/>
      <c r="AZ130" s="870"/>
      <c r="BA130" s="870"/>
      <c r="BC130" s="870"/>
      <c r="BE130" s="870"/>
      <c r="BF130" s="870"/>
      <c r="BG130" s="870"/>
    </row>
    <row r="131" spans="18:59" x14ac:dyDescent="0.25">
      <c r="R131" s="870"/>
      <c r="S131" s="870"/>
      <c r="W131" s="870"/>
      <c r="X131" s="870"/>
      <c r="AE131" s="870"/>
      <c r="AF131" s="870"/>
      <c r="AV131" s="870"/>
      <c r="AW131" s="870"/>
      <c r="AX131" s="870"/>
      <c r="AY131" s="870"/>
      <c r="AZ131" s="870"/>
      <c r="BA131" s="870"/>
      <c r="BC131" s="870"/>
      <c r="BE131" s="870"/>
      <c r="BF131" s="870"/>
      <c r="BG131" s="870"/>
    </row>
    <row r="132" spans="18:59" x14ac:dyDescent="0.25">
      <c r="R132" s="870"/>
      <c r="S132" s="870"/>
      <c r="W132" s="870"/>
      <c r="X132" s="870"/>
      <c r="AE132" s="870"/>
      <c r="AF132" s="870"/>
      <c r="AV132" s="870"/>
      <c r="AW132" s="870"/>
      <c r="AX132" s="870"/>
      <c r="AY132" s="870"/>
      <c r="AZ132" s="870"/>
      <c r="BA132" s="870"/>
      <c r="BC132" s="870"/>
      <c r="BE132" s="870"/>
      <c r="BF132" s="870"/>
      <c r="BG132" s="870"/>
    </row>
    <row r="133" spans="18:59" x14ac:dyDescent="0.25">
      <c r="R133" s="870"/>
      <c r="S133" s="870"/>
      <c r="W133" s="870"/>
      <c r="X133" s="870"/>
      <c r="AE133" s="870"/>
      <c r="AF133" s="870"/>
      <c r="AV133" s="870"/>
      <c r="AW133" s="870"/>
      <c r="AX133" s="870"/>
      <c r="AY133" s="870"/>
      <c r="AZ133" s="870"/>
      <c r="BA133" s="870"/>
      <c r="BC133" s="870"/>
      <c r="BE133" s="870"/>
      <c r="BF133" s="870"/>
      <c r="BG133" s="870"/>
    </row>
    <row r="134" spans="18:59" x14ac:dyDescent="0.25">
      <c r="R134" s="870"/>
      <c r="S134" s="870"/>
      <c r="W134" s="870"/>
      <c r="X134" s="870"/>
      <c r="AE134" s="870"/>
      <c r="AF134" s="870"/>
      <c r="AV134" s="870"/>
      <c r="AW134" s="870"/>
      <c r="AX134" s="870"/>
      <c r="AY134" s="870"/>
      <c r="AZ134" s="870"/>
      <c r="BA134" s="870"/>
      <c r="BC134" s="870"/>
      <c r="BE134" s="870"/>
      <c r="BF134" s="870"/>
      <c r="BG134" s="870"/>
    </row>
    <row r="135" spans="18:59" x14ac:dyDescent="0.25">
      <c r="R135" s="870"/>
      <c r="S135" s="870"/>
      <c r="W135" s="870"/>
      <c r="X135" s="870"/>
      <c r="AE135" s="870"/>
      <c r="AF135" s="870"/>
      <c r="AV135" s="870"/>
      <c r="AW135" s="870"/>
      <c r="AX135" s="870"/>
      <c r="AY135" s="870"/>
      <c r="AZ135" s="870"/>
      <c r="BA135" s="870"/>
      <c r="BC135" s="870"/>
      <c r="BE135" s="870"/>
      <c r="BF135" s="870"/>
      <c r="BG135" s="870"/>
    </row>
    <row r="136" spans="18:59" x14ac:dyDescent="0.25">
      <c r="R136" s="870"/>
      <c r="S136" s="870"/>
      <c r="W136" s="870"/>
      <c r="X136" s="870"/>
      <c r="AE136" s="870"/>
      <c r="AF136" s="870"/>
      <c r="AV136" s="870"/>
      <c r="AW136" s="870"/>
      <c r="AX136" s="870"/>
      <c r="AY136" s="870"/>
      <c r="AZ136" s="870"/>
      <c r="BA136" s="870"/>
      <c r="BC136" s="870"/>
      <c r="BE136" s="870"/>
      <c r="BF136" s="870"/>
      <c r="BG136" s="870"/>
    </row>
    <row r="137" spans="18:59" x14ac:dyDescent="0.25">
      <c r="R137" s="870"/>
      <c r="S137" s="870"/>
      <c r="W137" s="870"/>
      <c r="X137" s="870"/>
      <c r="AE137" s="870"/>
      <c r="AF137" s="870"/>
      <c r="AV137" s="870"/>
      <c r="AW137" s="870"/>
      <c r="AX137" s="870"/>
      <c r="AY137" s="870"/>
      <c r="AZ137" s="870"/>
      <c r="BA137" s="870"/>
      <c r="BC137" s="870"/>
      <c r="BE137" s="870"/>
      <c r="BF137" s="870"/>
      <c r="BG137" s="870"/>
    </row>
    <row r="138" spans="18:59" x14ac:dyDescent="0.25">
      <c r="R138" s="870"/>
      <c r="S138" s="870"/>
      <c r="W138" s="870"/>
      <c r="X138" s="870"/>
      <c r="AE138" s="870"/>
      <c r="AF138" s="870"/>
      <c r="AV138" s="870"/>
      <c r="AW138" s="870"/>
      <c r="AX138" s="870"/>
      <c r="AY138" s="870"/>
      <c r="AZ138" s="870"/>
      <c r="BA138" s="870"/>
      <c r="BC138" s="870"/>
      <c r="BE138" s="870"/>
      <c r="BF138" s="870"/>
      <c r="BG138" s="870"/>
    </row>
    <row r="139" spans="18:59" x14ac:dyDescent="0.25">
      <c r="R139" s="870"/>
      <c r="S139" s="870"/>
      <c r="W139" s="870"/>
      <c r="X139" s="870"/>
      <c r="AE139" s="870"/>
      <c r="AF139" s="870"/>
      <c r="AV139" s="870"/>
      <c r="AW139" s="870"/>
      <c r="AX139" s="870"/>
      <c r="AY139" s="870"/>
      <c r="AZ139" s="870"/>
      <c r="BA139" s="870"/>
      <c r="BC139" s="870"/>
      <c r="BE139" s="870"/>
      <c r="BF139" s="870"/>
      <c r="BG139" s="870"/>
    </row>
    <row r="140" spans="18:59" x14ac:dyDescent="0.25">
      <c r="R140" s="870"/>
      <c r="S140" s="870"/>
      <c r="W140" s="870"/>
      <c r="X140" s="870"/>
      <c r="AE140" s="870"/>
      <c r="AF140" s="870"/>
      <c r="AV140" s="870"/>
      <c r="AW140" s="870"/>
      <c r="AX140" s="870"/>
      <c r="AY140" s="870"/>
      <c r="AZ140" s="870"/>
      <c r="BA140" s="870"/>
      <c r="BC140" s="870"/>
      <c r="BE140" s="870"/>
      <c r="BF140" s="870"/>
      <c r="BG140" s="870"/>
    </row>
    <row r="141" spans="18:59" x14ac:dyDescent="0.25">
      <c r="R141" s="870"/>
      <c r="S141" s="870"/>
      <c r="W141" s="870"/>
      <c r="X141" s="870"/>
      <c r="AE141" s="870"/>
      <c r="AF141" s="870"/>
      <c r="AV141" s="870"/>
      <c r="AW141" s="870"/>
      <c r="AX141" s="870"/>
      <c r="AY141" s="870"/>
      <c r="AZ141" s="870"/>
      <c r="BA141" s="870"/>
      <c r="BC141" s="870"/>
      <c r="BE141" s="870"/>
      <c r="BF141" s="870"/>
      <c r="BG141" s="870"/>
    </row>
    <row r="142" spans="18:59" x14ac:dyDescent="0.25">
      <c r="R142" s="870"/>
      <c r="S142" s="870"/>
      <c r="W142" s="870"/>
      <c r="X142" s="870"/>
      <c r="AE142" s="870"/>
      <c r="AF142" s="870"/>
      <c r="AV142" s="870"/>
      <c r="AW142" s="870"/>
      <c r="AX142" s="870"/>
      <c r="AY142" s="870"/>
      <c r="AZ142" s="870"/>
      <c r="BA142" s="870"/>
      <c r="BC142" s="870"/>
      <c r="BE142" s="870"/>
      <c r="BF142" s="870"/>
      <c r="BG142" s="870"/>
    </row>
    <row r="143" spans="18:59" x14ac:dyDescent="0.25">
      <c r="R143" s="870"/>
      <c r="S143" s="870"/>
      <c r="W143" s="870"/>
      <c r="X143" s="870"/>
      <c r="AE143" s="870"/>
      <c r="AF143" s="870"/>
      <c r="AV143" s="870"/>
      <c r="AW143" s="870"/>
      <c r="AX143" s="870"/>
      <c r="AY143" s="870"/>
      <c r="AZ143" s="870"/>
      <c r="BA143" s="870"/>
      <c r="BC143" s="870"/>
      <c r="BE143" s="870"/>
      <c r="BF143" s="870"/>
      <c r="BG143" s="870"/>
    </row>
    <row r="144" spans="18:59" x14ac:dyDescent="0.25">
      <c r="R144" s="870"/>
      <c r="S144" s="870"/>
      <c r="W144" s="870"/>
      <c r="X144" s="870"/>
      <c r="AE144" s="870"/>
      <c r="AF144" s="870"/>
      <c r="AV144" s="870"/>
      <c r="AW144" s="870"/>
      <c r="AX144" s="870"/>
      <c r="AY144" s="870"/>
      <c r="AZ144" s="870"/>
      <c r="BA144" s="870"/>
      <c r="BC144" s="870"/>
      <c r="BE144" s="870"/>
      <c r="BF144" s="870"/>
      <c r="BG144" s="870"/>
    </row>
    <row r="145" spans="18:59" x14ac:dyDescent="0.25">
      <c r="R145" s="870"/>
      <c r="S145" s="870"/>
      <c r="W145" s="870"/>
      <c r="X145" s="870"/>
      <c r="AE145" s="870"/>
      <c r="AF145" s="870"/>
      <c r="AV145" s="870"/>
      <c r="AW145" s="870"/>
      <c r="AX145" s="870"/>
      <c r="AY145" s="870"/>
      <c r="AZ145" s="870"/>
      <c r="BA145" s="870"/>
      <c r="BC145" s="870"/>
      <c r="BE145" s="870"/>
      <c r="BF145" s="870"/>
      <c r="BG145" s="870"/>
    </row>
    <row r="146" spans="18:59" x14ac:dyDescent="0.25">
      <c r="R146" s="870"/>
      <c r="S146" s="870"/>
      <c r="W146" s="870"/>
      <c r="X146" s="870"/>
      <c r="AE146" s="870"/>
      <c r="AF146" s="870"/>
      <c r="AV146" s="870"/>
      <c r="AW146" s="870"/>
      <c r="AX146" s="870"/>
      <c r="AY146" s="870"/>
      <c r="AZ146" s="870"/>
      <c r="BA146" s="870"/>
      <c r="BC146" s="870"/>
      <c r="BE146" s="870"/>
      <c r="BF146" s="870"/>
      <c r="BG146" s="870"/>
    </row>
    <row r="147" spans="18:59" x14ac:dyDescent="0.25">
      <c r="R147" s="870"/>
      <c r="S147" s="870"/>
      <c r="W147" s="870"/>
      <c r="X147" s="870"/>
      <c r="AE147" s="870"/>
      <c r="AF147" s="870"/>
      <c r="AV147" s="870"/>
      <c r="AW147" s="870"/>
      <c r="AX147" s="870"/>
      <c r="AY147" s="870"/>
      <c r="AZ147" s="870"/>
      <c r="BA147" s="870"/>
      <c r="BC147" s="870"/>
      <c r="BE147" s="870"/>
      <c r="BF147" s="870"/>
      <c r="BG147" s="870"/>
    </row>
    <row r="148" spans="18:59" x14ac:dyDescent="0.25">
      <c r="R148" s="870"/>
      <c r="S148" s="870"/>
      <c r="W148" s="870"/>
      <c r="X148" s="870"/>
      <c r="AE148" s="870"/>
      <c r="AF148" s="870"/>
      <c r="AV148" s="870"/>
      <c r="AW148" s="870"/>
      <c r="AX148" s="870"/>
      <c r="AY148" s="870"/>
      <c r="AZ148" s="870"/>
      <c r="BA148" s="870"/>
      <c r="BC148" s="870"/>
      <c r="BE148" s="870"/>
      <c r="BF148" s="870"/>
      <c r="BG148" s="870"/>
    </row>
    <row r="149" spans="18:59" x14ac:dyDescent="0.25">
      <c r="R149" s="870"/>
      <c r="S149" s="870"/>
      <c r="W149" s="870"/>
      <c r="X149" s="870"/>
      <c r="AE149" s="870"/>
      <c r="AF149" s="870"/>
      <c r="AV149" s="870"/>
      <c r="AW149" s="870"/>
      <c r="AX149" s="870"/>
      <c r="AY149" s="870"/>
      <c r="AZ149" s="870"/>
      <c r="BA149" s="870"/>
      <c r="BC149" s="870"/>
      <c r="BE149" s="870"/>
      <c r="BF149" s="870"/>
      <c r="BG149" s="870"/>
    </row>
    <row r="150" spans="18:59" x14ac:dyDescent="0.25">
      <c r="R150" s="870"/>
      <c r="S150" s="870"/>
      <c r="W150" s="870"/>
      <c r="X150" s="870"/>
      <c r="AE150" s="870"/>
      <c r="AF150" s="870"/>
      <c r="AV150" s="870"/>
      <c r="AW150" s="870"/>
      <c r="AX150" s="870"/>
      <c r="AY150" s="870"/>
      <c r="AZ150" s="870"/>
      <c r="BA150" s="870"/>
      <c r="BC150" s="870"/>
      <c r="BE150" s="870"/>
      <c r="BF150" s="870"/>
      <c r="BG150" s="870"/>
    </row>
    <row r="151" spans="18:59" x14ac:dyDescent="0.25">
      <c r="R151" s="870"/>
      <c r="S151" s="870"/>
      <c r="W151" s="870"/>
      <c r="X151" s="870"/>
      <c r="AE151" s="870"/>
      <c r="AF151" s="870"/>
      <c r="AV151" s="870"/>
      <c r="AW151" s="870"/>
      <c r="AX151" s="870"/>
      <c r="AY151" s="870"/>
      <c r="AZ151" s="870"/>
      <c r="BA151" s="870"/>
      <c r="BC151" s="870"/>
      <c r="BE151" s="870"/>
      <c r="BF151" s="870"/>
      <c r="BG151" s="870"/>
    </row>
    <row r="152" spans="18:59" x14ac:dyDescent="0.25">
      <c r="R152" s="870"/>
      <c r="S152" s="870"/>
      <c r="W152" s="870"/>
      <c r="X152" s="870"/>
      <c r="AE152" s="870"/>
      <c r="AF152" s="870"/>
      <c r="AV152" s="870"/>
      <c r="AW152" s="870"/>
      <c r="AX152" s="870"/>
      <c r="AY152" s="870"/>
      <c r="AZ152" s="870"/>
      <c r="BA152" s="870"/>
      <c r="BC152" s="870"/>
      <c r="BE152" s="870"/>
      <c r="BF152" s="870"/>
      <c r="BG152" s="870"/>
    </row>
    <row r="153" spans="18:59" x14ac:dyDescent="0.25">
      <c r="R153" s="870"/>
      <c r="S153" s="870"/>
      <c r="W153" s="870"/>
      <c r="X153" s="870"/>
      <c r="AE153" s="870"/>
      <c r="AF153" s="870"/>
      <c r="AV153" s="870"/>
      <c r="AW153" s="870"/>
      <c r="AX153" s="870"/>
      <c r="AY153" s="870"/>
      <c r="AZ153" s="870"/>
      <c r="BA153" s="870"/>
      <c r="BC153" s="870"/>
      <c r="BE153" s="870"/>
      <c r="BF153" s="870"/>
      <c r="BG153" s="870"/>
    </row>
    <row r="154" spans="18:59" x14ac:dyDescent="0.25">
      <c r="R154" s="870"/>
      <c r="S154" s="870"/>
      <c r="W154" s="870"/>
      <c r="X154" s="870"/>
      <c r="AE154" s="870"/>
      <c r="AF154" s="870"/>
      <c r="AV154" s="870"/>
      <c r="AW154" s="870"/>
      <c r="AX154" s="870"/>
      <c r="AY154" s="870"/>
      <c r="AZ154" s="870"/>
      <c r="BA154" s="870"/>
      <c r="BC154" s="870"/>
      <c r="BE154" s="870"/>
      <c r="BF154" s="870"/>
      <c r="BG154" s="870"/>
    </row>
    <row r="155" spans="18:59" x14ac:dyDescent="0.25">
      <c r="R155" s="870"/>
      <c r="S155" s="870"/>
      <c r="W155" s="870"/>
      <c r="X155" s="870"/>
      <c r="AE155" s="870"/>
      <c r="AF155" s="870"/>
      <c r="AV155" s="870"/>
      <c r="AW155" s="870"/>
      <c r="AX155" s="870"/>
      <c r="AY155" s="870"/>
      <c r="AZ155" s="870"/>
      <c r="BA155" s="870"/>
      <c r="BC155" s="870"/>
      <c r="BE155" s="870"/>
      <c r="BF155" s="870"/>
      <c r="BG155" s="870"/>
    </row>
    <row r="156" spans="18:59" x14ac:dyDescent="0.25">
      <c r="R156" s="870"/>
      <c r="S156" s="870"/>
      <c r="W156" s="870"/>
      <c r="X156" s="870"/>
      <c r="AE156" s="870"/>
      <c r="AF156" s="870"/>
      <c r="AV156" s="870"/>
      <c r="AW156" s="870"/>
      <c r="AX156" s="870"/>
      <c r="AY156" s="870"/>
      <c r="AZ156" s="870"/>
      <c r="BA156" s="870"/>
      <c r="BC156" s="870"/>
      <c r="BE156" s="870"/>
      <c r="BF156" s="870"/>
      <c r="BG156" s="870"/>
    </row>
    <row r="157" spans="18:59" x14ac:dyDescent="0.25">
      <c r="R157" s="870"/>
      <c r="S157" s="870"/>
      <c r="W157" s="870"/>
      <c r="X157" s="870"/>
      <c r="AE157" s="870"/>
      <c r="AF157" s="870"/>
      <c r="AV157" s="870"/>
      <c r="AW157" s="870"/>
      <c r="AX157" s="870"/>
      <c r="AY157" s="870"/>
      <c r="AZ157" s="870"/>
      <c r="BA157" s="870"/>
      <c r="BC157" s="870"/>
      <c r="BE157" s="870"/>
      <c r="BF157" s="870"/>
      <c r="BG157" s="870"/>
    </row>
    <row r="158" spans="18:59" x14ac:dyDescent="0.25">
      <c r="R158" s="870"/>
      <c r="S158" s="870"/>
      <c r="W158" s="870"/>
      <c r="X158" s="870"/>
      <c r="AE158" s="870"/>
      <c r="AF158" s="870"/>
      <c r="AV158" s="870"/>
      <c r="AW158" s="870"/>
      <c r="AX158" s="870"/>
      <c r="AY158" s="870"/>
      <c r="AZ158" s="870"/>
      <c r="BA158" s="870"/>
      <c r="BC158" s="870"/>
      <c r="BE158" s="870"/>
      <c r="BF158" s="870"/>
      <c r="BG158" s="870"/>
    </row>
    <row r="159" spans="18:59" x14ac:dyDescent="0.25">
      <c r="R159" s="870"/>
      <c r="S159" s="870"/>
      <c r="W159" s="870"/>
      <c r="X159" s="870"/>
      <c r="AE159" s="870"/>
      <c r="AF159" s="870"/>
      <c r="AV159" s="870"/>
      <c r="AW159" s="870"/>
      <c r="AX159" s="870"/>
      <c r="AY159" s="870"/>
      <c r="AZ159" s="870"/>
      <c r="BA159" s="870"/>
      <c r="BC159" s="870"/>
      <c r="BE159" s="870"/>
      <c r="BF159" s="870"/>
      <c r="BG159" s="870"/>
    </row>
    <row r="160" spans="18:59" x14ac:dyDescent="0.25">
      <c r="R160" s="870"/>
      <c r="S160" s="870"/>
      <c r="W160" s="870"/>
      <c r="X160" s="870"/>
      <c r="AE160" s="870"/>
      <c r="AF160" s="870"/>
      <c r="AV160" s="870"/>
      <c r="AW160" s="870"/>
      <c r="AX160" s="870"/>
      <c r="AY160" s="870"/>
      <c r="AZ160" s="870"/>
      <c r="BA160" s="870"/>
      <c r="BC160" s="870"/>
      <c r="BE160" s="870"/>
      <c r="BF160" s="870"/>
      <c r="BG160" s="870"/>
    </row>
    <row r="161" spans="18:59" x14ac:dyDescent="0.25">
      <c r="R161" s="870"/>
      <c r="S161" s="870"/>
      <c r="W161" s="870"/>
      <c r="X161" s="870"/>
      <c r="AE161" s="870"/>
      <c r="AF161" s="870"/>
      <c r="AV161" s="870"/>
      <c r="AW161" s="870"/>
      <c r="AX161" s="870"/>
      <c r="AY161" s="870"/>
      <c r="AZ161" s="870"/>
      <c r="BA161" s="870"/>
      <c r="BC161" s="870"/>
      <c r="BE161" s="870"/>
      <c r="BF161" s="870"/>
      <c r="BG161" s="870"/>
    </row>
    <row r="162" spans="18:59" x14ac:dyDescent="0.25">
      <c r="R162" s="870"/>
      <c r="S162" s="870"/>
      <c r="W162" s="870"/>
      <c r="X162" s="870"/>
      <c r="AE162" s="870"/>
      <c r="AF162" s="870"/>
      <c r="AV162" s="870"/>
      <c r="AW162" s="870"/>
      <c r="AX162" s="870"/>
      <c r="AY162" s="870"/>
      <c r="AZ162" s="870"/>
      <c r="BA162" s="870"/>
      <c r="BC162" s="870"/>
      <c r="BE162" s="870"/>
      <c r="BF162" s="870"/>
      <c r="BG162" s="870"/>
    </row>
    <row r="163" spans="18:59" x14ac:dyDescent="0.25">
      <c r="R163" s="870"/>
      <c r="S163" s="870"/>
      <c r="W163" s="870"/>
      <c r="X163" s="870"/>
      <c r="AE163" s="870"/>
      <c r="AF163" s="870"/>
      <c r="AV163" s="870"/>
      <c r="AW163" s="870"/>
      <c r="AX163" s="870"/>
      <c r="AY163" s="870"/>
      <c r="AZ163" s="870"/>
      <c r="BA163" s="870"/>
      <c r="BC163" s="870"/>
      <c r="BE163" s="870"/>
      <c r="BF163" s="870"/>
      <c r="BG163" s="870"/>
    </row>
    <row r="164" spans="18:59" x14ac:dyDescent="0.25">
      <c r="R164" s="870"/>
      <c r="S164" s="870"/>
      <c r="W164" s="870"/>
      <c r="X164" s="870"/>
      <c r="AE164" s="870"/>
      <c r="AF164" s="870"/>
      <c r="AV164" s="870"/>
      <c r="AW164" s="870"/>
      <c r="AX164" s="870"/>
      <c r="AY164" s="870"/>
      <c r="AZ164" s="870"/>
      <c r="BA164" s="870"/>
      <c r="BC164" s="870"/>
      <c r="BE164" s="870"/>
      <c r="BF164" s="870"/>
      <c r="BG164" s="870"/>
    </row>
    <row r="165" spans="18:59" x14ac:dyDescent="0.25">
      <c r="R165" s="870"/>
      <c r="S165" s="870"/>
      <c r="W165" s="870"/>
      <c r="X165" s="870"/>
      <c r="AE165" s="870"/>
      <c r="AF165" s="870"/>
      <c r="AV165" s="870"/>
      <c r="AW165" s="870"/>
      <c r="AX165" s="870"/>
      <c r="AY165" s="870"/>
      <c r="AZ165" s="870"/>
      <c r="BA165" s="870"/>
      <c r="BC165" s="870"/>
      <c r="BE165" s="870"/>
      <c r="BF165" s="870"/>
      <c r="BG165" s="870"/>
    </row>
    <row r="166" spans="18:59" x14ac:dyDescent="0.25">
      <c r="R166" s="870"/>
      <c r="S166" s="870"/>
      <c r="W166" s="870"/>
      <c r="X166" s="870"/>
      <c r="AE166" s="870"/>
      <c r="AF166" s="870"/>
      <c r="AV166" s="870"/>
      <c r="AW166" s="870"/>
      <c r="AX166" s="870"/>
      <c r="AY166" s="870"/>
      <c r="AZ166" s="870"/>
      <c r="BA166" s="870"/>
      <c r="BC166" s="870"/>
      <c r="BE166" s="870"/>
      <c r="BF166" s="870"/>
      <c r="BG166" s="870"/>
    </row>
    <row r="167" spans="18:59" x14ac:dyDescent="0.25">
      <c r="R167" s="870"/>
      <c r="S167" s="870"/>
      <c r="W167" s="870"/>
      <c r="X167" s="870"/>
      <c r="AE167" s="870"/>
      <c r="AF167" s="870"/>
      <c r="AV167" s="870"/>
      <c r="AW167" s="870"/>
      <c r="AX167" s="870"/>
      <c r="AY167" s="870"/>
      <c r="AZ167" s="870"/>
      <c r="BA167" s="870"/>
      <c r="BC167" s="870"/>
      <c r="BE167" s="870"/>
      <c r="BF167" s="870"/>
      <c r="BG167" s="870"/>
    </row>
    <row r="168" spans="18:59" x14ac:dyDescent="0.25">
      <c r="R168" s="870"/>
      <c r="S168" s="870"/>
      <c r="W168" s="870"/>
      <c r="X168" s="870"/>
      <c r="AE168" s="870"/>
      <c r="AF168" s="870"/>
      <c r="AV168" s="870"/>
      <c r="AW168" s="870"/>
      <c r="AX168" s="870"/>
      <c r="AY168" s="870"/>
      <c r="AZ168" s="870"/>
      <c r="BA168" s="870"/>
      <c r="BC168" s="870"/>
      <c r="BE168" s="870"/>
      <c r="BF168" s="870"/>
      <c r="BG168" s="870"/>
    </row>
    <row r="169" spans="18:59" x14ac:dyDescent="0.25">
      <c r="R169" s="870"/>
      <c r="S169" s="870"/>
      <c r="W169" s="870"/>
      <c r="X169" s="870"/>
      <c r="AE169" s="870"/>
      <c r="AF169" s="870"/>
      <c r="AV169" s="870"/>
      <c r="AW169" s="870"/>
      <c r="AX169" s="870"/>
      <c r="AY169" s="870"/>
      <c r="AZ169" s="870"/>
      <c r="BA169" s="870"/>
      <c r="BC169" s="870"/>
      <c r="BE169" s="870"/>
      <c r="BF169" s="870"/>
      <c r="BG169" s="870"/>
    </row>
    <row r="170" spans="18:59" x14ac:dyDescent="0.25">
      <c r="R170" s="870"/>
      <c r="S170" s="870"/>
      <c r="W170" s="870"/>
      <c r="X170" s="870"/>
      <c r="AE170" s="870"/>
      <c r="AF170" s="870"/>
      <c r="AV170" s="870"/>
      <c r="AW170" s="870"/>
      <c r="AX170" s="870"/>
      <c r="AY170" s="870"/>
      <c r="AZ170" s="870"/>
      <c r="BA170" s="870"/>
      <c r="BC170" s="870"/>
      <c r="BE170" s="870"/>
      <c r="BF170" s="870"/>
      <c r="BG170" s="870"/>
    </row>
    <row r="171" spans="18:59" x14ac:dyDescent="0.25">
      <c r="R171" s="870"/>
      <c r="S171" s="870"/>
      <c r="W171" s="870"/>
      <c r="X171" s="870"/>
      <c r="AE171" s="870"/>
      <c r="AF171" s="870"/>
      <c r="AV171" s="870"/>
      <c r="AW171" s="870"/>
      <c r="AX171" s="870"/>
      <c r="AY171" s="870"/>
      <c r="AZ171" s="870"/>
      <c r="BA171" s="870"/>
      <c r="BC171" s="870"/>
      <c r="BE171" s="870"/>
      <c r="BF171" s="870"/>
      <c r="BG171" s="870"/>
    </row>
    <row r="172" spans="18:59" x14ac:dyDescent="0.25">
      <c r="R172" s="870"/>
      <c r="S172" s="870"/>
      <c r="W172" s="870"/>
      <c r="X172" s="870"/>
      <c r="AE172" s="870"/>
      <c r="AF172" s="870"/>
      <c r="AV172" s="870"/>
      <c r="AW172" s="870"/>
      <c r="AX172" s="870"/>
      <c r="AY172" s="870"/>
      <c r="AZ172" s="870"/>
      <c r="BA172" s="870"/>
      <c r="BC172" s="870"/>
      <c r="BE172" s="870"/>
      <c r="BF172" s="870"/>
      <c r="BG172" s="870"/>
    </row>
    <row r="173" spans="18:59" x14ac:dyDescent="0.25">
      <c r="R173" s="870"/>
      <c r="S173" s="870"/>
      <c r="W173" s="870"/>
      <c r="X173" s="870"/>
      <c r="AE173" s="870"/>
      <c r="AF173" s="870"/>
      <c r="AV173" s="870"/>
      <c r="AW173" s="870"/>
      <c r="AX173" s="870"/>
      <c r="AY173" s="870"/>
      <c r="AZ173" s="870"/>
      <c r="BA173" s="870"/>
      <c r="BC173" s="870"/>
      <c r="BE173" s="870"/>
      <c r="BF173" s="870"/>
      <c r="BG173" s="870"/>
    </row>
    <row r="174" spans="18:59" x14ac:dyDescent="0.25">
      <c r="R174" s="870"/>
      <c r="S174" s="870"/>
      <c r="W174" s="870"/>
      <c r="X174" s="870"/>
      <c r="AE174" s="870"/>
      <c r="AF174" s="870"/>
      <c r="AV174" s="870"/>
      <c r="AW174" s="870"/>
      <c r="AX174" s="870"/>
      <c r="AY174" s="870"/>
      <c r="AZ174" s="870"/>
      <c r="BA174" s="870"/>
      <c r="BC174" s="870"/>
      <c r="BE174" s="870"/>
      <c r="BF174" s="870"/>
      <c r="BG174" s="870"/>
    </row>
    <row r="175" spans="18:59" x14ac:dyDescent="0.25">
      <c r="R175" s="870"/>
      <c r="S175" s="870"/>
      <c r="W175" s="870"/>
      <c r="X175" s="870"/>
      <c r="AE175" s="870"/>
      <c r="AF175" s="870"/>
      <c r="AV175" s="870"/>
      <c r="AW175" s="870"/>
      <c r="AX175" s="870"/>
      <c r="AY175" s="870"/>
      <c r="AZ175" s="870"/>
      <c r="BA175" s="870"/>
      <c r="BC175" s="870"/>
      <c r="BE175" s="870"/>
      <c r="BF175" s="870"/>
      <c r="BG175" s="870"/>
    </row>
    <row r="176" spans="18:59" x14ac:dyDescent="0.25">
      <c r="R176" s="870"/>
      <c r="S176" s="870"/>
      <c r="W176" s="870"/>
      <c r="X176" s="870"/>
      <c r="AE176" s="870"/>
      <c r="AF176" s="870"/>
      <c r="AV176" s="870"/>
      <c r="AW176" s="870"/>
      <c r="AX176" s="870"/>
      <c r="AY176" s="870"/>
      <c r="AZ176" s="870"/>
      <c r="BA176" s="870"/>
      <c r="BC176" s="870"/>
      <c r="BE176" s="870"/>
      <c r="BF176" s="870"/>
      <c r="BG176" s="870"/>
    </row>
    <row r="177" spans="18:59" x14ac:dyDescent="0.25">
      <c r="R177" s="870"/>
      <c r="S177" s="870"/>
      <c r="W177" s="870"/>
      <c r="X177" s="870"/>
      <c r="AE177" s="870"/>
      <c r="AF177" s="870"/>
      <c r="AV177" s="870"/>
      <c r="AW177" s="870"/>
      <c r="AX177" s="870"/>
      <c r="AY177" s="870"/>
      <c r="AZ177" s="870"/>
      <c r="BA177" s="870"/>
      <c r="BC177" s="870"/>
      <c r="BE177" s="870"/>
      <c r="BF177" s="870"/>
      <c r="BG177" s="870"/>
    </row>
    <row r="178" spans="18:59" x14ac:dyDescent="0.25">
      <c r="R178" s="870"/>
      <c r="S178" s="870"/>
      <c r="W178" s="870"/>
      <c r="X178" s="870"/>
      <c r="AE178" s="870"/>
      <c r="AF178" s="870"/>
      <c r="AV178" s="870"/>
      <c r="AW178" s="870"/>
      <c r="AX178" s="870"/>
      <c r="AY178" s="870"/>
      <c r="AZ178" s="870"/>
      <c r="BA178" s="870"/>
      <c r="BC178" s="870"/>
      <c r="BE178" s="870"/>
      <c r="BF178" s="870"/>
      <c r="BG178" s="870"/>
    </row>
    <row r="179" spans="18:59" x14ac:dyDescent="0.25">
      <c r="R179" s="870"/>
      <c r="S179" s="870"/>
      <c r="W179" s="870"/>
      <c r="X179" s="870"/>
      <c r="AE179" s="870"/>
      <c r="AF179" s="870"/>
      <c r="AV179" s="870"/>
      <c r="AW179" s="870"/>
      <c r="AX179" s="870"/>
      <c r="AY179" s="870"/>
      <c r="AZ179" s="870"/>
      <c r="BA179" s="870"/>
      <c r="BC179" s="870"/>
      <c r="BE179" s="870"/>
      <c r="BF179" s="870"/>
      <c r="BG179" s="870"/>
    </row>
    <row r="180" spans="18:59" x14ac:dyDescent="0.25">
      <c r="R180" s="870"/>
      <c r="S180" s="870"/>
      <c r="W180" s="870"/>
      <c r="X180" s="870"/>
      <c r="AE180" s="870"/>
      <c r="AF180" s="870"/>
      <c r="AV180" s="870"/>
      <c r="AW180" s="870"/>
      <c r="AX180" s="870"/>
      <c r="AY180" s="870"/>
      <c r="AZ180" s="870"/>
      <c r="BA180" s="870"/>
      <c r="BC180" s="870"/>
      <c r="BE180" s="870"/>
      <c r="BF180" s="870"/>
      <c r="BG180" s="870"/>
    </row>
    <row r="181" spans="18:59" x14ac:dyDescent="0.25">
      <c r="R181" s="870"/>
      <c r="S181" s="870"/>
      <c r="W181" s="870"/>
      <c r="X181" s="870"/>
      <c r="AE181" s="870"/>
      <c r="AF181" s="870"/>
      <c r="AV181" s="870"/>
      <c r="AW181" s="870"/>
      <c r="AX181" s="870"/>
      <c r="AY181" s="870"/>
      <c r="AZ181" s="870"/>
      <c r="BA181" s="870"/>
      <c r="BC181" s="870"/>
      <c r="BE181" s="870"/>
      <c r="BF181" s="870"/>
      <c r="BG181" s="870"/>
    </row>
    <row r="182" spans="18:59" x14ac:dyDescent="0.25">
      <c r="R182" s="870"/>
      <c r="S182" s="870"/>
      <c r="W182" s="870"/>
      <c r="X182" s="870"/>
      <c r="AE182" s="870"/>
      <c r="AF182" s="870"/>
      <c r="AV182" s="870"/>
      <c r="AW182" s="870"/>
      <c r="AX182" s="870"/>
      <c r="AY182" s="870"/>
      <c r="AZ182" s="870"/>
      <c r="BA182" s="870"/>
      <c r="BC182" s="870"/>
      <c r="BE182" s="870"/>
      <c r="BF182" s="870"/>
      <c r="BG182" s="870"/>
    </row>
    <row r="183" spans="18:59" x14ac:dyDescent="0.25">
      <c r="R183" s="870"/>
      <c r="S183" s="870"/>
      <c r="W183" s="870"/>
      <c r="X183" s="870"/>
      <c r="AE183" s="870"/>
      <c r="AF183" s="870"/>
      <c r="AV183" s="870"/>
      <c r="AW183" s="870"/>
      <c r="AX183" s="870"/>
      <c r="AY183" s="870"/>
      <c r="AZ183" s="870"/>
      <c r="BA183" s="870"/>
      <c r="BC183" s="870"/>
      <c r="BE183" s="870"/>
      <c r="BF183" s="870"/>
      <c r="BG183" s="870"/>
    </row>
    <row r="184" spans="18:59" x14ac:dyDescent="0.25">
      <c r="R184" s="870"/>
      <c r="S184" s="870"/>
      <c r="W184" s="870"/>
      <c r="X184" s="870"/>
      <c r="AE184" s="870"/>
      <c r="AF184" s="870"/>
      <c r="AV184" s="870"/>
      <c r="AW184" s="870"/>
      <c r="AX184" s="870"/>
      <c r="AY184" s="870"/>
      <c r="AZ184" s="870"/>
      <c r="BA184" s="870"/>
      <c r="BC184" s="870"/>
      <c r="BE184" s="870"/>
      <c r="BF184" s="870"/>
      <c r="BG184" s="870"/>
    </row>
    <row r="185" spans="18:59" x14ac:dyDescent="0.25">
      <c r="R185" s="870"/>
      <c r="S185" s="870"/>
      <c r="W185" s="870"/>
      <c r="X185" s="870"/>
      <c r="AE185" s="870"/>
      <c r="AF185" s="870"/>
      <c r="AV185" s="870"/>
      <c r="AW185" s="870"/>
      <c r="AX185" s="870"/>
      <c r="AY185" s="870"/>
      <c r="AZ185" s="870"/>
      <c r="BA185" s="870"/>
      <c r="BC185" s="870"/>
      <c r="BE185" s="870"/>
      <c r="BF185" s="870"/>
      <c r="BG185" s="870"/>
    </row>
    <row r="186" spans="18:59" x14ac:dyDescent="0.25">
      <c r="R186" s="870"/>
      <c r="S186" s="870"/>
      <c r="W186" s="870"/>
      <c r="X186" s="870"/>
      <c r="AE186" s="870"/>
      <c r="AF186" s="870"/>
      <c r="AV186" s="870"/>
      <c r="AW186" s="870"/>
      <c r="AX186" s="870"/>
      <c r="AY186" s="870"/>
      <c r="AZ186" s="870"/>
      <c r="BA186" s="870"/>
      <c r="BC186" s="870"/>
      <c r="BE186" s="870"/>
      <c r="BF186" s="870"/>
      <c r="BG186" s="870"/>
    </row>
    <row r="187" spans="18:59" x14ac:dyDescent="0.25">
      <c r="R187" s="870"/>
      <c r="S187" s="870"/>
      <c r="W187" s="870"/>
      <c r="X187" s="870"/>
      <c r="AE187" s="870"/>
      <c r="AF187" s="870"/>
      <c r="AV187" s="870"/>
      <c r="AW187" s="870"/>
      <c r="AX187" s="870"/>
      <c r="AY187" s="870"/>
      <c r="AZ187" s="870"/>
      <c r="BA187" s="870"/>
      <c r="BC187" s="870"/>
      <c r="BE187" s="870"/>
      <c r="BF187" s="870"/>
      <c r="BG187" s="870"/>
    </row>
    <row r="188" spans="18:59" x14ac:dyDescent="0.25">
      <c r="R188" s="870"/>
      <c r="S188" s="870"/>
      <c r="W188" s="870"/>
      <c r="X188" s="870"/>
      <c r="AE188" s="870"/>
      <c r="AF188" s="870"/>
      <c r="AV188" s="870"/>
      <c r="AW188" s="870"/>
      <c r="AX188" s="870"/>
      <c r="AY188" s="870"/>
      <c r="AZ188" s="870"/>
      <c r="BA188" s="870"/>
      <c r="BC188" s="870"/>
      <c r="BE188" s="870"/>
      <c r="BF188" s="870"/>
      <c r="BG188" s="870"/>
    </row>
    <row r="189" spans="18:59" x14ac:dyDescent="0.25">
      <c r="R189" s="870"/>
      <c r="S189" s="870"/>
      <c r="W189" s="870"/>
      <c r="X189" s="870"/>
      <c r="AE189" s="870"/>
      <c r="AF189" s="870"/>
      <c r="AV189" s="870"/>
      <c r="AW189" s="870"/>
      <c r="AX189" s="870"/>
      <c r="AY189" s="870"/>
      <c r="AZ189" s="870"/>
      <c r="BA189" s="870"/>
      <c r="BC189" s="870"/>
      <c r="BE189" s="870"/>
      <c r="BF189" s="870"/>
      <c r="BG189" s="870"/>
    </row>
    <row r="190" spans="18:59" x14ac:dyDescent="0.25">
      <c r="R190" s="870"/>
      <c r="S190" s="870"/>
      <c r="W190" s="870"/>
      <c r="X190" s="870"/>
      <c r="AE190" s="870"/>
      <c r="AF190" s="870"/>
      <c r="AV190" s="870"/>
      <c r="AW190" s="870"/>
      <c r="AX190" s="870"/>
      <c r="AY190" s="870"/>
      <c r="AZ190" s="870"/>
      <c r="BA190" s="870"/>
      <c r="BC190" s="870"/>
      <c r="BE190" s="870"/>
      <c r="BF190" s="870"/>
      <c r="BG190" s="870"/>
    </row>
    <row r="191" spans="18:59" x14ac:dyDescent="0.25">
      <c r="R191" s="870"/>
      <c r="S191" s="870"/>
      <c r="W191" s="870"/>
      <c r="X191" s="870"/>
      <c r="AE191" s="870"/>
      <c r="AF191" s="870"/>
      <c r="AV191" s="870"/>
      <c r="AW191" s="870"/>
      <c r="AX191" s="870"/>
      <c r="AY191" s="870"/>
      <c r="AZ191" s="870"/>
      <c r="BA191" s="870"/>
      <c r="BC191" s="870"/>
      <c r="BE191" s="870"/>
      <c r="BF191" s="870"/>
      <c r="BG191" s="870"/>
    </row>
    <row r="192" spans="18:59" x14ac:dyDescent="0.25">
      <c r="R192" s="870"/>
      <c r="S192" s="870"/>
      <c r="W192" s="870"/>
      <c r="X192" s="870"/>
      <c r="AE192" s="870"/>
      <c r="AF192" s="870"/>
      <c r="AV192" s="870"/>
      <c r="AW192" s="870"/>
      <c r="AX192" s="870"/>
      <c r="AY192" s="870"/>
      <c r="AZ192" s="870"/>
      <c r="BA192" s="870"/>
      <c r="BC192" s="870"/>
      <c r="BE192" s="870"/>
      <c r="BF192" s="870"/>
      <c r="BG192" s="870"/>
    </row>
    <row r="193" spans="18:59" x14ac:dyDescent="0.25">
      <c r="R193" s="870"/>
      <c r="S193" s="870"/>
      <c r="W193" s="870"/>
      <c r="X193" s="870"/>
      <c r="AE193" s="870"/>
      <c r="AF193" s="870"/>
      <c r="AV193" s="870"/>
      <c r="AW193" s="870"/>
      <c r="AX193" s="870"/>
      <c r="AY193" s="870"/>
      <c r="AZ193" s="870"/>
      <c r="BA193" s="870"/>
      <c r="BC193" s="870"/>
      <c r="BE193" s="870"/>
      <c r="BF193" s="870"/>
      <c r="BG193" s="870"/>
    </row>
    <row r="194" spans="18:59" x14ac:dyDescent="0.25">
      <c r="R194" s="870"/>
      <c r="S194" s="870"/>
      <c r="W194" s="870"/>
      <c r="X194" s="870"/>
      <c r="AE194" s="870"/>
      <c r="AF194" s="870"/>
      <c r="AV194" s="870"/>
      <c r="AW194" s="870"/>
      <c r="AX194" s="870"/>
      <c r="AY194" s="870"/>
      <c r="AZ194" s="870"/>
      <c r="BA194" s="870"/>
      <c r="BC194" s="870"/>
      <c r="BE194" s="870"/>
      <c r="BF194" s="870"/>
      <c r="BG194" s="870"/>
    </row>
    <row r="195" spans="18:59" x14ac:dyDescent="0.25">
      <c r="R195" s="870"/>
      <c r="S195" s="870"/>
      <c r="W195" s="870"/>
      <c r="X195" s="870"/>
      <c r="AE195" s="870"/>
      <c r="AF195" s="870"/>
      <c r="AV195" s="870"/>
      <c r="AW195" s="870"/>
      <c r="AX195" s="870"/>
      <c r="AY195" s="870"/>
      <c r="AZ195" s="870"/>
      <c r="BA195" s="870"/>
      <c r="BC195" s="870"/>
      <c r="BE195" s="870"/>
      <c r="BF195" s="870"/>
      <c r="BG195" s="870"/>
    </row>
    <row r="196" spans="18:59" x14ac:dyDescent="0.25">
      <c r="R196" s="870"/>
      <c r="S196" s="870"/>
      <c r="W196" s="870"/>
      <c r="X196" s="870"/>
      <c r="AE196" s="870"/>
      <c r="AF196" s="870"/>
      <c r="AV196" s="870"/>
      <c r="AW196" s="870"/>
      <c r="AX196" s="870"/>
      <c r="AY196" s="870"/>
      <c r="AZ196" s="870"/>
      <c r="BA196" s="870"/>
      <c r="BC196" s="870"/>
      <c r="BE196" s="870"/>
      <c r="BF196" s="870"/>
      <c r="BG196" s="870"/>
    </row>
    <row r="197" spans="18:59" x14ac:dyDescent="0.25">
      <c r="R197" s="870"/>
      <c r="S197" s="870"/>
      <c r="W197" s="870"/>
      <c r="X197" s="870"/>
      <c r="AE197" s="870"/>
      <c r="AF197" s="870"/>
      <c r="AV197" s="870"/>
      <c r="AW197" s="870"/>
      <c r="AX197" s="870"/>
      <c r="AY197" s="870"/>
      <c r="AZ197" s="870"/>
      <c r="BA197" s="870"/>
      <c r="BC197" s="870"/>
      <c r="BE197" s="870"/>
      <c r="BF197" s="870"/>
      <c r="BG197" s="870"/>
    </row>
    <row r="198" spans="18:59" x14ac:dyDescent="0.25">
      <c r="R198" s="870"/>
      <c r="S198" s="870"/>
      <c r="W198" s="870"/>
      <c r="X198" s="870"/>
      <c r="AE198" s="870"/>
      <c r="AF198" s="870"/>
      <c r="AV198" s="870"/>
      <c r="AW198" s="870"/>
      <c r="AX198" s="870"/>
      <c r="AY198" s="870"/>
      <c r="AZ198" s="870"/>
      <c r="BA198" s="870"/>
      <c r="BC198" s="870"/>
      <c r="BE198" s="870"/>
      <c r="BF198" s="870"/>
      <c r="BG198" s="870"/>
    </row>
    <row r="199" spans="18:59" x14ac:dyDescent="0.25">
      <c r="R199" s="870"/>
      <c r="S199" s="870"/>
      <c r="W199" s="870"/>
      <c r="X199" s="870"/>
      <c r="AE199" s="870"/>
      <c r="AF199" s="870"/>
      <c r="AV199" s="870"/>
      <c r="AW199" s="870"/>
      <c r="AX199" s="870"/>
      <c r="AY199" s="870"/>
      <c r="AZ199" s="870"/>
      <c r="BA199" s="870"/>
      <c r="BC199" s="870"/>
      <c r="BE199" s="870"/>
      <c r="BF199" s="870"/>
      <c r="BG199" s="870"/>
    </row>
    <row r="200" spans="18:59" x14ac:dyDescent="0.25">
      <c r="R200" s="870"/>
      <c r="S200" s="870"/>
      <c r="W200" s="870"/>
      <c r="X200" s="870"/>
      <c r="AE200" s="870"/>
      <c r="AF200" s="870"/>
      <c r="AV200" s="870"/>
      <c r="AW200" s="870"/>
      <c r="AX200" s="870"/>
      <c r="AY200" s="870"/>
      <c r="AZ200" s="870"/>
      <c r="BA200" s="870"/>
      <c r="BC200" s="870"/>
      <c r="BE200" s="870"/>
      <c r="BF200" s="870"/>
      <c r="BG200" s="870"/>
    </row>
    <row r="201" spans="18:59" x14ac:dyDescent="0.25">
      <c r="R201" s="870"/>
      <c r="S201" s="870"/>
      <c r="W201" s="870"/>
      <c r="X201" s="870"/>
      <c r="AE201" s="870"/>
      <c r="AF201" s="870"/>
      <c r="AV201" s="870"/>
      <c r="AW201" s="870"/>
      <c r="AX201" s="870"/>
      <c r="AY201" s="870"/>
      <c r="AZ201" s="870"/>
      <c r="BA201" s="870"/>
      <c r="BC201" s="870"/>
      <c r="BE201" s="870"/>
      <c r="BF201" s="870"/>
      <c r="BG201" s="870"/>
    </row>
    <row r="202" spans="18:59" x14ac:dyDescent="0.25">
      <c r="R202" s="870"/>
      <c r="S202" s="870"/>
      <c r="W202" s="870"/>
      <c r="X202" s="870"/>
      <c r="AE202" s="870"/>
      <c r="AF202" s="870"/>
      <c r="AV202" s="870"/>
      <c r="AW202" s="870"/>
      <c r="AX202" s="870"/>
      <c r="AY202" s="870"/>
      <c r="AZ202" s="870"/>
      <c r="BA202" s="870"/>
      <c r="BC202" s="870"/>
      <c r="BE202" s="870"/>
      <c r="BF202" s="870"/>
      <c r="BG202" s="870"/>
    </row>
    <row r="203" spans="18:59" x14ac:dyDescent="0.25">
      <c r="R203" s="870"/>
      <c r="S203" s="870"/>
      <c r="W203" s="870"/>
      <c r="X203" s="870"/>
      <c r="AE203" s="870"/>
      <c r="AF203" s="870"/>
      <c r="AV203" s="870"/>
      <c r="AW203" s="870"/>
      <c r="AX203" s="870"/>
      <c r="AY203" s="870"/>
      <c r="AZ203" s="870"/>
      <c r="BA203" s="870"/>
      <c r="BC203" s="870"/>
      <c r="BE203" s="870"/>
      <c r="BF203" s="870"/>
      <c r="BG203" s="870"/>
    </row>
    <row r="204" spans="18:59" x14ac:dyDescent="0.25">
      <c r="R204" s="870"/>
      <c r="S204" s="870"/>
      <c r="W204" s="870"/>
      <c r="X204" s="870"/>
      <c r="AE204" s="870"/>
      <c r="AF204" s="870"/>
      <c r="AV204" s="870"/>
      <c r="AW204" s="870"/>
      <c r="AX204" s="870"/>
      <c r="AY204" s="870"/>
      <c r="AZ204" s="870"/>
      <c r="BA204" s="870"/>
      <c r="BC204" s="870"/>
      <c r="BE204" s="870"/>
      <c r="BF204" s="870"/>
      <c r="BG204" s="870"/>
    </row>
    <row r="205" spans="18:59" x14ac:dyDescent="0.25">
      <c r="R205" s="870"/>
      <c r="S205" s="870"/>
      <c r="W205" s="870"/>
      <c r="X205" s="870"/>
      <c r="AE205" s="870"/>
      <c r="AF205" s="870"/>
      <c r="AV205" s="870"/>
      <c r="AW205" s="870"/>
      <c r="AX205" s="870"/>
      <c r="AY205" s="870"/>
      <c r="AZ205" s="870"/>
      <c r="BA205" s="870"/>
      <c r="BC205" s="870"/>
      <c r="BE205" s="870"/>
      <c r="BF205" s="870"/>
      <c r="BG205" s="870"/>
    </row>
    <row r="206" spans="18:59" x14ac:dyDescent="0.25">
      <c r="R206" s="870"/>
      <c r="S206" s="870"/>
      <c r="W206" s="870"/>
      <c r="X206" s="870"/>
      <c r="AE206" s="870"/>
      <c r="AF206" s="870"/>
      <c r="AV206" s="870"/>
      <c r="AW206" s="870"/>
      <c r="AX206" s="870"/>
      <c r="AY206" s="870"/>
      <c r="AZ206" s="870"/>
      <c r="BA206" s="870"/>
      <c r="BC206" s="870"/>
      <c r="BE206" s="870"/>
      <c r="BF206" s="870"/>
      <c r="BG206" s="870"/>
    </row>
    <row r="207" spans="18:59" x14ac:dyDescent="0.25">
      <c r="R207" s="870"/>
      <c r="S207" s="870"/>
      <c r="W207" s="870"/>
      <c r="X207" s="870"/>
      <c r="AE207" s="870"/>
      <c r="AF207" s="870"/>
      <c r="AV207" s="870"/>
      <c r="AW207" s="870"/>
      <c r="AX207" s="870"/>
      <c r="AY207" s="870"/>
      <c r="AZ207" s="870"/>
      <c r="BA207" s="870"/>
      <c r="BC207" s="870"/>
      <c r="BE207" s="870"/>
      <c r="BF207" s="870"/>
      <c r="BG207" s="870"/>
    </row>
    <row r="208" spans="18:59" x14ac:dyDescent="0.25">
      <c r="R208" s="870"/>
      <c r="S208" s="870"/>
      <c r="W208" s="870"/>
      <c r="X208" s="870"/>
      <c r="AE208" s="870"/>
      <c r="AF208" s="870"/>
      <c r="AV208" s="870"/>
      <c r="AW208" s="870"/>
      <c r="AX208" s="870"/>
      <c r="AY208" s="870"/>
      <c r="AZ208" s="870"/>
      <c r="BA208" s="870"/>
      <c r="BC208" s="870"/>
      <c r="BE208" s="870"/>
      <c r="BF208" s="870"/>
      <c r="BG208" s="870"/>
    </row>
    <row r="209" spans="18:59" x14ac:dyDescent="0.25">
      <c r="R209" s="870"/>
      <c r="S209" s="870"/>
      <c r="W209" s="870"/>
      <c r="X209" s="870"/>
      <c r="AE209" s="870"/>
      <c r="AF209" s="870"/>
      <c r="AV209" s="870"/>
      <c r="AW209" s="870"/>
      <c r="AX209" s="870"/>
      <c r="AY209" s="870"/>
      <c r="AZ209" s="870"/>
      <c r="BA209" s="870"/>
      <c r="BC209" s="870"/>
      <c r="BE209" s="870"/>
      <c r="BF209" s="870"/>
      <c r="BG209" s="870"/>
    </row>
    <row r="210" spans="18:59" x14ac:dyDescent="0.25">
      <c r="R210" s="870"/>
      <c r="S210" s="870"/>
      <c r="W210" s="870"/>
      <c r="X210" s="870"/>
      <c r="AE210" s="870"/>
      <c r="AF210" s="870"/>
      <c r="AV210" s="870"/>
      <c r="AW210" s="870"/>
      <c r="AX210" s="870"/>
      <c r="AY210" s="870"/>
      <c r="AZ210" s="870"/>
      <c r="BA210" s="870"/>
      <c r="BC210" s="870"/>
      <c r="BE210" s="870"/>
      <c r="BF210" s="870"/>
      <c r="BG210" s="870"/>
    </row>
    <row r="211" spans="18:59" x14ac:dyDescent="0.25">
      <c r="R211" s="870"/>
      <c r="S211" s="870"/>
      <c r="W211" s="870"/>
      <c r="X211" s="870"/>
      <c r="AE211" s="870"/>
      <c r="AF211" s="870"/>
      <c r="AV211" s="870"/>
      <c r="AW211" s="870"/>
      <c r="AX211" s="870"/>
      <c r="AY211" s="870"/>
      <c r="AZ211" s="870"/>
      <c r="BA211" s="870"/>
      <c r="BC211" s="870"/>
      <c r="BE211" s="870"/>
      <c r="BF211" s="870"/>
      <c r="BG211" s="870"/>
    </row>
    <row r="212" spans="18:59" x14ac:dyDescent="0.25">
      <c r="R212" s="870"/>
      <c r="S212" s="870"/>
      <c r="W212" s="870"/>
      <c r="X212" s="870"/>
      <c r="AE212" s="870"/>
      <c r="AF212" s="870"/>
      <c r="AV212" s="870"/>
      <c r="AW212" s="870"/>
      <c r="AX212" s="870"/>
      <c r="AY212" s="870"/>
      <c r="AZ212" s="870"/>
      <c r="BA212" s="870"/>
      <c r="BC212" s="870"/>
      <c r="BE212" s="870"/>
      <c r="BF212" s="870"/>
      <c r="BG212" s="870"/>
    </row>
    <row r="213" spans="18:59" x14ac:dyDescent="0.25">
      <c r="R213" s="870"/>
      <c r="S213" s="870"/>
      <c r="W213" s="870"/>
      <c r="X213" s="870"/>
      <c r="AE213" s="870"/>
      <c r="AF213" s="870"/>
      <c r="AV213" s="870"/>
      <c r="AW213" s="870"/>
      <c r="AX213" s="870"/>
      <c r="AY213" s="870"/>
      <c r="AZ213" s="870"/>
      <c r="BA213" s="870"/>
      <c r="BC213" s="870"/>
      <c r="BE213" s="870"/>
      <c r="BF213" s="870"/>
      <c r="BG213" s="870"/>
    </row>
    <row r="214" spans="18:59" x14ac:dyDescent="0.25">
      <c r="R214" s="870"/>
      <c r="S214" s="870"/>
      <c r="W214" s="870"/>
      <c r="X214" s="870"/>
      <c r="AE214" s="870"/>
      <c r="AF214" s="870"/>
      <c r="AV214" s="870"/>
      <c r="AW214" s="870"/>
      <c r="AX214" s="870"/>
      <c r="AY214" s="870"/>
      <c r="AZ214" s="870"/>
      <c r="BA214" s="870"/>
      <c r="BC214" s="870"/>
      <c r="BE214" s="870"/>
      <c r="BF214" s="870"/>
      <c r="BG214" s="870"/>
    </row>
    <row r="215" spans="18:59" x14ac:dyDescent="0.25">
      <c r="R215" s="870"/>
      <c r="S215" s="870"/>
      <c r="W215" s="870"/>
      <c r="X215" s="870"/>
      <c r="AE215" s="870"/>
      <c r="AF215" s="870"/>
      <c r="AV215" s="870"/>
      <c r="AW215" s="870"/>
      <c r="AX215" s="870"/>
      <c r="AY215" s="870"/>
      <c r="AZ215" s="870"/>
      <c r="BA215" s="870"/>
      <c r="BC215" s="870"/>
      <c r="BE215" s="870"/>
      <c r="BF215" s="870"/>
      <c r="BG215" s="870"/>
    </row>
    <row r="216" spans="18:59" x14ac:dyDescent="0.25">
      <c r="R216" s="870"/>
      <c r="S216" s="870"/>
      <c r="W216" s="870"/>
      <c r="X216" s="870"/>
      <c r="AE216" s="870"/>
      <c r="AF216" s="870"/>
      <c r="AV216" s="870"/>
      <c r="AW216" s="870"/>
      <c r="AX216" s="870"/>
      <c r="AY216" s="870"/>
      <c r="AZ216" s="870"/>
      <c r="BA216" s="870"/>
      <c r="BC216" s="870"/>
      <c r="BE216" s="870"/>
      <c r="BF216" s="870"/>
      <c r="BG216" s="870"/>
    </row>
    <row r="217" spans="18:59" x14ac:dyDescent="0.25">
      <c r="R217" s="870"/>
      <c r="S217" s="870"/>
      <c r="W217" s="870"/>
      <c r="X217" s="870"/>
      <c r="AE217" s="870"/>
      <c r="AF217" s="870"/>
      <c r="AV217" s="870"/>
      <c r="AW217" s="870"/>
      <c r="AX217" s="870"/>
      <c r="AY217" s="870"/>
      <c r="AZ217" s="870"/>
      <c r="BA217" s="870"/>
      <c r="BC217" s="870"/>
      <c r="BE217" s="870"/>
      <c r="BF217" s="870"/>
      <c r="BG217" s="870"/>
    </row>
    <row r="218" spans="18:59" x14ac:dyDescent="0.25">
      <c r="R218" s="870"/>
      <c r="S218" s="870"/>
      <c r="W218" s="870"/>
      <c r="X218" s="870"/>
      <c r="AE218" s="870"/>
      <c r="AF218" s="870"/>
      <c r="AV218" s="870"/>
      <c r="AW218" s="870"/>
      <c r="AX218" s="870"/>
      <c r="AY218" s="870"/>
      <c r="AZ218" s="870"/>
      <c r="BA218" s="870"/>
      <c r="BC218" s="870"/>
      <c r="BE218" s="870"/>
      <c r="BF218" s="870"/>
      <c r="BG218" s="870"/>
    </row>
    <row r="219" spans="18:59" x14ac:dyDescent="0.25">
      <c r="R219" s="870"/>
      <c r="S219" s="870"/>
      <c r="W219" s="870"/>
      <c r="X219" s="870"/>
      <c r="AE219" s="870"/>
      <c r="AF219" s="870"/>
      <c r="AV219" s="870"/>
      <c r="AW219" s="870"/>
      <c r="AX219" s="870"/>
      <c r="AY219" s="870"/>
      <c r="AZ219" s="870"/>
      <c r="BA219" s="870"/>
      <c r="BC219" s="870"/>
      <c r="BE219" s="870"/>
      <c r="BF219" s="870"/>
      <c r="BG219" s="870"/>
    </row>
    <row r="220" spans="18:59" x14ac:dyDescent="0.25">
      <c r="R220" s="870"/>
      <c r="S220" s="870"/>
      <c r="W220" s="870"/>
      <c r="X220" s="870"/>
      <c r="AE220" s="870"/>
      <c r="AF220" s="870"/>
      <c r="AV220" s="870"/>
      <c r="AW220" s="870"/>
      <c r="AX220" s="870"/>
      <c r="AY220" s="870"/>
      <c r="AZ220" s="870"/>
      <c r="BA220" s="870"/>
      <c r="BC220" s="870"/>
      <c r="BE220" s="870"/>
      <c r="BF220" s="870"/>
      <c r="BG220" s="870"/>
    </row>
    <row r="221" spans="18:59" x14ac:dyDescent="0.25">
      <c r="R221" s="870"/>
      <c r="S221" s="870"/>
      <c r="W221" s="870"/>
      <c r="X221" s="870"/>
      <c r="AE221" s="870"/>
      <c r="AF221" s="870"/>
      <c r="AV221" s="870"/>
      <c r="AW221" s="870"/>
      <c r="AX221" s="870"/>
      <c r="AY221" s="870"/>
      <c r="AZ221" s="870"/>
      <c r="BA221" s="870"/>
      <c r="BC221" s="870"/>
      <c r="BE221" s="870"/>
      <c r="BF221" s="870"/>
      <c r="BG221" s="870"/>
    </row>
    <row r="222" spans="18:59" x14ac:dyDescent="0.25">
      <c r="R222" s="870"/>
      <c r="S222" s="870"/>
      <c r="W222" s="870"/>
      <c r="X222" s="870"/>
      <c r="AE222" s="870"/>
      <c r="AF222" s="870"/>
      <c r="AV222" s="870"/>
      <c r="AW222" s="870"/>
      <c r="AX222" s="870"/>
      <c r="AY222" s="870"/>
      <c r="AZ222" s="870"/>
      <c r="BA222" s="870"/>
      <c r="BC222" s="870"/>
      <c r="BE222" s="870"/>
      <c r="BF222" s="870"/>
      <c r="BG222" s="870"/>
    </row>
    <row r="223" spans="18:59" x14ac:dyDescent="0.25">
      <c r="R223" s="870"/>
      <c r="S223" s="870"/>
      <c r="W223" s="870"/>
      <c r="X223" s="870"/>
      <c r="AE223" s="870"/>
      <c r="AF223" s="870"/>
      <c r="AV223" s="870"/>
      <c r="AW223" s="870"/>
      <c r="AX223" s="870"/>
      <c r="AY223" s="870"/>
      <c r="AZ223" s="870"/>
      <c r="BA223" s="870"/>
      <c r="BC223" s="870"/>
      <c r="BE223" s="870"/>
      <c r="BF223" s="870"/>
      <c r="BG223" s="870"/>
    </row>
    <row r="224" spans="18:59" x14ac:dyDescent="0.25">
      <c r="R224" s="870"/>
      <c r="S224" s="870"/>
      <c r="W224" s="870"/>
      <c r="X224" s="870"/>
      <c r="AE224" s="870"/>
      <c r="AF224" s="870"/>
      <c r="AV224" s="870"/>
      <c r="AW224" s="870"/>
      <c r="AX224" s="870"/>
      <c r="AY224" s="870"/>
      <c r="AZ224" s="870"/>
      <c r="BA224" s="870"/>
      <c r="BC224" s="870"/>
      <c r="BE224" s="870"/>
      <c r="BF224" s="870"/>
      <c r="BG224" s="870"/>
    </row>
    <row r="225" spans="18:59" x14ac:dyDescent="0.25">
      <c r="R225" s="870"/>
      <c r="S225" s="870"/>
      <c r="W225" s="870"/>
      <c r="X225" s="870"/>
      <c r="AE225" s="870"/>
      <c r="AF225" s="870"/>
      <c r="AV225" s="870"/>
      <c r="AW225" s="870"/>
      <c r="AX225" s="870"/>
      <c r="AY225" s="870"/>
      <c r="AZ225" s="870"/>
      <c r="BA225" s="870"/>
      <c r="BC225" s="870"/>
      <c r="BE225" s="870"/>
      <c r="BF225" s="870"/>
      <c r="BG225" s="870"/>
    </row>
    <row r="226" spans="18:59" x14ac:dyDescent="0.25">
      <c r="R226" s="870"/>
      <c r="S226" s="870"/>
      <c r="W226" s="870"/>
      <c r="X226" s="870"/>
      <c r="AE226" s="870"/>
      <c r="AF226" s="870"/>
      <c r="AV226" s="870"/>
      <c r="AW226" s="870"/>
      <c r="AX226" s="870"/>
      <c r="AY226" s="870"/>
      <c r="AZ226" s="870"/>
      <c r="BA226" s="870"/>
      <c r="BC226" s="870"/>
      <c r="BE226" s="870"/>
      <c r="BF226" s="870"/>
      <c r="BG226" s="870"/>
    </row>
    <row r="227" spans="18:59" x14ac:dyDescent="0.25">
      <c r="R227" s="870"/>
      <c r="S227" s="870"/>
      <c r="W227" s="870"/>
      <c r="X227" s="870"/>
      <c r="AE227" s="870"/>
      <c r="AF227" s="870"/>
      <c r="AV227" s="870"/>
      <c r="AW227" s="870"/>
      <c r="AX227" s="870"/>
      <c r="AY227" s="870"/>
      <c r="AZ227" s="870"/>
      <c r="BA227" s="870"/>
      <c r="BC227" s="870"/>
      <c r="BE227" s="870"/>
      <c r="BF227" s="870"/>
      <c r="BG227" s="870"/>
    </row>
    <row r="228" spans="18:59" x14ac:dyDescent="0.25">
      <c r="R228" s="870"/>
      <c r="S228" s="870"/>
      <c r="W228" s="870"/>
      <c r="X228" s="870"/>
      <c r="AE228" s="870"/>
      <c r="AF228" s="870"/>
      <c r="AV228" s="870"/>
      <c r="AW228" s="870"/>
      <c r="AX228" s="870"/>
      <c r="AY228" s="870"/>
      <c r="AZ228" s="870"/>
      <c r="BA228" s="870"/>
      <c r="BC228" s="870"/>
      <c r="BE228" s="870"/>
      <c r="BF228" s="870"/>
      <c r="BG228" s="870"/>
    </row>
    <row r="229" spans="18:59" x14ac:dyDescent="0.25">
      <c r="R229" s="870"/>
      <c r="S229" s="870"/>
      <c r="W229" s="870"/>
      <c r="X229" s="870"/>
      <c r="AE229" s="870"/>
      <c r="AF229" s="870"/>
      <c r="AV229" s="870"/>
      <c r="AW229" s="870"/>
      <c r="AX229" s="870"/>
      <c r="AY229" s="870"/>
      <c r="AZ229" s="870"/>
      <c r="BA229" s="870"/>
      <c r="BC229" s="870"/>
      <c r="BE229" s="870"/>
      <c r="BF229" s="870"/>
      <c r="BG229" s="870"/>
    </row>
    <row r="230" spans="18:59" x14ac:dyDescent="0.25">
      <c r="R230" s="870"/>
      <c r="S230" s="870"/>
      <c r="W230" s="870"/>
      <c r="X230" s="870"/>
      <c r="AE230" s="870"/>
      <c r="AF230" s="870"/>
      <c r="AV230" s="870"/>
      <c r="AW230" s="870"/>
      <c r="AX230" s="870"/>
      <c r="AY230" s="870"/>
      <c r="AZ230" s="870"/>
      <c r="BA230" s="870"/>
      <c r="BC230" s="870"/>
      <c r="BE230" s="870"/>
      <c r="BF230" s="870"/>
      <c r="BG230" s="870"/>
    </row>
    <row r="231" spans="18:59" x14ac:dyDescent="0.25">
      <c r="R231" s="870"/>
      <c r="S231" s="870"/>
      <c r="W231" s="870"/>
      <c r="X231" s="870"/>
      <c r="AE231" s="870"/>
      <c r="AF231" s="870"/>
      <c r="AV231" s="870"/>
      <c r="AW231" s="870"/>
      <c r="AX231" s="870"/>
      <c r="AY231" s="870"/>
      <c r="AZ231" s="870"/>
      <c r="BA231" s="870"/>
      <c r="BC231" s="870"/>
      <c r="BE231" s="870"/>
      <c r="BF231" s="870"/>
      <c r="BG231" s="870"/>
    </row>
    <row r="232" spans="18:59" x14ac:dyDescent="0.25">
      <c r="R232" s="870"/>
      <c r="S232" s="870"/>
      <c r="W232" s="870"/>
      <c r="X232" s="870"/>
      <c r="AE232" s="870"/>
      <c r="AF232" s="870"/>
      <c r="AV232" s="870"/>
      <c r="AW232" s="870"/>
      <c r="AX232" s="870"/>
      <c r="AY232" s="870"/>
      <c r="AZ232" s="870"/>
      <c r="BA232" s="870"/>
      <c r="BC232" s="870"/>
      <c r="BE232" s="870"/>
      <c r="BF232" s="870"/>
      <c r="BG232" s="870"/>
    </row>
    <row r="233" spans="18:59" x14ac:dyDescent="0.25">
      <c r="R233" s="870"/>
      <c r="S233" s="870"/>
      <c r="W233" s="870"/>
      <c r="X233" s="870"/>
      <c r="AE233" s="870"/>
      <c r="AF233" s="870"/>
      <c r="AV233" s="870"/>
      <c r="AW233" s="870"/>
      <c r="AX233" s="870"/>
      <c r="AY233" s="870"/>
      <c r="AZ233" s="870"/>
      <c r="BA233" s="870"/>
      <c r="BC233" s="870"/>
      <c r="BE233" s="870"/>
      <c r="BF233" s="870"/>
      <c r="BG233" s="870"/>
    </row>
    <row r="234" spans="18:59" x14ac:dyDescent="0.25">
      <c r="R234" s="870"/>
      <c r="S234" s="870"/>
      <c r="W234" s="870"/>
      <c r="X234" s="870"/>
      <c r="AE234" s="870"/>
      <c r="AF234" s="870"/>
      <c r="AV234" s="870"/>
      <c r="AW234" s="870"/>
      <c r="AX234" s="870"/>
      <c r="AY234" s="870"/>
      <c r="AZ234" s="870"/>
      <c r="BA234" s="870"/>
      <c r="BC234" s="870"/>
      <c r="BE234" s="870"/>
      <c r="BF234" s="870"/>
      <c r="BG234" s="870"/>
    </row>
    <row r="235" spans="18:59" x14ac:dyDescent="0.25">
      <c r="R235" s="870"/>
      <c r="S235" s="870"/>
      <c r="W235" s="870"/>
      <c r="X235" s="870"/>
      <c r="AE235" s="870"/>
      <c r="AF235" s="870"/>
      <c r="AV235" s="870"/>
      <c r="AW235" s="870"/>
      <c r="AX235" s="870"/>
      <c r="AY235" s="870"/>
      <c r="AZ235" s="870"/>
      <c r="BA235" s="870"/>
      <c r="BC235" s="870"/>
      <c r="BE235" s="870"/>
      <c r="BF235" s="870"/>
      <c r="BG235" s="870"/>
    </row>
    <row r="236" spans="18:59" x14ac:dyDescent="0.25">
      <c r="R236" s="870"/>
      <c r="S236" s="870"/>
      <c r="W236" s="870"/>
      <c r="X236" s="870"/>
      <c r="AE236" s="870"/>
      <c r="AF236" s="870"/>
      <c r="AV236" s="870"/>
      <c r="AW236" s="870"/>
      <c r="AX236" s="870"/>
      <c r="AY236" s="870"/>
      <c r="AZ236" s="870"/>
      <c r="BA236" s="870"/>
      <c r="BC236" s="870"/>
      <c r="BE236" s="870"/>
      <c r="BF236" s="870"/>
      <c r="BG236" s="870"/>
    </row>
    <row r="237" spans="18:59" x14ac:dyDescent="0.25">
      <c r="R237" s="870"/>
      <c r="S237" s="870"/>
      <c r="W237" s="870"/>
      <c r="X237" s="870"/>
      <c r="AE237" s="870"/>
      <c r="AF237" s="870"/>
      <c r="AV237" s="870"/>
      <c r="AW237" s="870"/>
      <c r="AX237" s="870"/>
      <c r="AY237" s="870"/>
      <c r="AZ237" s="870"/>
      <c r="BA237" s="870"/>
      <c r="BC237" s="870"/>
      <c r="BE237" s="870"/>
      <c r="BF237" s="870"/>
      <c r="BG237" s="870"/>
    </row>
    <row r="238" spans="18:59" x14ac:dyDescent="0.25">
      <c r="R238" s="870"/>
      <c r="S238" s="870"/>
      <c r="W238" s="870"/>
      <c r="X238" s="870"/>
      <c r="AE238" s="870"/>
      <c r="AF238" s="870"/>
      <c r="AV238" s="870"/>
      <c r="AW238" s="870"/>
      <c r="AX238" s="870"/>
      <c r="AY238" s="870"/>
      <c r="AZ238" s="870"/>
      <c r="BA238" s="870"/>
      <c r="BC238" s="870"/>
      <c r="BE238" s="870"/>
      <c r="BF238" s="870"/>
      <c r="BG238" s="870"/>
    </row>
    <row r="239" spans="18:59" x14ac:dyDescent="0.25">
      <c r="R239" s="870"/>
      <c r="S239" s="870"/>
      <c r="W239" s="870"/>
      <c r="X239" s="870"/>
      <c r="AE239" s="870"/>
      <c r="AF239" s="870"/>
      <c r="AV239" s="870"/>
      <c r="AW239" s="870"/>
      <c r="AX239" s="870"/>
      <c r="AY239" s="870"/>
      <c r="AZ239" s="870"/>
      <c r="BA239" s="870"/>
      <c r="BC239" s="870"/>
      <c r="BE239" s="870"/>
      <c r="BF239" s="870"/>
      <c r="BG239" s="870"/>
    </row>
    <row r="240" spans="18:59" x14ac:dyDescent="0.25">
      <c r="R240" s="870"/>
      <c r="S240" s="870"/>
      <c r="W240" s="870"/>
      <c r="X240" s="870"/>
      <c r="AE240" s="870"/>
      <c r="AF240" s="870"/>
      <c r="AV240" s="870"/>
      <c r="AW240" s="870"/>
      <c r="AX240" s="870"/>
      <c r="AY240" s="870"/>
      <c r="AZ240" s="870"/>
      <c r="BA240" s="870"/>
      <c r="BC240" s="870"/>
      <c r="BE240" s="870"/>
      <c r="BF240" s="870"/>
      <c r="BG240" s="870"/>
    </row>
    <row r="241" spans="18:59" x14ac:dyDescent="0.25">
      <c r="R241" s="870"/>
      <c r="S241" s="870"/>
      <c r="W241" s="870"/>
      <c r="X241" s="870"/>
      <c r="AE241" s="870"/>
      <c r="AF241" s="870"/>
      <c r="AV241" s="870"/>
      <c r="AW241" s="870"/>
      <c r="AX241" s="870"/>
      <c r="AY241" s="870"/>
      <c r="AZ241" s="870"/>
      <c r="BA241" s="870"/>
      <c r="BC241" s="870"/>
      <c r="BE241" s="870"/>
      <c r="BF241" s="870"/>
      <c r="BG241" s="870"/>
    </row>
    <row r="242" spans="18:59" x14ac:dyDescent="0.25">
      <c r="R242" s="870"/>
      <c r="S242" s="870"/>
      <c r="W242" s="870"/>
      <c r="X242" s="870"/>
      <c r="AE242" s="870"/>
      <c r="AF242" s="870"/>
      <c r="AV242" s="870"/>
      <c r="AW242" s="870"/>
      <c r="AX242" s="870"/>
      <c r="AY242" s="870"/>
      <c r="AZ242" s="870"/>
      <c r="BA242" s="870"/>
      <c r="BC242" s="870"/>
      <c r="BE242" s="870"/>
      <c r="BF242" s="870"/>
      <c r="BG242" s="870"/>
    </row>
    <row r="243" spans="18:59" x14ac:dyDescent="0.25">
      <c r="R243" s="870"/>
      <c r="S243" s="870"/>
      <c r="W243" s="870"/>
      <c r="X243" s="870"/>
      <c r="AE243" s="870"/>
      <c r="AF243" s="870"/>
      <c r="AV243" s="870"/>
      <c r="AW243" s="870"/>
      <c r="AX243" s="870"/>
      <c r="AY243" s="870"/>
      <c r="AZ243" s="870"/>
      <c r="BA243" s="870"/>
      <c r="BC243" s="870"/>
      <c r="BE243" s="870"/>
      <c r="BF243" s="870"/>
      <c r="BG243" s="870"/>
    </row>
    <row r="244" spans="18:59" x14ac:dyDescent="0.25">
      <c r="R244" s="870"/>
      <c r="S244" s="870"/>
      <c r="W244" s="870"/>
      <c r="X244" s="870"/>
      <c r="AE244" s="870"/>
      <c r="AF244" s="870"/>
      <c r="AV244" s="870"/>
      <c r="AW244" s="870"/>
      <c r="AX244" s="870"/>
      <c r="AY244" s="870"/>
      <c r="AZ244" s="870"/>
      <c r="BA244" s="870"/>
      <c r="BC244" s="870"/>
      <c r="BE244" s="870"/>
      <c r="BF244" s="870"/>
      <c r="BG244" s="870"/>
    </row>
    <row r="245" spans="18:59" x14ac:dyDescent="0.25">
      <c r="R245" s="870"/>
      <c r="S245" s="870"/>
      <c r="W245" s="870"/>
      <c r="X245" s="870"/>
      <c r="AE245" s="870"/>
      <c r="AF245" s="870"/>
      <c r="AV245" s="870"/>
      <c r="AW245" s="870"/>
      <c r="AX245" s="870"/>
      <c r="AY245" s="870"/>
      <c r="AZ245" s="870"/>
      <c r="BA245" s="870"/>
      <c r="BC245" s="870"/>
      <c r="BE245" s="870"/>
      <c r="BF245" s="870"/>
      <c r="BG245" s="870"/>
    </row>
    <row r="246" spans="18:59" x14ac:dyDescent="0.25">
      <c r="R246" s="870"/>
      <c r="S246" s="870"/>
      <c r="W246" s="870"/>
      <c r="X246" s="870"/>
      <c r="AE246" s="870"/>
      <c r="AF246" s="870"/>
      <c r="AV246" s="870"/>
      <c r="AW246" s="870"/>
      <c r="AX246" s="870"/>
      <c r="AY246" s="870"/>
      <c r="AZ246" s="870"/>
      <c r="BA246" s="870"/>
      <c r="BC246" s="870"/>
      <c r="BE246" s="870"/>
      <c r="BF246" s="870"/>
      <c r="BG246" s="870"/>
    </row>
    <row r="247" spans="18:59" x14ac:dyDescent="0.25">
      <c r="R247" s="870"/>
      <c r="S247" s="870"/>
      <c r="W247" s="870"/>
      <c r="X247" s="870"/>
      <c r="AE247" s="870"/>
      <c r="AF247" s="870"/>
      <c r="AV247" s="870"/>
      <c r="AW247" s="870"/>
      <c r="AX247" s="870"/>
      <c r="AY247" s="870"/>
      <c r="AZ247" s="870"/>
      <c r="BA247" s="870"/>
      <c r="BC247" s="870"/>
      <c r="BE247" s="870"/>
      <c r="BF247" s="870"/>
      <c r="BG247" s="870"/>
    </row>
    <row r="248" spans="18:59" x14ac:dyDescent="0.25">
      <c r="R248" s="870"/>
      <c r="S248" s="870"/>
      <c r="W248" s="870"/>
      <c r="X248" s="870"/>
      <c r="AE248" s="870"/>
      <c r="AF248" s="870"/>
      <c r="AV248" s="870"/>
      <c r="AW248" s="870"/>
      <c r="AX248" s="870"/>
      <c r="AY248" s="870"/>
      <c r="AZ248" s="870"/>
      <c r="BA248" s="870"/>
      <c r="BC248" s="870"/>
      <c r="BE248" s="870"/>
      <c r="BF248" s="870"/>
      <c r="BG248" s="870"/>
    </row>
    <row r="249" spans="18:59" x14ac:dyDescent="0.25">
      <c r="R249" s="870"/>
      <c r="S249" s="870"/>
      <c r="W249" s="870"/>
      <c r="X249" s="870"/>
      <c r="AE249" s="870"/>
      <c r="AF249" s="870"/>
      <c r="AV249" s="870"/>
      <c r="AW249" s="870"/>
      <c r="AX249" s="870"/>
      <c r="AY249" s="870"/>
      <c r="AZ249" s="870"/>
      <c r="BA249" s="870"/>
      <c r="BC249" s="870"/>
      <c r="BE249" s="870"/>
      <c r="BF249" s="870"/>
      <c r="BG249" s="870"/>
    </row>
    <row r="250" spans="18:59" x14ac:dyDescent="0.25">
      <c r="R250" s="870"/>
      <c r="S250" s="870"/>
      <c r="W250" s="870"/>
      <c r="X250" s="870"/>
      <c r="AE250" s="870"/>
      <c r="AF250" s="870"/>
      <c r="AV250" s="870"/>
      <c r="AW250" s="870"/>
      <c r="AX250" s="870"/>
      <c r="AY250" s="870"/>
      <c r="AZ250" s="870"/>
      <c r="BA250" s="870"/>
      <c r="BC250" s="870"/>
      <c r="BE250" s="870"/>
      <c r="BF250" s="870"/>
      <c r="BG250" s="870"/>
    </row>
    <row r="251" spans="18:59" x14ac:dyDescent="0.25">
      <c r="R251" s="870"/>
      <c r="S251" s="870"/>
      <c r="W251" s="870"/>
      <c r="X251" s="870"/>
      <c r="AE251" s="870"/>
      <c r="AF251" s="870"/>
      <c r="AV251" s="870"/>
      <c r="AW251" s="870"/>
      <c r="AX251" s="870"/>
      <c r="AY251" s="870"/>
      <c r="AZ251" s="870"/>
      <c r="BA251" s="870"/>
      <c r="BC251" s="870"/>
      <c r="BE251" s="870"/>
      <c r="BF251" s="870"/>
      <c r="BG251" s="870"/>
    </row>
    <row r="252" spans="18:59" x14ac:dyDescent="0.25">
      <c r="R252" s="870"/>
      <c r="S252" s="870"/>
      <c r="W252" s="870"/>
      <c r="X252" s="870"/>
      <c r="AE252" s="870"/>
      <c r="AF252" s="870"/>
      <c r="AV252" s="870"/>
      <c r="AW252" s="870"/>
      <c r="AX252" s="870"/>
      <c r="AY252" s="870"/>
      <c r="AZ252" s="870"/>
      <c r="BA252" s="870"/>
      <c r="BC252" s="870"/>
      <c r="BE252" s="870"/>
      <c r="BF252" s="870"/>
      <c r="BG252" s="870"/>
    </row>
    <row r="253" spans="18:59" x14ac:dyDescent="0.25">
      <c r="R253" s="870"/>
      <c r="S253" s="870"/>
      <c r="W253" s="870"/>
      <c r="X253" s="870"/>
      <c r="AE253" s="870"/>
      <c r="AF253" s="870"/>
      <c r="AV253" s="870"/>
      <c r="AW253" s="870"/>
      <c r="AX253" s="870"/>
      <c r="AY253" s="870"/>
      <c r="AZ253" s="870"/>
      <c r="BA253" s="870"/>
      <c r="BC253" s="870"/>
      <c r="BE253" s="870"/>
      <c r="BF253" s="870"/>
      <c r="BG253" s="870"/>
    </row>
    <row r="254" spans="18:59" x14ac:dyDescent="0.25">
      <c r="R254" s="870"/>
      <c r="S254" s="870"/>
      <c r="W254" s="870"/>
      <c r="X254" s="870"/>
      <c r="AE254" s="870"/>
      <c r="AF254" s="870"/>
      <c r="AV254" s="870"/>
      <c r="AW254" s="870"/>
      <c r="AX254" s="870"/>
      <c r="AY254" s="870"/>
      <c r="AZ254" s="870"/>
      <c r="BA254" s="870"/>
      <c r="BC254" s="870"/>
      <c r="BE254" s="870"/>
      <c r="BF254" s="870"/>
      <c r="BG254" s="870"/>
    </row>
    <row r="255" spans="18:59" x14ac:dyDescent="0.25">
      <c r="R255" s="870"/>
      <c r="S255" s="870"/>
      <c r="W255" s="870"/>
      <c r="X255" s="870"/>
      <c r="AE255" s="870"/>
      <c r="AF255" s="870"/>
      <c r="AV255" s="870"/>
      <c r="AW255" s="870"/>
      <c r="AX255" s="870"/>
      <c r="AY255" s="870"/>
      <c r="AZ255" s="870"/>
      <c r="BA255" s="870"/>
      <c r="BC255" s="870"/>
      <c r="BE255" s="870"/>
      <c r="BF255" s="870"/>
      <c r="BG255" s="870"/>
    </row>
    <row r="256" spans="18:59" x14ac:dyDescent="0.25">
      <c r="R256" s="870"/>
      <c r="S256" s="870"/>
      <c r="W256" s="870"/>
      <c r="X256" s="870"/>
      <c r="AE256" s="870"/>
      <c r="AF256" s="870"/>
      <c r="AV256" s="870"/>
      <c r="AW256" s="870"/>
      <c r="AX256" s="870"/>
      <c r="AY256" s="870"/>
      <c r="AZ256" s="870"/>
      <c r="BA256" s="870"/>
      <c r="BC256" s="870"/>
      <c r="BE256" s="870"/>
      <c r="BF256" s="870"/>
      <c r="BG256" s="870"/>
    </row>
    <row r="257" spans="18:59" x14ac:dyDescent="0.25">
      <c r="R257" s="870"/>
      <c r="S257" s="870"/>
      <c r="W257" s="870"/>
      <c r="X257" s="870"/>
      <c r="AE257" s="870"/>
      <c r="AF257" s="870"/>
      <c r="AV257" s="870"/>
      <c r="AW257" s="870"/>
      <c r="AX257" s="870"/>
      <c r="AY257" s="870"/>
      <c r="AZ257" s="870"/>
      <c r="BA257" s="870"/>
      <c r="BC257" s="870"/>
      <c r="BE257" s="870"/>
      <c r="BF257" s="870"/>
      <c r="BG257" s="870"/>
    </row>
    <row r="258" spans="18:59" x14ac:dyDescent="0.25">
      <c r="R258" s="870"/>
      <c r="S258" s="870"/>
      <c r="W258" s="870"/>
      <c r="X258" s="870"/>
      <c r="AE258" s="870"/>
      <c r="AF258" s="870"/>
      <c r="AV258" s="870"/>
      <c r="AW258" s="870"/>
      <c r="AX258" s="870"/>
      <c r="AY258" s="870"/>
      <c r="AZ258" s="870"/>
      <c r="BA258" s="870"/>
      <c r="BC258" s="870"/>
      <c r="BE258" s="870"/>
      <c r="BF258" s="870"/>
      <c r="BG258" s="870"/>
    </row>
    <row r="259" spans="18:59" x14ac:dyDescent="0.25">
      <c r="R259" s="870"/>
      <c r="S259" s="870"/>
      <c r="W259" s="870"/>
      <c r="X259" s="870"/>
      <c r="AE259" s="870"/>
      <c r="AF259" s="870"/>
      <c r="AV259" s="870"/>
      <c r="AW259" s="870"/>
      <c r="AX259" s="870"/>
      <c r="AY259" s="870"/>
      <c r="AZ259" s="870"/>
      <c r="BA259" s="870"/>
      <c r="BC259" s="870"/>
      <c r="BE259" s="870"/>
      <c r="BF259" s="870"/>
      <c r="BG259" s="870"/>
    </row>
    <row r="260" spans="18:59" x14ac:dyDescent="0.25">
      <c r="R260" s="870"/>
      <c r="S260" s="870"/>
      <c r="W260" s="870"/>
      <c r="X260" s="870"/>
      <c r="AE260" s="870"/>
      <c r="AF260" s="870"/>
      <c r="AV260" s="870"/>
      <c r="AW260" s="870"/>
      <c r="AX260" s="870"/>
      <c r="AY260" s="870"/>
      <c r="AZ260" s="870"/>
      <c r="BA260" s="870"/>
      <c r="BC260" s="870"/>
      <c r="BE260" s="870"/>
      <c r="BF260" s="870"/>
      <c r="BG260" s="870"/>
    </row>
    <row r="261" spans="18:59" x14ac:dyDescent="0.25">
      <c r="R261" s="870"/>
      <c r="S261" s="870"/>
      <c r="W261" s="870"/>
      <c r="X261" s="870"/>
      <c r="AE261" s="870"/>
      <c r="AF261" s="870"/>
      <c r="AV261" s="870"/>
      <c r="AW261" s="870"/>
      <c r="AX261" s="870"/>
      <c r="AY261" s="870"/>
      <c r="AZ261" s="870"/>
      <c r="BA261" s="870"/>
      <c r="BC261" s="870"/>
      <c r="BE261" s="870"/>
      <c r="BF261" s="870"/>
      <c r="BG261" s="870"/>
    </row>
    <row r="262" spans="18:59" x14ac:dyDescent="0.25">
      <c r="R262" s="870"/>
      <c r="S262" s="870"/>
      <c r="W262" s="870"/>
      <c r="X262" s="870"/>
      <c r="AE262" s="870"/>
      <c r="AF262" s="870"/>
      <c r="AV262" s="870"/>
      <c r="AW262" s="870"/>
      <c r="AX262" s="870"/>
      <c r="AY262" s="870"/>
      <c r="AZ262" s="870"/>
      <c r="BA262" s="870"/>
      <c r="BC262" s="870"/>
      <c r="BE262" s="870"/>
      <c r="BF262" s="870"/>
      <c r="BG262" s="870"/>
    </row>
    <row r="263" spans="18:59" x14ac:dyDescent="0.25">
      <c r="R263" s="870"/>
      <c r="S263" s="870"/>
      <c r="W263" s="870"/>
      <c r="X263" s="870"/>
      <c r="AE263" s="870"/>
      <c r="AF263" s="870"/>
      <c r="AV263" s="870"/>
      <c r="AW263" s="870"/>
      <c r="AX263" s="870"/>
      <c r="AY263" s="870"/>
      <c r="AZ263" s="870"/>
      <c r="BA263" s="870"/>
      <c r="BC263" s="870"/>
      <c r="BE263" s="870"/>
      <c r="BF263" s="870"/>
      <c r="BG263" s="870"/>
    </row>
    <row r="264" spans="18:59" x14ac:dyDescent="0.25">
      <c r="R264" s="870"/>
      <c r="S264" s="870"/>
      <c r="W264" s="870"/>
      <c r="X264" s="870"/>
      <c r="AE264" s="870"/>
      <c r="AF264" s="870"/>
      <c r="AV264" s="870"/>
      <c r="AW264" s="870"/>
      <c r="AX264" s="870"/>
      <c r="AY264" s="870"/>
      <c r="AZ264" s="870"/>
      <c r="BA264" s="870"/>
      <c r="BC264" s="870"/>
      <c r="BE264" s="870"/>
      <c r="BF264" s="870"/>
      <c r="BG264" s="870"/>
    </row>
    <row r="265" spans="18:59" x14ac:dyDescent="0.25">
      <c r="R265" s="870"/>
      <c r="S265" s="870"/>
      <c r="W265" s="870"/>
      <c r="X265" s="870"/>
      <c r="AE265" s="870"/>
      <c r="AF265" s="870"/>
      <c r="AV265" s="870"/>
      <c r="AW265" s="870"/>
      <c r="AX265" s="870"/>
      <c r="AY265" s="870"/>
      <c r="AZ265" s="870"/>
      <c r="BA265" s="870"/>
      <c r="BC265" s="870"/>
      <c r="BE265" s="870"/>
      <c r="BF265" s="870"/>
      <c r="BG265" s="870"/>
    </row>
    <row r="266" spans="18:59" x14ac:dyDescent="0.25">
      <c r="R266" s="870"/>
      <c r="S266" s="870"/>
      <c r="W266" s="870"/>
      <c r="X266" s="870"/>
      <c r="AE266" s="870"/>
      <c r="AF266" s="870"/>
      <c r="AV266" s="870"/>
      <c r="AW266" s="870"/>
      <c r="AX266" s="870"/>
      <c r="AY266" s="870"/>
      <c r="AZ266" s="870"/>
      <c r="BA266" s="870"/>
      <c r="BC266" s="870"/>
      <c r="BE266" s="870"/>
      <c r="BF266" s="870"/>
      <c r="BG266" s="870"/>
    </row>
    <row r="267" spans="18:59" x14ac:dyDescent="0.25">
      <c r="R267" s="870"/>
      <c r="S267" s="870"/>
      <c r="W267" s="870"/>
      <c r="X267" s="870"/>
      <c r="AE267" s="870"/>
      <c r="AF267" s="870"/>
      <c r="AV267" s="870"/>
      <c r="AW267" s="870"/>
      <c r="AX267" s="870"/>
      <c r="AY267" s="870"/>
      <c r="AZ267" s="870"/>
      <c r="BA267" s="870"/>
      <c r="BC267" s="870"/>
      <c r="BE267" s="870"/>
      <c r="BF267" s="870"/>
      <c r="BG267" s="870"/>
    </row>
    <row r="268" spans="18:59" x14ac:dyDescent="0.25">
      <c r="R268" s="870"/>
      <c r="S268" s="870"/>
      <c r="W268" s="870"/>
      <c r="X268" s="870"/>
      <c r="AE268" s="870"/>
      <c r="AF268" s="870"/>
      <c r="AV268" s="870"/>
      <c r="AW268" s="870"/>
      <c r="AX268" s="870"/>
      <c r="AY268" s="870"/>
      <c r="AZ268" s="870"/>
      <c r="BA268" s="870"/>
      <c r="BC268" s="870"/>
      <c r="BE268" s="870"/>
      <c r="BF268" s="870"/>
      <c r="BG268" s="870"/>
    </row>
    <row r="269" spans="18:59" x14ac:dyDescent="0.25">
      <c r="R269" s="870"/>
      <c r="S269" s="870"/>
      <c r="W269" s="870"/>
      <c r="X269" s="870"/>
      <c r="AE269" s="870"/>
      <c r="AF269" s="870"/>
      <c r="AV269" s="870"/>
      <c r="AW269" s="870"/>
      <c r="AX269" s="870"/>
      <c r="AY269" s="870"/>
      <c r="AZ269" s="870"/>
      <c r="BA269" s="870"/>
      <c r="BC269" s="870"/>
      <c r="BE269" s="870"/>
      <c r="BF269" s="870"/>
      <c r="BG269" s="870"/>
    </row>
    <row r="270" spans="18:59" x14ac:dyDescent="0.25">
      <c r="R270" s="870"/>
      <c r="S270" s="870"/>
      <c r="W270" s="870"/>
      <c r="X270" s="870"/>
      <c r="AE270" s="870"/>
      <c r="AF270" s="870"/>
      <c r="AV270" s="870"/>
      <c r="AW270" s="870"/>
      <c r="AX270" s="870"/>
      <c r="AY270" s="870"/>
      <c r="AZ270" s="870"/>
      <c r="BA270" s="870"/>
      <c r="BC270" s="870"/>
      <c r="BE270" s="870"/>
      <c r="BF270" s="870"/>
      <c r="BG270" s="870"/>
    </row>
    <row r="271" spans="18:59" x14ac:dyDescent="0.25">
      <c r="R271" s="870"/>
      <c r="S271" s="870"/>
      <c r="W271" s="870"/>
      <c r="X271" s="870"/>
      <c r="AE271" s="870"/>
      <c r="AF271" s="870"/>
      <c r="AV271" s="870"/>
      <c r="AW271" s="870"/>
      <c r="AX271" s="870"/>
      <c r="AY271" s="870"/>
      <c r="AZ271" s="870"/>
      <c r="BA271" s="870"/>
      <c r="BC271" s="870"/>
      <c r="BE271" s="870"/>
      <c r="BF271" s="870"/>
      <c r="BG271" s="870"/>
    </row>
    <row r="272" spans="18:59" x14ac:dyDescent="0.25">
      <c r="R272" s="870"/>
      <c r="S272" s="870"/>
      <c r="W272" s="870"/>
      <c r="X272" s="870"/>
      <c r="AE272" s="870"/>
      <c r="AF272" s="870"/>
      <c r="AV272" s="870"/>
      <c r="AW272" s="870"/>
      <c r="AX272" s="870"/>
      <c r="AY272" s="870"/>
      <c r="AZ272" s="870"/>
      <c r="BA272" s="870"/>
      <c r="BC272" s="870"/>
      <c r="BE272" s="870"/>
      <c r="BF272" s="870"/>
      <c r="BG272" s="870"/>
    </row>
    <row r="273" spans="18:59" x14ac:dyDescent="0.25">
      <c r="R273" s="870"/>
      <c r="S273" s="870"/>
      <c r="W273" s="870"/>
      <c r="X273" s="870"/>
      <c r="AE273" s="870"/>
      <c r="AF273" s="870"/>
      <c r="AV273" s="870"/>
      <c r="AW273" s="870"/>
      <c r="AX273" s="870"/>
      <c r="AY273" s="870"/>
      <c r="AZ273" s="870"/>
      <c r="BA273" s="870"/>
      <c r="BC273" s="870"/>
      <c r="BE273" s="870"/>
      <c r="BF273" s="870"/>
      <c r="BG273" s="870"/>
    </row>
    <row r="274" spans="18:59" x14ac:dyDescent="0.25">
      <c r="R274" s="870"/>
      <c r="S274" s="870"/>
      <c r="W274" s="870"/>
      <c r="X274" s="870"/>
      <c r="AE274" s="870"/>
      <c r="AF274" s="870"/>
      <c r="AV274" s="870"/>
      <c r="AW274" s="870"/>
      <c r="AX274" s="870"/>
      <c r="AY274" s="870"/>
      <c r="AZ274" s="870"/>
      <c r="BA274" s="870"/>
      <c r="BC274" s="870"/>
      <c r="BE274" s="870"/>
      <c r="BF274" s="870"/>
      <c r="BG274" s="870"/>
    </row>
    <row r="275" spans="18:59" x14ac:dyDescent="0.25">
      <c r="R275" s="870"/>
      <c r="S275" s="870"/>
      <c r="W275" s="870"/>
      <c r="X275" s="870"/>
      <c r="AE275" s="870"/>
      <c r="AF275" s="870"/>
      <c r="AV275" s="870"/>
      <c r="AW275" s="870"/>
      <c r="AX275" s="870"/>
      <c r="AY275" s="870"/>
      <c r="AZ275" s="870"/>
      <c r="BA275" s="870"/>
      <c r="BC275" s="870"/>
      <c r="BE275" s="870"/>
      <c r="BF275" s="870"/>
      <c r="BG275" s="870"/>
    </row>
    <row r="276" spans="18:59" x14ac:dyDescent="0.25">
      <c r="R276" s="870"/>
      <c r="S276" s="870"/>
      <c r="W276" s="870"/>
      <c r="X276" s="870"/>
      <c r="AE276" s="870"/>
      <c r="AF276" s="870"/>
      <c r="AV276" s="870"/>
      <c r="AW276" s="870"/>
      <c r="AX276" s="870"/>
      <c r="AY276" s="870"/>
      <c r="AZ276" s="870"/>
      <c r="BA276" s="870"/>
      <c r="BC276" s="870"/>
      <c r="BE276" s="870"/>
      <c r="BF276" s="870"/>
      <c r="BG276" s="870"/>
    </row>
    <row r="277" spans="18:59" x14ac:dyDescent="0.25">
      <c r="R277" s="870"/>
      <c r="S277" s="870"/>
      <c r="W277" s="870"/>
      <c r="X277" s="870"/>
      <c r="AE277" s="870"/>
      <c r="AF277" s="870"/>
      <c r="AV277" s="870"/>
      <c r="AW277" s="870"/>
      <c r="AX277" s="870"/>
      <c r="AY277" s="870"/>
      <c r="AZ277" s="870"/>
      <c r="BA277" s="870"/>
      <c r="BC277" s="870"/>
      <c r="BE277" s="870"/>
      <c r="BF277" s="870"/>
      <c r="BG277" s="870"/>
    </row>
    <row r="278" spans="18:59" x14ac:dyDescent="0.25">
      <c r="R278" s="870"/>
      <c r="S278" s="870"/>
      <c r="W278" s="870"/>
      <c r="X278" s="870"/>
      <c r="AE278" s="870"/>
      <c r="AF278" s="870"/>
      <c r="AV278" s="870"/>
      <c r="AW278" s="870"/>
      <c r="AX278" s="870"/>
      <c r="AY278" s="870"/>
      <c r="AZ278" s="870"/>
      <c r="BA278" s="870"/>
      <c r="BC278" s="870"/>
      <c r="BE278" s="870"/>
      <c r="BF278" s="870"/>
      <c r="BG278" s="870"/>
    </row>
    <row r="279" spans="18:59" x14ac:dyDescent="0.25">
      <c r="R279" s="870"/>
      <c r="S279" s="870"/>
      <c r="W279" s="870"/>
      <c r="X279" s="870"/>
      <c r="AE279" s="870"/>
      <c r="AF279" s="870"/>
      <c r="AV279" s="870"/>
      <c r="AW279" s="870"/>
      <c r="AX279" s="870"/>
      <c r="AY279" s="870"/>
      <c r="AZ279" s="870"/>
      <c r="BA279" s="870"/>
      <c r="BC279" s="870"/>
      <c r="BE279" s="870"/>
      <c r="BF279" s="870"/>
      <c r="BG279" s="870"/>
    </row>
    <row r="280" spans="18:59" x14ac:dyDescent="0.25">
      <c r="R280" s="870"/>
      <c r="S280" s="870"/>
      <c r="W280" s="870"/>
      <c r="X280" s="870"/>
      <c r="AE280" s="870"/>
      <c r="AF280" s="870"/>
      <c r="AV280" s="870"/>
      <c r="AW280" s="870"/>
      <c r="AX280" s="870"/>
      <c r="AY280" s="870"/>
      <c r="AZ280" s="870"/>
      <c r="BA280" s="870"/>
      <c r="BC280" s="870"/>
      <c r="BE280" s="870"/>
      <c r="BF280" s="870"/>
      <c r="BG280" s="870"/>
    </row>
    <row r="281" spans="18:59" x14ac:dyDescent="0.25">
      <c r="R281" s="870"/>
      <c r="S281" s="870"/>
      <c r="W281" s="870"/>
      <c r="X281" s="870"/>
      <c r="AE281" s="870"/>
      <c r="AF281" s="870"/>
      <c r="AV281" s="870"/>
      <c r="AW281" s="870"/>
      <c r="AX281" s="870"/>
      <c r="AY281" s="870"/>
      <c r="AZ281" s="870"/>
      <c r="BA281" s="870"/>
      <c r="BC281" s="870"/>
      <c r="BE281" s="870"/>
      <c r="BF281" s="870"/>
      <c r="BG281" s="870"/>
    </row>
    <row r="282" spans="18:59" x14ac:dyDescent="0.25">
      <c r="R282" s="870"/>
      <c r="S282" s="870"/>
      <c r="W282" s="870"/>
      <c r="X282" s="870"/>
      <c r="AE282" s="870"/>
      <c r="AF282" s="870"/>
      <c r="AV282" s="870"/>
      <c r="AW282" s="870"/>
      <c r="AX282" s="870"/>
      <c r="AY282" s="870"/>
      <c r="AZ282" s="870"/>
      <c r="BA282" s="870"/>
      <c r="BC282" s="870"/>
      <c r="BE282" s="870"/>
      <c r="BF282" s="870"/>
      <c r="BG282" s="870"/>
    </row>
    <row r="283" spans="18:59" x14ac:dyDescent="0.25">
      <c r="R283" s="870"/>
      <c r="S283" s="870"/>
      <c r="W283" s="870"/>
      <c r="X283" s="870"/>
      <c r="AE283" s="870"/>
      <c r="AF283" s="870"/>
      <c r="AV283" s="870"/>
      <c r="AW283" s="870"/>
      <c r="AX283" s="870"/>
      <c r="AY283" s="870"/>
      <c r="AZ283" s="870"/>
      <c r="BA283" s="870"/>
      <c r="BC283" s="870"/>
      <c r="BE283" s="870"/>
      <c r="BF283" s="870"/>
      <c r="BG283" s="870"/>
    </row>
    <row r="284" spans="18:59" x14ac:dyDescent="0.25">
      <c r="R284" s="870"/>
      <c r="S284" s="870"/>
      <c r="W284" s="870"/>
      <c r="X284" s="870"/>
      <c r="AE284" s="870"/>
      <c r="AF284" s="870"/>
      <c r="AV284" s="870"/>
      <c r="AW284" s="870"/>
      <c r="AX284" s="870"/>
      <c r="AY284" s="870"/>
      <c r="AZ284" s="870"/>
      <c r="BA284" s="870"/>
      <c r="BC284" s="870"/>
      <c r="BE284" s="870"/>
      <c r="BF284" s="870"/>
      <c r="BG284" s="870"/>
    </row>
    <row r="285" spans="18:59" x14ac:dyDescent="0.25">
      <c r="R285" s="870"/>
      <c r="S285" s="870"/>
      <c r="W285" s="870"/>
      <c r="X285" s="870"/>
      <c r="AE285" s="870"/>
      <c r="AF285" s="870"/>
      <c r="AV285" s="870"/>
      <c r="AW285" s="870"/>
      <c r="AX285" s="870"/>
      <c r="AY285" s="870"/>
      <c r="AZ285" s="870"/>
      <c r="BA285" s="870"/>
      <c r="BC285" s="870"/>
      <c r="BE285" s="870"/>
      <c r="BF285" s="870"/>
      <c r="BG285" s="870"/>
    </row>
    <row r="286" spans="18:59" x14ac:dyDescent="0.25">
      <c r="R286" s="870"/>
      <c r="S286" s="870"/>
      <c r="W286" s="870"/>
      <c r="X286" s="870"/>
      <c r="AE286" s="870"/>
      <c r="AF286" s="870"/>
      <c r="AV286" s="870"/>
      <c r="AW286" s="870"/>
      <c r="AX286" s="870"/>
      <c r="AY286" s="870"/>
      <c r="AZ286" s="870"/>
      <c r="BA286" s="870"/>
      <c r="BC286" s="870"/>
      <c r="BE286" s="870"/>
      <c r="BF286" s="870"/>
      <c r="BG286" s="870"/>
    </row>
    <row r="287" spans="18:59" x14ac:dyDescent="0.25">
      <c r="R287" s="870"/>
      <c r="S287" s="870"/>
      <c r="W287" s="870"/>
      <c r="X287" s="870"/>
      <c r="AE287" s="870"/>
      <c r="AF287" s="870"/>
      <c r="AV287" s="870"/>
      <c r="AW287" s="870"/>
      <c r="AX287" s="870"/>
      <c r="AY287" s="870"/>
      <c r="AZ287" s="870"/>
      <c r="BA287" s="870"/>
      <c r="BC287" s="870"/>
      <c r="BE287" s="870"/>
      <c r="BF287" s="870"/>
      <c r="BG287" s="870"/>
    </row>
    <row r="288" spans="18:59" x14ac:dyDescent="0.25">
      <c r="R288" s="870"/>
      <c r="S288" s="870"/>
      <c r="W288" s="870"/>
      <c r="X288" s="870"/>
      <c r="AE288" s="870"/>
      <c r="AF288" s="870"/>
      <c r="AV288" s="870"/>
      <c r="AW288" s="870"/>
      <c r="AX288" s="870"/>
      <c r="AY288" s="870"/>
      <c r="AZ288" s="870"/>
      <c r="BA288" s="870"/>
      <c r="BC288" s="870"/>
      <c r="BE288" s="870"/>
      <c r="BF288" s="870"/>
      <c r="BG288" s="870"/>
    </row>
    <row r="289" spans="18:59" x14ac:dyDescent="0.25">
      <c r="R289" s="870"/>
      <c r="S289" s="870"/>
      <c r="W289" s="870"/>
      <c r="X289" s="870"/>
      <c r="AE289" s="870"/>
      <c r="AF289" s="870"/>
      <c r="AV289" s="870"/>
      <c r="AW289" s="870"/>
      <c r="AX289" s="870"/>
      <c r="AY289" s="870"/>
      <c r="AZ289" s="870"/>
      <c r="BA289" s="870"/>
      <c r="BC289" s="870"/>
      <c r="BE289" s="870"/>
      <c r="BF289" s="870"/>
      <c r="BG289" s="870"/>
    </row>
    <row r="290" spans="18:59" x14ac:dyDescent="0.25">
      <c r="R290" s="870"/>
      <c r="S290" s="870"/>
      <c r="W290" s="870"/>
      <c r="X290" s="870"/>
      <c r="AE290" s="870"/>
      <c r="AF290" s="870"/>
      <c r="AV290" s="870"/>
      <c r="AW290" s="870"/>
      <c r="AX290" s="870"/>
      <c r="AY290" s="870"/>
      <c r="AZ290" s="870"/>
      <c r="BA290" s="870"/>
      <c r="BC290" s="870"/>
      <c r="BE290" s="870"/>
      <c r="BF290" s="870"/>
      <c r="BG290" s="870"/>
    </row>
    <row r="291" spans="18:59" x14ac:dyDescent="0.25">
      <c r="R291" s="870"/>
      <c r="S291" s="870"/>
      <c r="W291" s="870"/>
      <c r="X291" s="870"/>
      <c r="AE291" s="870"/>
      <c r="AF291" s="870"/>
      <c r="AV291" s="870"/>
      <c r="AW291" s="870"/>
      <c r="AX291" s="870"/>
      <c r="AY291" s="870"/>
      <c r="AZ291" s="870"/>
      <c r="BA291" s="870"/>
      <c r="BC291" s="870"/>
      <c r="BE291" s="870"/>
      <c r="BF291" s="870"/>
      <c r="BG291" s="870"/>
    </row>
    <row r="292" spans="18:59" x14ac:dyDescent="0.25">
      <c r="R292" s="870"/>
      <c r="S292" s="870"/>
      <c r="W292" s="870"/>
      <c r="X292" s="870"/>
      <c r="AE292" s="870"/>
      <c r="AF292" s="870"/>
      <c r="AV292" s="870"/>
      <c r="AW292" s="870"/>
      <c r="AX292" s="870"/>
      <c r="AY292" s="870"/>
      <c r="AZ292" s="870"/>
      <c r="BA292" s="870"/>
      <c r="BC292" s="870"/>
      <c r="BE292" s="870"/>
      <c r="BF292" s="870"/>
      <c r="BG292" s="870"/>
    </row>
    <row r="293" spans="18:59" x14ac:dyDescent="0.25">
      <c r="R293" s="870"/>
      <c r="S293" s="870"/>
      <c r="W293" s="870"/>
      <c r="X293" s="870"/>
      <c r="AE293" s="870"/>
      <c r="AF293" s="870"/>
      <c r="AV293" s="870"/>
      <c r="AW293" s="870"/>
      <c r="AX293" s="870"/>
      <c r="AY293" s="870"/>
      <c r="AZ293" s="870"/>
      <c r="BA293" s="870"/>
      <c r="BC293" s="870"/>
      <c r="BE293" s="870"/>
      <c r="BF293" s="870"/>
      <c r="BG293" s="870"/>
    </row>
    <row r="294" spans="18:59" x14ac:dyDescent="0.25">
      <c r="R294" s="870"/>
      <c r="S294" s="870"/>
      <c r="W294" s="870"/>
      <c r="X294" s="870"/>
      <c r="AE294" s="870"/>
      <c r="AF294" s="870"/>
      <c r="AV294" s="870"/>
      <c r="AW294" s="870"/>
      <c r="AX294" s="870"/>
      <c r="AY294" s="870"/>
      <c r="AZ294" s="870"/>
      <c r="BA294" s="870"/>
      <c r="BC294" s="870"/>
      <c r="BE294" s="870"/>
      <c r="BF294" s="870"/>
      <c r="BG294" s="870"/>
    </row>
    <row r="295" spans="18:59" x14ac:dyDescent="0.25">
      <c r="R295" s="870"/>
      <c r="S295" s="870"/>
      <c r="W295" s="870"/>
      <c r="X295" s="870"/>
      <c r="AE295" s="870"/>
      <c r="AF295" s="870"/>
      <c r="AV295" s="870"/>
      <c r="AW295" s="870"/>
      <c r="AX295" s="870"/>
      <c r="AY295" s="870"/>
      <c r="AZ295" s="870"/>
      <c r="BA295" s="870"/>
      <c r="BC295" s="870"/>
      <c r="BE295" s="870"/>
      <c r="BF295" s="870"/>
      <c r="BG295" s="870"/>
    </row>
    <row r="296" spans="18:59" x14ac:dyDescent="0.25">
      <c r="R296" s="870"/>
      <c r="S296" s="870"/>
      <c r="W296" s="870"/>
      <c r="X296" s="870"/>
      <c r="AE296" s="870"/>
      <c r="AF296" s="870"/>
      <c r="AV296" s="870"/>
      <c r="AW296" s="870"/>
      <c r="AX296" s="870"/>
      <c r="AY296" s="870"/>
      <c r="AZ296" s="870"/>
      <c r="BA296" s="870"/>
      <c r="BC296" s="870"/>
      <c r="BE296" s="870"/>
      <c r="BF296" s="870"/>
      <c r="BG296" s="870"/>
    </row>
    <row r="297" spans="18:59" x14ac:dyDescent="0.25">
      <c r="R297" s="870"/>
      <c r="S297" s="870"/>
      <c r="W297" s="870"/>
      <c r="X297" s="870"/>
      <c r="AE297" s="870"/>
      <c r="AF297" s="870"/>
      <c r="AV297" s="870"/>
      <c r="AW297" s="870"/>
      <c r="AX297" s="870"/>
      <c r="AY297" s="870"/>
      <c r="AZ297" s="870"/>
      <c r="BA297" s="870"/>
      <c r="BC297" s="870"/>
      <c r="BE297" s="870"/>
      <c r="BF297" s="870"/>
      <c r="BG297" s="870"/>
    </row>
    <row r="298" spans="18:59" x14ac:dyDescent="0.25">
      <c r="R298" s="870"/>
      <c r="S298" s="870"/>
      <c r="W298" s="870"/>
      <c r="X298" s="870"/>
      <c r="AE298" s="870"/>
      <c r="AF298" s="870"/>
      <c r="AV298" s="870"/>
      <c r="AW298" s="870"/>
      <c r="AX298" s="870"/>
      <c r="AY298" s="870"/>
      <c r="AZ298" s="870"/>
      <c r="BA298" s="870"/>
      <c r="BC298" s="870"/>
      <c r="BE298" s="870"/>
      <c r="BF298" s="870"/>
      <c r="BG298" s="870"/>
    </row>
    <row r="299" spans="18:59" x14ac:dyDescent="0.25">
      <c r="R299" s="870"/>
      <c r="S299" s="870"/>
      <c r="W299" s="870"/>
      <c r="X299" s="870"/>
      <c r="AE299" s="870"/>
      <c r="AF299" s="870"/>
      <c r="AV299" s="870"/>
      <c r="AW299" s="870"/>
      <c r="AX299" s="870"/>
      <c r="AY299" s="870"/>
      <c r="AZ299" s="870"/>
      <c r="BA299" s="870"/>
      <c r="BC299" s="870"/>
      <c r="BE299" s="870"/>
      <c r="BF299" s="870"/>
      <c r="BG299" s="870"/>
    </row>
    <row r="300" spans="18:59" x14ac:dyDescent="0.25">
      <c r="R300" s="870"/>
      <c r="S300" s="870"/>
      <c r="W300" s="870"/>
      <c r="X300" s="870"/>
      <c r="AE300" s="870"/>
      <c r="AF300" s="870"/>
      <c r="AV300" s="870"/>
      <c r="AW300" s="870"/>
      <c r="AX300" s="870"/>
      <c r="AY300" s="870"/>
      <c r="AZ300" s="870"/>
      <c r="BA300" s="870"/>
      <c r="BC300" s="870"/>
      <c r="BE300" s="870"/>
      <c r="BF300" s="870"/>
      <c r="BG300" s="870"/>
    </row>
    <row r="301" spans="18:59" x14ac:dyDescent="0.25">
      <c r="R301" s="870"/>
      <c r="S301" s="870"/>
      <c r="W301" s="870"/>
      <c r="X301" s="870"/>
      <c r="AE301" s="870"/>
      <c r="AF301" s="870"/>
      <c r="AV301" s="870"/>
      <c r="AW301" s="870"/>
      <c r="AX301" s="870"/>
      <c r="AY301" s="870"/>
      <c r="AZ301" s="870"/>
      <c r="BA301" s="870"/>
      <c r="BC301" s="870"/>
      <c r="BE301" s="870"/>
      <c r="BF301" s="870"/>
      <c r="BG301" s="870"/>
    </row>
    <row r="302" spans="18:59" x14ac:dyDescent="0.25">
      <c r="R302" s="870"/>
      <c r="S302" s="870"/>
      <c r="W302" s="870"/>
      <c r="X302" s="870"/>
      <c r="AE302" s="870"/>
      <c r="AF302" s="870"/>
      <c r="AV302" s="870"/>
      <c r="AW302" s="870"/>
      <c r="AX302" s="870"/>
      <c r="AY302" s="870"/>
      <c r="AZ302" s="870"/>
      <c r="BA302" s="870"/>
      <c r="BC302" s="870"/>
      <c r="BE302" s="870"/>
      <c r="BF302" s="870"/>
      <c r="BG302" s="870"/>
    </row>
    <row r="303" spans="18:59" x14ac:dyDescent="0.25">
      <c r="R303" s="870"/>
      <c r="S303" s="870"/>
      <c r="W303" s="870"/>
      <c r="X303" s="870"/>
      <c r="AE303" s="870"/>
      <c r="AF303" s="870"/>
      <c r="AV303" s="870"/>
      <c r="AW303" s="870"/>
      <c r="AX303" s="870"/>
      <c r="AY303" s="870"/>
      <c r="AZ303" s="870"/>
      <c r="BA303" s="870"/>
      <c r="BC303" s="870"/>
      <c r="BE303" s="870"/>
      <c r="BF303" s="870"/>
      <c r="BG303" s="870"/>
    </row>
    <row r="304" spans="18:59" x14ac:dyDescent="0.25">
      <c r="R304" s="870"/>
      <c r="S304" s="870"/>
      <c r="W304" s="870"/>
      <c r="X304" s="870"/>
      <c r="AE304" s="870"/>
      <c r="AF304" s="870"/>
      <c r="AV304" s="870"/>
      <c r="AW304" s="870"/>
      <c r="AX304" s="870"/>
      <c r="AY304" s="870"/>
      <c r="AZ304" s="870"/>
      <c r="BA304" s="870"/>
      <c r="BC304" s="870"/>
      <c r="BE304" s="870"/>
      <c r="BF304" s="870"/>
      <c r="BG304" s="870"/>
    </row>
    <row r="305" spans="18:59" x14ac:dyDescent="0.25">
      <c r="R305" s="870"/>
      <c r="S305" s="870"/>
      <c r="W305" s="870"/>
      <c r="X305" s="870"/>
      <c r="AE305" s="870"/>
      <c r="AF305" s="870"/>
      <c r="AV305" s="870"/>
      <c r="AW305" s="870"/>
      <c r="AX305" s="870"/>
      <c r="AY305" s="870"/>
      <c r="AZ305" s="870"/>
      <c r="BA305" s="870"/>
      <c r="BC305" s="870"/>
      <c r="BE305" s="870"/>
      <c r="BF305" s="870"/>
      <c r="BG305" s="870"/>
    </row>
    <row r="306" spans="18:59" x14ac:dyDescent="0.25">
      <c r="R306" s="870"/>
      <c r="S306" s="870"/>
      <c r="W306" s="870"/>
      <c r="X306" s="870"/>
      <c r="AE306" s="870"/>
      <c r="AF306" s="870"/>
      <c r="AV306" s="870"/>
      <c r="AW306" s="870"/>
      <c r="AX306" s="870"/>
      <c r="AY306" s="870"/>
      <c r="AZ306" s="870"/>
      <c r="BA306" s="870"/>
      <c r="BC306" s="870"/>
      <c r="BE306" s="870"/>
      <c r="BF306" s="870"/>
      <c r="BG306" s="870"/>
    </row>
    <row r="307" spans="18:59" x14ac:dyDescent="0.25">
      <c r="R307" s="870"/>
      <c r="S307" s="870"/>
      <c r="W307" s="870"/>
      <c r="X307" s="870"/>
      <c r="AE307" s="870"/>
      <c r="AF307" s="870"/>
      <c r="AV307" s="870"/>
      <c r="AW307" s="870"/>
      <c r="AX307" s="870"/>
      <c r="AY307" s="870"/>
      <c r="AZ307" s="870"/>
      <c r="BA307" s="870"/>
      <c r="BC307" s="870"/>
      <c r="BE307" s="870"/>
      <c r="BF307" s="870"/>
      <c r="BG307" s="870"/>
    </row>
    <row r="308" spans="18:59" x14ac:dyDescent="0.25">
      <c r="R308" s="870"/>
      <c r="S308" s="870"/>
      <c r="W308" s="870"/>
      <c r="X308" s="870"/>
      <c r="AE308" s="870"/>
      <c r="AF308" s="870"/>
      <c r="AV308" s="870"/>
      <c r="AW308" s="870"/>
      <c r="AX308" s="870"/>
      <c r="AY308" s="870"/>
      <c r="AZ308" s="870"/>
      <c r="BA308" s="870"/>
      <c r="BC308" s="870"/>
      <c r="BE308" s="870"/>
      <c r="BF308" s="870"/>
      <c r="BG308" s="870"/>
    </row>
    <row r="309" spans="18:59" x14ac:dyDescent="0.25">
      <c r="R309" s="870"/>
      <c r="S309" s="870"/>
      <c r="W309" s="870"/>
      <c r="X309" s="870"/>
      <c r="AE309" s="870"/>
      <c r="AF309" s="870"/>
      <c r="AV309" s="870"/>
      <c r="AW309" s="870"/>
      <c r="AX309" s="870"/>
      <c r="AY309" s="870"/>
      <c r="AZ309" s="870"/>
      <c r="BA309" s="870"/>
      <c r="BC309" s="870"/>
      <c r="BE309" s="870"/>
      <c r="BF309" s="870"/>
      <c r="BG309" s="870"/>
    </row>
    <row r="310" spans="18:59" x14ac:dyDescent="0.25">
      <c r="R310" s="870"/>
      <c r="S310" s="870"/>
      <c r="W310" s="870"/>
      <c r="X310" s="870"/>
      <c r="AE310" s="870"/>
      <c r="AF310" s="870"/>
      <c r="AV310" s="870"/>
      <c r="AW310" s="870"/>
      <c r="AX310" s="870"/>
      <c r="AY310" s="870"/>
      <c r="AZ310" s="870"/>
      <c r="BA310" s="870"/>
      <c r="BC310" s="870"/>
      <c r="BE310" s="870"/>
      <c r="BF310" s="870"/>
      <c r="BG310" s="870"/>
    </row>
    <row r="311" spans="18:59" x14ac:dyDescent="0.25">
      <c r="R311" s="870"/>
      <c r="S311" s="870"/>
      <c r="W311" s="870"/>
      <c r="X311" s="870"/>
      <c r="AE311" s="870"/>
      <c r="AF311" s="870"/>
      <c r="AV311" s="870"/>
      <c r="AW311" s="870"/>
      <c r="AX311" s="870"/>
      <c r="AY311" s="870"/>
      <c r="AZ311" s="870"/>
      <c r="BA311" s="870"/>
      <c r="BC311" s="870"/>
      <c r="BE311" s="870"/>
      <c r="BF311" s="870"/>
      <c r="BG311" s="870"/>
    </row>
    <row r="312" spans="18:59" x14ac:dyDescent="0.25">
      <c r="R312" s="870"/>
      <c r="S312" s="870"/>
      <c r="W312" s="870"/>
      <c r="X312" s="870"/>
      <c r="AE312" s="870"/>
      <c r="AF312" s="870"/>
      <c r="AV312" s="870"/>
      <c r="AW312" s="870"/>
      <c r="AX312" s="870"/>
      <c r="AY312" s="870"/>
      <c r="AZ312" s="870"/>
      <c r="BA312" s="870"/>
      <c r="BC312" s="870"/>
      <c r="BE312" s="870"/>
      <c r="BF312" s="870"/>
      <c r="BG312" s="870"/>
    </row>
    <row r="313" spans="18:59" x14ac:dyDescent="0.25">
      <c r="R313" s="870"/>
      <c r="S313" s="870"/>
      <c r="W313" s="870"/>
      <c r="X313" s="870"/>
      <c r="AE313" s="870"/>
      <c r="AF313" s="870"/>
      <c r="AV313" s="870"/>
      <c r="AW313" s="870"/>
      <c r="AX313" s="870"/>
      <c r="AY313" s="870"/>
      <c r="AZ313" s="870"/>
      <c r="BA313" s="870"/>
      <c r="BC313" s="870"/>
      <c r="BE313" s="870"/>
      <c r="BF313" s="870"/>
      <c r="BG313" s="870"/>
    </row>
    <row r="314" spans="18:59" x14ac:dyDescent="0.25">
      <c r="R314" s="870"/>
      <c r="S314" s="870"/>
      <c r="W314" s="870"/>
      <c r="X314" s="870"/>
      <c r="AE314" s="870"/>
      <c r="AF314" s="870"/>
      <c r="AV314" s="870"/>
      <c r="AW314" s="870"/>
      <c r="AX314" s="870"/>
      <c r="AY314" s="870"/>
      <c r="AZ314" s="870"/>
      <c r="BA314" s="870"/>
      <c r="BC314" s="870"/>
      <c r="BE314" s="870"/>
      <c r="BF314" s="870"/>
      <c r="BG314" s="870"/>
    </row>
    <row r="315" spans="18:59" x14ac:dyDescent="0.25">
      <c r="R315" s="870"/>
      <c r="S315" s="870"/>
      <c r="W315" s="870"/>
      <c r="X315" s="870"/>
      <c r="AE315" s="870"/>
      <c r="AF315" s="870"/>
      <c r="AV315" s="870"/>
      <c r="AW315" s="870"/>
      <c r="AX315" s="870"/>
      <c r="AY315" s="870"/>
      <c r="AZ315" s="870"/>
      <c r="BA315" s="870"/>
      <c r="BC315" s="870"/>
      <c r="BE315" s="870"/>
      <c r="BF315" s="870"/>
      <c r="BG315" s="870"/>
    </row>
    <row r="316" spans="18:59" x14ac:dyDescent="0.25">
      <c r="R316" s="870"/>
      <c r="S316" s="870"/>
      <c r="W316" s="870"/>
      <c r="X316" s="870"/>
      <c r="AE316" s="870"/>
      <c r="AF316" s="870"/>
      <c r="AV316" s="870"/>
      <c r="AW316" s="870"/>
      <c r="AX316" s="870"/>
      <c r="AY316" s="870"/>
      <c r="AZ316" s="870"/>
      <c r="BA316" s="870"/>
      <c r="BC316" s="870"/>
      <c r="BE316" s="870"/>
      <c r="BF316" s="870"/>
      <c r="BG316" s="870"/>
    </row>
    <row r="317" spans="18:59" x14ac:dyDescent="0.25">
      <c r="R317" s="870"/>
      <c r="S317" s="870"/>
      <c r="W317" s="870"/>
      <c r="X317" s="870"/>
      <c r="AE317" s="870"/>
      <c r="AF317" s="870"/>
      <c r="AV317" s="870"/>
      <c r="AW317" s="870"/>
      <c r="AX317" s="870"/>
      <c r="AY317" s="870"/>
      <c r="AZ317" s="870"/>
      <c r="BA317" s="870"/>
      <c r="BC317" s="870"/>
      <c r="BE317" s="870"/>
      <c r="BF317" s="870"/>
      <c r="BG317" s="870"/>
    </row>
    <row r="318" spans="18:59" x14ac:dyDescent="0.25">
      <c r="R318" s="870"/>
      <c r="S318" s="870"/>
      <c r="W318" s="870"/>
      <c r="X318" s="870"/>
      <c r="AE318" s="870"/>
      <c r="AF318" s="870"/>
      <c r="AV318" s="870"/>
      <c r="AW318" s="870"/>
      <c r="AX318" s="870"/>
      <c r="AY318" s="870"/>
      <c r="AZ318" s="870"/>
      <c r="BA318" s="870"/>
      <c r="BC318" s="870"/>
      <c r="BE318" s="870"/>
      <c r="BF318" s="870"/>
      <c r="BG318" s="870"/>
    </row>
    <row r="319" spans="18:59" x14ac:dyDescent="0.25">
      <c r="R319" s="870"/>
      <c r="S319" s="870"/>
      <c r="W319" s="870"/>
      <c r="X319" s="870"/>
      <c r="AE319" s="870"/>
      <c r="AF319" s="870"/>
      <c r="AV319" s="870"/>
      <c r="AW319" s="870"/>
      <c r="AX319" s="870"/>
      <c r="AY319" s="870"/>
      <c r="AZ319" s="870"/>
      <c r="BA319" s="870"/>
      <c r="BC319" s="870"/>
      <c r="BE319" s="870"/>
      <c r="BF319" s="870"/>
      <c r="BG319" s="870"/>
    </row>
    <row r="320" spans="18:59" x14ac:dyDescent="0.25">
      <c r="R320" s="870"/>
      <c r="S320" s="870"/>
      <c r="W320" s="870"/>
      <c r="X320" s="870"/>
      <c r="AE320" s="870"/>
      <c r="AF320" s="870"/>
      <c r="AV320" s="870"/>
      <c r="AW320" s="870"/>
      <c r="AX320" s="870"/>
      <c r="AY320" s="870"/>
      <c r="AZ320" s="870"/>
      <c r="BA320" s="870"/>
      <c r="BC320" s="870"/>
      <c r="BE320" s="870"/>
      <c r="BF320" s="870"/>
      <c r="BG320" s="870"/>
    </row>
    <row r="321" spans="18:59" x14ac:dyDescent="0.25">
      <c r="R321" s="870"/>
      <c r="S321" s="870"/>
      <c r="W321" s="870"/>
      <c r="X321" s="870"/>
      <c r="AE321" s="870"/>
      <c r="AF321" s="870"/>
      <c r="AV321" s="870"/>
      <c r="AW321" s="870"/>
      <c r="AX321" s="870"/>
      <c r="AY321" s="870"/>
      <c r="AZ321" s="870"/>
      <c r="BA321" s="870"/>
      <c r="BC321" s="870"/>
      <c r="BE321" s="870"/>
      <c r="BF321" s="870"/>
      <c r="BG321" s="870"/>
    </row>
    <row r="322" spans="18:59" x14ac:dyDescent="0.25">
      <c r="R322" s="870"/>
      <c r="S322" s="870"/>
      <c r="W322" s="870"/>
      <c r="X322" s="870"/>
      <c r="AE322" s="870"/>
      <c r="AF322" s="870"/>
      <c r="AV322" s="870"/>
      <c r="AW322" s="870"/>
      <c r="AX322" s="870"/>
      <c r="AY322" s="870"/>
      <c r="AZ322" s="870"/>
      <c r="BA322" s="870"/>
      <c r="BC322" s="870"/>
      <c r="BE322" s="870"/>
      <c r="BF322" s="870"/>
      <c r="BG322" s="870"/>
    </row>
    <row r="323" spans="18:59" x14ac:dyDescent="0.25">
      <c r="R323" s="870"/>
      <c r="S323" s="870"/>
      <c r="W323" s="870"/>
      <c r="X323" s="870"/>
      <c r="AE323" s="870"/>
      <c r="AF323" s="870"/>
      <c r="AV323" s="870"/>
      <c r="AW323" s="870"/>
      <c r="AX323" s="870"/>
      <c r="AY323" s="870"/>
      <c r="AZ323" s="870"/>
      <c r="BA323" s="870"/>
      <c r="BC323" s="870"/>
      <c r="BE323" s="870"/>
      <c r="BF323" s="870"/>
      <c r="BG323" s="870"/>
    </row>
    <row r="324" spans="18:59" x14ac:dyDescent="0.25">
      <c r="R324" s="870"/>
      <c r="S324" s="870"/>
      <c r="W324" s="870"/>
      <c r="X324" s="870"/>
      <c r="AE324" s="870"/>
      <c r="AF324" s="870"/>
      <c r="AV324" s="870"/>
      <c r="AW324" s="870"/>
      <c r="AX324" s="870"/>
      <c r="AY324" s="870"/>
      <c r="AZ324" s="870"/>
      <c r="BA324" s="870"/>
      <c r="BC324" s="870"/>
      <c r="BE324" s="870"/>
      <c r="BF324" s="870"/>
      <c r="BG324" s="870"/>
    </row>
    <row r="325" spans="18:59" x14ac:dyDescent="0.25">
      <c r="R325" s="870"/>
      <c r="S325" s="870"/>
      <c r="W325" s="870"/>
      <c r="X325" s="870"/>
      <c r="AE325" s="870"/>
      <c r="AF325" s="870"/>
      <c r="AV325" s="870"/>
      <c r="AW325" s="870"/>
      <c r="AX325" s="870"/>
      <c r="AY325" s="870"/>
      <c r="AZ325" s="870"/>
      <c r="BA325" s="870"/>
      <c r="BC325" s="870"/>
      <c r="BE325" s="870"/>
      <c r="BF325" s="870"/>
      <c r="BG325" s="870"/>
    </row>
    <row r="326" spans="18:59" x14ac:dyDescent="0.25">
      <c r="R326" s="870"/>
      <c r="S326" s="870"/>
      <c r="W326" s="870"/>
      <c r="X326" s="870"/>
      <c r="AE326" s="870"/>
      <c r="AF326" s="870"/>
      <c r="AV326" s="870"/>
      <c r="AW326" s="870"/>
      <c r="AX326" s="870"/>
      <c r="AY326" s="870"/>
      <c r="AZ326" s="870"/>
      <c r="BA326" s="870"/>
      <c r="BC326" s="870"/>
      <c r="BE326" s="870"/>
      <c r="BF326" s="870"/>
      <c r="BG326" s="870"/>
    </row>
    <row r="327" spans="18:59" x14ac:dyDescent="0.25">
      <c r="R327" s="870"/>
      <c r="S327" s="870"/>
      <c r="W327" s="870"/>
      <c r="X327" s="870"/>
      <c r="AE327" s="870"/>
      <c r="AF327" s="870"/>
      <c r="AV327" s="870"/>
      <c r="AW327" s="870"/>
      <c r="AX327" s="870"/>
      <c r="AY327" s="870"/>
      <c r="AZ327" s="870"/>
      <c r="BA327" s="870"/>
      <c r="BC327" s="870"/>
      <c r="BE327" s="870"/>
      <c r="BF327" s="870"/>
      <c r="BG327" s="870"/>
    </row>
    <row r="328" spans="18:59" x14ac:dyDescent="0.25">
      <c r="R328" s="870"/>
      <c r="S328" s="870"/>
      <c r="W328" s="870"/>
      <c r="X328" s="870"/>
      <c r="AE328" s="870"/>
      <c r="AF328" s="870"/>
      <c r="AV328" s="870"/>
      <c r="AW328" s="870"/>
      <c r="AX328" s="870"/>
      <c r="AY328" s="870"/>
      <c r="AZ328" s="870"/>
      <c r="BA328" s="870"/>
      <c r="BC328" s="870"/>
      <c r="BE328" s="870"/>
      <c r="BF328" s="870"/>
      <c r="BG328" s="870"/>
    </row>
    <row r="329" spans="18:59" x14ac:dyDescent="0.25">
      <c r="R329" s="870"/>
      <c r="S329" s="870"/>
      <c r="W329" s="870"/>
      <c r="X329" s="870"/>
      <c r="AE329" s="870"/>
      <c r="AF329" s="870"/>
      <c r="AV329" s="870"/>
      <c r="AW329" s="870"/>
      <c r="AX329" s="870"/>
      <c r="AY329" s="870"/>
      <c r="AZ329" s="870"/>
      <c r="BA329" s="870"/>
      <c r="BC329" s="870"/>
      <c r="BE329" s="870"/>
      <c r="BF329" s="870"/>
      <c r="BG329" s="870"/>
    </row>
    <row r="330" spans="18:59" x14ac:dyDescent="0.25">
      <c r="R330" s="870"/>
      <c r="S330" s="870"/>
      <c r="W330" s="870"/>
      <c r="X330" s="870"/>
      <c r="AE330" s="870"/>
      <c r="AF330" s="870"/>
      <c r="AV330" s="870"/>
      <c r="AW330" s="870"/>
      <c r="AX330" s="870"/>
      <c r="AY330" s="870"/>
      <c r="AZ330" s="870"/>
      <c r="BA330" s="870"/>
      <c r="BC330" s="870"/>
      <c r="BE330" s="870"/>
      <c r="BF330" s="870"/>
      <c r="BG330" s="870"/>
    </row>
    <row r="331" spans="18:59" x14ac:dyDescent="0.25">
      <c r="R331" s="870"/>
      <c r="S331" s="870"/>
      <c r="W331" s="870"/>
      <c r="X331" s="870"/>
      <c r="AE331" s="870"/>
      <c r="AF331" s="870"/>
      <c r="AV331" s="870"/>
      <c r="AW331" s="870"/>
      <c r="AX331" s="870"/>
      <c r="AY331" s="870"/>
      <c r="AZ331" s="870"/>
      <c r="BA331" s="870"/>
      <c r="BC331" s="870"/>
      <c r="BE331" s="870"/>
      <c r="BF331" s="870"/>
      <c r="BG331" s="870"/>
    </row>
    <row r="332" spans="18:59" x14ac:dyDescent="0.25">
      <c r="R332" s="870"/>
      <c r="S332" s="870"/>
      <c r="W332" s="870"/>
      <c r="X332" s="870"/>
      <c r="AE332" s="870"/>
      <c r="AF332" s="870"/>
      <c r="AV332" s="870"/>
      <c r="AW332" s="870"/>
      <c r="AX332" s="870"/>
      <c r="AY332" s="870"/>
      <c r="AZ332" s="870"/>
      <c r="BA332" s="870"/>
      <c r="BC332" s="870"/>
      <c r="BE332" s="870"/>
      <c r="BF332" s="870"/>
      <c r="BG332" s="870"/>
    </row>
    <row r="333" spans="18:59" x14ac:dyDescent="0.25">
      <c r="R333" s="870"/>
      <c r="S333" s="870"/>
      <c r="W333" s="870"/>
      <c r="X333" s="870"/>
      <c r="AE333" s="870"/>
      <c r="AF333" s="870"/>
      <c r="AV333" s="870"/>
      <c r="AW333" s="870"/>
      <c r="AX333" s="870"/>
      <c r="AY333" s="870"/>
      <c r="AZ333" s="870"/>
      <c r="BA333" s="870"/>
      <c r="BC333" s="870"/>
      <c r="BE333" s="870"/>
      <c r="BF333" s="870"/>
      <c r="BG333" s="870"/>
    </row>
    <row r="334" spans="18:59" x14ac:dyDescent="0.25">
      <c r="R334" s="870"/>
      <c r="S334" s="870"/>
      <c r="W334" s="870"/>
      <c r="X334" s="870"/>
      <c r="AE334" s="870"/>
      <c r="AF334" s="870"/>
      <c r="AV334" s="870"/>
      <c r="AW334" s="870"/>
      <c r="AX334" s="870"/>
      <c r="AY334" s="870"/>
      <c r="AZ334" s="870"/>
      <c r="BA334" s="870"/>
      <c r="BC334" s="870"/>
      <c r="BE334" s="870"/>
      <c r="BF334" s="870"/>
      <c r="BG334" s="870"/>
    </row>
    <row r="335" spans="18:59" x14ac:dyDescent="0.25">
      <c r="R335" s="870"/>
      <c r="S335" s="870"/>
      <c r="W335" s="870"/>
      <c r="X335" s="870"/>
      <c r="AE335" s="870"/>
      <c r="AF335" s="870"/>
      <c r="AV335" s="870"/>
      <c r="AW335" s="870"/>
      <c r="AX335" s="870"/>
      <c r="AY335" s="870"/>
      <c r="AZ335" s="870"/>
      <c r="BA335" s="870"/>
      <c r="BC335" s="870"/>
      <c r="BE335" s="870"/>
      <c r="BF335" s="870"/>
      <c r="BG335" s="870"/>
    </row>
    <row r="336" spans="18:59" x14ac:dyDescent="0.25">
      <c r="R336" s="870"/>
      <c r="S336" s="870"/>
      <c r="W336" s="870"/>
      <c r="X336" s="870"/>
      <c r="AE336" s="870"/>
      <c r="AF336" s="870"/>
      <c r="AV336" s="870"/>
      <c r="AW336" s="870"/>
      <c r="AX336" s="870"/>
      <c r="AY336" s="870"/>
      <c r="AZ336" s="870"/>
      <c r="BA336" s="870"/>
      <c r="BC336" s="870"/>
      <c r="BE336" s="870"/>
      <c r="BF336" s="870"/>
      <c r="BG336" s="870"/>
    </row>
    <row r="337" spans="18:59" x14ac:dyDescent="0.25">
      <c r="R337" s="870"/>
      <c r="S337" s="870"/>
      <c r="W337" s="870"/>
      <c r="X337" s="870"/>
      <c r="AE337" s="870"/>
      <c r="AF337" s="870"/>
      <c r="AV337" s="870"/>
      <c r="AW337" s="870"/>
      <c r="AX337" s="870"/>
      <c r="AY337" s="870"/>
      <c r="AZ337" s="870"/>
      <c r="BA337" s="870"/>
      <c r="BC337" s="870"/>
      <c r="BE337" s="870"/>
      <c r="BF337" s="870"/>
      <c r="BG337" s="870"/>
    </row>
    <row r="338" spans="18:59" x14ac:dyDescent="0.25">
      <c r="R338" s="870"/>
      <c r="S338" s="870"/>
      <c r="W338" s="870"/>
      <c r="X338" s="870"/>
      <c r="AE338" s="870"/>
      <c r="AF338" s="870"/>
      <c r="AV338" s="870"/>
      <c r="AW338" s="870"/>
      <c r="AX338" s="870"/>
      <c r="AY338" s="870"/>
      <c r="AZ338" s="870"/>
      <c r="BA338" s="870"/>
      <c r="BC338" s="870"/>
      <c r="BE338" s="870"/>
      <c r="BF338" s="870"/>
      <c r="BG338" s="870"/>
    </row>
    <row r="339" spans="18:59" x14ac:dyDescent="0.25">
      <c r="R339" s="870"/>
      <c r="S339" s="870"/>
      <c r="W339" s="870"/>
      <c r="X339" s="870"/>
      <c r="AE339" s="870"/>
      <c r="AF339" s="870"/>
      <c r="AV339" s="870"/>
      <c r="AW339" s="870"/>
      <c r="AX339" s="870"/>
      <c r="AY339" s="870"/>
      <c r="AZ339" s="870"/>
      <c r="BA339" s="870"/>
      <c r="BC339" s="870"/>
      <c r="BE339" s="870"/>
      <c r="BF339" s="870"/>
      <c r="BG339" s="870"/>
    </row>
    <row r="340" spans="18:59" x14ac:dyDescent="0.25">
      <c r="R340" s="870"/>
      <c r="S340" s="870"/>
      <c r="W340" s="870"/>
      <c r="X340" s="870"/>
      <c r="AE340" s="870"/>
      <c r="AF340" s="870"/>
      <c r="AV340" s="870"/>
      <c r="AW340" s="870"/>
      <c r="AX340" s="870"/>
      <c r="AY340" s="870"/>
      <c r="AZ340" s="870"/>
      <c r="BA340" s="870"/>
      <c r="BC340" s="870"/>
      <c r="BE340" s="870"/>
      <c r="BF340" s="870"/>
      <c r="BG340" s="870"/>
    </row>
    <row r="341" spans="18:59" x14ac:dyDescent="0.25">
      <c r="R341" s="870"/>
      <c r="S341" s="870"/>
      <c r="W341" s="870"/>
      <c r="X341" s="870"/>
      <c r="AE341" s="870"/>
      <c r="AF341" s="870"/>
      <c r="AV341" s="870"/>
      <c r="AW341" s="870"/>
      <c r="AX341" s="870"/>
      <c r="AY341" s="870"/>
      <c r="AZ341" s="870"/>
      <c r="BA341" s="870"/>
      <c r="BC341" s="870"/>
      <c r="BE341" s="870"/>
      <c r="BF341" s="870"/>
      <c r="BG341" s="870"/>
    </row>
    <row r="342" spans="18:59" x14ac:dyDescent="0.25">
      <c r="R342" s="870"/>
      <c r="S342" s="870"/>
      <c r="W342" s="870"/>
      <c r="X342" s="870"/>
      <c r="AE342" s="870"/>
      <c r="AF342" s="870"/>
      <c r="AV342" s="870"/>
      <c r="AW342" s="870"/>
      <c r="AX342" s="870"/>
      <c r="AY342" s="870"/>
      <c r="AZ342" s="870"/>
      <c r="BA342" s="870"/>
      <c r="BC342" s="870"/>
      <c r="BE342" s="870"/>
      <c r="BF342" s="870"/>
      <c r="BG342" s="870"/>
    </row>
    <row r="343" spans="18:59" x14ac:dyDescent="0.25">
      <c r="R343" s="870"/>
      <c r="S343" s="870"/>
      <c r="W343" s="870"/>
      <c r="X343" s="870"/>
      <c r="AE343" s="870"/>
      <c r="AF343" s="870"/>
      <c r="AV343" s="870"/>
      <c r="AW343" s="870"/>
      <c r="AX343" s="870"/>
      <c r="AY343" s="870"/>
      <c r="AZ343" s="870"/>
      <c r="BA343" s="870"/>
      <c r="BC343" s="870"/>
      <c r="BE343" s="870"/>
      <c r="BF343" s="870"/>
      <c r="BG343" s="870"/>
    </row>
    <row r="344" spans="18:59" x14ac:dyDescent="0.25">
      <c r="R344" s="870"/>
      <c r="S344" s="870"/>
      <c r="W344" s="870"/>
      <c r="X344" s="870"/>
      <c r="AE344" s="870"/>
      <c r="AF344" s="870"/>
      <c r="AV344" s="870"/>
      <c r="AW344" s="870"/>
      <c r="AX344" s="870"/>
      <c r="AY344" s="870"/>
      <c r="AZ344" s="870"/>
      <c r="BA344" s="870"/>
      <c r="BC344" s="870"/>
      <c r="BE344" s="870"/>
      <c r="BF344" s="870"/>
      <c r="BG344" s="870"/>
    </row>
    <row r="345" spans="18:59" x14ac:dyDescent="0.25">
      <c r="R345" s="870"/>
      <c r="S345" s="870"/>
      <c r="W345" s="870"/>
      <c r="X345" s="870"/>
      <c r="AE345" s="870"/>
      <c r="AF345" s="870"/>
      <c r="AV345" s="870"/>
      <c r="AW345" s="870"/>
      <c r="AX345" s="870"/>
      <c r="AY345" s="870"/>
      <c r="AZ345" s="870"/>
      <c r="BA345" s="870"/>
      <c r="BC345" s="870"/>
      <c r="BE345" s="870"/>
      <c r="BF345" s="870"/>
      <c r="BG345" s="870"/>
    </row>
    <row r="346" spans="18:59" x14ac:dyDescent="0.25">
      <c r="R346" s="870"/>
      <c r="S346" s="870"/>
      <c r="W346" s="870"/>
      <c r="X346" s="870"/>
      <c r="AE346" s="870"/>
      <c r="AF346" s="870"/>
      <c r="AV346" s="870"/>
      <c r="AW346" s="870"/>
      <c r="AX346" s="870"/>
      <c r="AY346" s="870"/>
      <c r="AZ346" s="870"/>
      <c r="BA346" s="870"/>
      <c r="BC346" s="870"/>
      <c r="BE346" s="870"/>
      <c r="BF346" s="870"/>
      <c r="BG346" s="870"/>
    </row>
    <row r="347" spans="18:59" x14ac:dyDescent="0.25">
      <c r="R347" s="870"/>
      <c r="S347" s="870"/>
      <c r="W347" s="870"/>
      <c r="X347" s="870"/>
      <c r="AE347" s="870"/>
      <c r="AF347" s="870"/>
      <c r="AV347" s="870"/>
      <c r="AW347" s="870"/>
      <c r="AX347" s="870"/>
      <c r="AY347" s="870"/>
      <c r="AZ347" s="870"/>
      <c r="BA347" s="870"/>
      <c r="BC347" s="870"/>
      <c r="BE347" s="870"/>
      <c r="BF347" s="870"/>
      <c r="BG347" s="870"/>
    </row>
    <row r="348" spans="18:59" x14ac:dyDescent="0.25">
      <c r="R348" s="870"/>
      <c r="S348" s="870"/>
      <c r="W348" s="870"/>
      <c r="X348" s="870"/>
      <c r="AE348" s="870"/>
      <c r="AF348" s="870"/>
      <c r="AV348" s="870"/>
      <c r="AW348" s="870"/>
      <c r="AX348" s="870"/>
      <c r="AY348" s="870"/>
      <c r="AZ348" s="870"/>
      <c r="BA348" s="870"/>
      <c r="BC348" s="870"/>
      <c r="BE348" s="870"/>
      <c r="BF348" s="870"/>
      <c r="BG348" s="870"/>
    </row>
    <row r="349" spans="18:59" x14ac:dyDescent="0.25">
      <c r="R349" s="870"/>
      <c r="S349" s="870"/>
      <c r="W349" s="870"/>
      <c r="X349" s="870"/>
      <c r="AE349" s="870"/>
      <c r="AF349" s="870"/>
      <c r="AV349" s="870"/>
      <c r="AW349" s="870"/>
      <c r="AX349" s="870"/>
      <c r="AY349" s="870"/>
      <c r="AZ349" s="870"/>
      <c r="BA349" s="870"/>
      <c r="BC349" s="870"/>
      <c r="BE349" s="870"/>
      <c r="BF349" s="870"/>
      <c r="BG349" s="870"/>
    </row>
    <row r="350" spans="18:59" x14ac:dyDescent="0.25">
      <c r="R350" s="870"/>
      <c r="S350" s="870"/>
      <c r="W350" s="870"/>
      <c r="X350" s="870"/>
      <c r="AE350" s="870"/>
      <c r="AF350" s="870"/>
      <c r="AV350" s="870"/>
      <c r="AW350" s="870"/>
      <c r="AX350" s="870"/>
      <c r="AY350" s="870"/>
      <c r="AZ350" s="870"/>
      <c r="BA350" s="870"/>
      <c r="BC350" s="870"/>
      <c r="BE350" s="870"/>
      <c r="BF350" s="870"/>
      <c r="BG350" s="870"/>
    </row>
    <row r="351" spans="18:59" x14ac:dyDescent="0.25">
      <c r="R351" s="870"/>
      <c r="S351" s="870"/>
      <c r="W351" s="870"/>
      <c r="X351" s="870"/>
      <c r="AE351" s="870"/>
      <c r="AF351" s="870"/>
      <c r="AV351" s="870"/>
      <c r="AW351" s="870"/>
      <c r="AX351" s="870"/>
      <c r="AY351" s="870"/>
      <c r="AZ351" s="870"/>
      <c r="BA351" s="870"/>
      <c r="BC351" s="870"/>
      <c r="BE351" s="870"/>
      <c r="BF351" s="870"/>
      <c r="BG351" s="870"/>
    </row>
    <row r="352" spans="18:59" x14ac:dyDescent="0.25">
      <c r="R352" s="870"/>
      <c r="S352" s="870"/>
      <c r="W352" s="870"/>
      <c r="X352" s="870"/>
      <c r="AE352" s="870"/>
      <c r="AF352" s="870"/>
      <c r="AV352" s="870"/>
      <c r="AW352" s="870"/>
      <c r="AX352" s="870"/>
      <c r="AY352" s="870"/>
      <c r="AZ352" s="870"/>
      <c r="BA352" s="870"/>
      <c r="BC352" s="870"/>
      <c r="BE352" s="870"/>
      <c r="BF352" s="870"/>
      <c r="BG352" s="870"/>
    </row>
    <row r="353" spans="18:59" x14ac:dyDescent="0.25">
      <c r="R353" s="870"/>
      <c r="S353" s="870"/>
      <c r="W353" s="870"/>
      <c r="X353" s="870"/>
      <c r="AE353" s="870"/>
      <c r="AF353" s="870"/>
      <c r="AV353" s="870"/>
      <c r="AW353" s="870"/>
      <c r="AX353" s="870"/>
      <c r="AY353" s="870"/>
      <c r="AZ353" s="870"/>
      <c r="BA353" s="870"/>
      <c r="BC353" s="870"/>
      <c r="BE353" s="870"/>
      <c r="BF353" s="870"/>
      <c r="BG353" s="870"/>
    </row>
    <row r="354" spans="18:59" x14ac:dyDescent="0.25">
      <c r="R354" s="870"/>
      <c r="S354" s="870"/>
      <c r="W354" s="870"/>
      <c r="X354" s="870"/>
      <c r="AE354" s="870"/>
      <c r="AF354" s="870"/>
      <c r="AV354" s="870"/>
      <c r="AW354" s="870"/>
      <c r="AX354" s="870"/>
      <c r="AY354" s="870"/>
      <c r="AZ354" s="870"/>
      <c r="BA354" s="870"/>
      <c r="BC354" s="870"/>
      <c r="BE354" s="870"/>
      <c r="BF354" s="870"/>
      <c r="BG354" s="870"/>
    </row>
    <row r="355" spans="18:59" x14ac:dyDescent="0.25">
      <c r="R355" s="870"/>
      <c r="S355" s="870"/>
      <c r="W355" s="870"/>
      <c r="X355" s="870"/>
      <c r="AE355" s="870"/>
      <c r="AF355" s="870"/>
      <c r="AV355" s="870"/>
      <c r="AW355" s="870"/>
      <c r="AX355" s="870"/>
      <c r="AY355" s="870"/>
      <c r="AZ355" s="870"/>
      <c r="BA355" s="870"/>
      <c r="BC355" s="870"/>
      <c r="BE355" s="870"/>
      <c r="BF355" s="870"/>
      <c r="BG355" s="870"/>
    </row>
    <row r="356" spans="18:59" x14ac:dyDescent="0.25">
      <c r="R356" s="870"/>
      <c r="S356" s="870"/>
      <c r="W356" s="870"/>
      <c r="X356" s="870"/>
      <c r="AE356" s="870"/>
      <c r="AF356" s="870"/>
      <c r="AV356" s="870"/>
      <c r="AW356" s="870"/>
      <c r="AX356" s="870"/>
      <c r="AY356" s="870"/>
      <c r="AZ356" s="870"/>
      <c r="BA356" s="870"/>
      <c r="BC356" s="870"/>
      <c r="BE356" s="870"/>
      <c r="BF356" s="870"/>
      <c r="BG356" s="870"/>
    </row>
    <row r="357" spans="18:59" x14ac:dyDescent="0.25">
      <c r="R357" s="870"/>
      <c r="S357" s="870"/>
      <c r="W357" s="870"/>
      <c r="X357" s="870"/>
      <c r="AE357" s="870"/>
      <c r="AF357" s="870"/>
      <c r="AV357" s="870"/>
      <c r="AW357" s="870"/>
      <c r="AX357" s="870"/>
      <c r="AY357" s="870"/>
      <c r="AZ357" s="870"/>
      <c r="BA357" s="870"/>
      <c r="BC357" s="870"/>
      <c r="BE357" s="870"/>
      <c r="BF357" s="870"/>
      <c r="BG357" s="870"/>
    </row>
    <row r="358" spans="18:59" x14ac:dyDescent="0.25">
      <c r="R358" s="870"/>
      <c r="S358" s="870"/>
      <c r="W358" s="870"/>
      <c r="X358" s="870"/>
      <c r="AE358" s="870"/>
      <c r="AF358" s="870"/>
      <c r="AV358" s="870"/>
      <c r="AW358" s="870"/>
      <c r="AX358" s="870"/>
      <c r="AY358" s="870"/>
      <c r="AZ358" s="870"/>
      <c r="BA358" s="870"/>
      <c r="BC358" s="870"/>
      <c r="BE358" s="870"/>
      <c r="BF358" s="870"/>
      <c r="BG358" s="870"/>
    </row>
    <row r="359" spans="18:59" x14ac:dyDescent="0.25">
      <c r="R359" s="870"/>
      <c r="S359" s="870"/>
      <c r="W359" s="870"/>
      <c r="X359" s="870"/>
      <c r="AE359" s="870"/>
      <c r="AF359" s="870"/>
      <c r="AV359" s="870"/>
      <c r="AW359" s="870"/>
      <c r="AX359" s="870"/>
      <c r="AY359" s="870"/>
      <c r="AZ359" s="870"/>
      <c r="BA359" s="870"/>
      <c r="BC359" s="870"/>
      <c r="BE359" s="870"/>
      <c r="BF359" s="870"/>
      <c r="BG359" s="870"/>
    </row>
    <row r="360" spans="18:59" x14ac:dyDescent="0.25">
      <c r="R360" s="870"/>
      <c r="S360" s="870"/>
      <c r="W360" s="870"/>
      <c r="X360" s="870"/>
      <c r="AE360" s="870"/>
      <c r="AF360" s="870"/>
      <c r="AV360" s="870"/>
      <c r="AW360" s="870"/>
      <c r="AX360" s="870"/>
      <c r="AY360" s="870"/>
      <c r="AZ360" s="870"/>
      <c r="BA360" s="870"/>
      <c r="BC360" s="870"/>
      <c r="BE360" s="870"/>
      <c r="BF360" s="870"/>
      <c r="BG360" s="870"/>
    </row>
    <row r="361" spans="18:59" x14ac:dyDescent="0.25">
      <c r="R361" s="870"/>
      <c r="S361" s="870"/>
      <c r="W361" s="870"/>
      <c r="X361" s="870"/>
      <c r="AE361" s="870"/>
      <c r="AF361" s="870"/>
      <c r="AV361" s="870"/>
      <c r="AW361" s="870"/>
      <c r="AX361" s="870"/>
      <c r="AY361" s="870"/>
      <c r="AZ361" s="870"/>
      <c r="BA361" s="870"/>
      <c r="BC361" s="870"/>
      <c r="BE361" s="870"/>
      <c r="BF361" s="870"/>
      <c r="BG361" s="870"/>
    </row>
    <row r="362" spans="18:59" x14ac:dyDescent="0.25">
      <c r="R362" s="870"/>
      <c r="S362" s="870"/>
      <c r="W362" s="870"/>
      <c r="X362" s="870"/>
      <c r="AE362" s="870"/>
      <c r="AF362" s="870"/>
      <c r="AV362" s="870"/>
      <c r="AW362" s="870"/>
      <c r="AX362" s="870"/>
      <c r="AY362" s="870"/>
      <c r="AZ362" s="870"/>
      <c r="BA362" s="870"/>
      <c r="BC362" s="870"/>
      <c r="BE362" s="870"/>
      <c r="BF362" s="870"/>
      <c r="BG362" s="870"/>
    </row>
    <row r="363" spans="18:59" x14ac:dyDescent="0.25">
      <c r="R363" s="870"/>
      <c r="S363" s="870"/>
      <c r="W363" s="870"/>
      <c r="X363" s="870"/>
      <c r="AE363" s="870"/>
      <c r="AF363" s="870"/>
      <c r="AV363" s="870"/>
      <c r="AW363" s="870"/>
      <c r="AX363" s="870"/>
      <c r="AY363" s="870"/>
      <c r="AZ363" s="870"/>
      <c r="BA363" s="870"/>
      <c r="BC363" s="870"/>
      <c r="BE363" s="870"/>
      <c r="BF363" s="870"/>
      <c r="BG363" s="870"/>
    </row>
    <row r="364" spans="18:59" x14ac:dyDescent="0.25">
      <c r="R364" s="870"/>
      <c r="S364" s="870"/>
      <c r="W364" s="870"/>
      <c r="X364" s="870"/>
      <c r="AE364" s="870"/>
      <c r="AF364" s="870"/>
      <c r="AV364" s="870"/>
      <c r="AW364" s="870"/>
      <c r="AX364" s="870"/>
      <c r="AY364" s="870"/>
      <c r="AZ364" s="870"/>
      <c r="BA364" s="870"/>
      <c r="BC364" s="870"/>
      <c r="BE364" s="870"/>
      <c r="BF364" s="870"/>
      <c r="BG364" s="870"/>
    </row>
    <row r="365" spans="18:59" x14ac:dyDescent="0.25">
      <c r="R365" s="870"/>
      <c r="S365" s="870"/>
      <c r="W365" s="870"/>
      <c r="X365" s="870"/>
      <c r="AE365" s="870"/>
      <c r="AF365" s="870"/>
      <c r="AV365" s="870"/>
      <c r="AW365" s="870"/>
      <c r="AX365" s="870"/>
      <c r="AY365" s="870"/>
      <c r="AZ365" s="870"/>
      <c r="BA365" s="870"/>
      <c r="BC365" s="870"/>
      <c r="BE365" s="870"/>
      <c r="BF365" s="870"/>
      <c r="BG365" s="870"/>
    </row>
    <row r="366" spans="18:59" x14ac:dyDescent="0.25">
      <c r="R366" s="870"/>
      <c r="S366" s="870"/>
      <c r="W366" s="870"/>
      <c r="X366" s="870"/>
      <c r="AE366" s="870"/>
      <c r="AF366" s="870"/>
      <c r="AV366" s="870"/>
      <c r="AW366" s="870"/>
      <c r="AX366" s="870"/>
      <c r="AY366" s="870"/>
      <c r="AZ366" s="870"/>
      <c r="BA366" s="870"/>
      <c r="BC366" s="870"/>
      <c r="BE366" s="870"/>
      <c r="BF366" s="870"/>
      <c r="BG366" s="870"/>
    </row>
    <row r="367" spans="18:59" x14ac:dyDescent="0.25">
      <c r="R367" s="870"/>
      <c r="S367" s="870"/>
      <c r="W367" s="870"/>
      <c r="X367" s="870"/>
      <c r="AE367" s="870"/>
      <c r="AF367" s="870"/>
      <c r="AV367" s="870"/>
      <c r="AW367" s="870"/>
      <c r="AX367" s="870"/>
      <c r="AY367" s="870"/>
      <c r="AZ367" s="870"/>
      <c r="BA367" s="870"/>
      <c r="BC367" s="870"/>
      <c r="BE367" s="870"/>
      <c r="BF367" s="870"/>
      <c r="BG367" s="870"/>
    </row>
    <row r="368" spans="18:59" x14ac:dyDescent="0.25">
      <c r="R368" s="870"/>
      <c r="S368" s="870"/>
      <c r="W368" s="870"/>
      <c r="X368" s="870"/>
      <c r="AE368" s="870"/>
      <c r="AF368" s="870"/>
      <c r="AV368" s="870"/>
      <c r="AW368" s="870"/>
      <c r="AX368" s="870"/>
      <c r="AY368" s="870"/>
      <c r="AZ368" s="870"/>
      <c r="BA368" s="870"/>
      <c r="BC368" s="870"/>
      <c r="BE368" s="870"/>
      <c r="BF368" s="870"/>
      <c r="BG368" s="870"/>
    </row>
    <row r="369" spans="18:59" x14ac:dyDescent="0.25">
      <c r="R369" s="870"/>
      <c r="S369" s="870"/>
      <c r="W369" s="870"/>
      <c r="X369" s="870"/>
      <c r="AE369" s="870"/>
      <c r="AF369" s="870"/>
      <c r="AV369" s="870"/>
      <c r="AW369" s="870"/>
      <c r="AX369" s="870"/>
      <c r="AY369" s="870"/>
      <c r="AZ369" s="870"/>
      <c r="BA369" s="870"/>
      <c r="BC369" s="870"/>
      <c r="BE369" s="870"/>
      <c r="BF369" s="870"/>
      <c r="BG369" s="870"/>
    </row>
    <row r="370" spans="18:59" x14ac:dyDescent="0.25">
      <c r="R370" s="870"/>
      <c r="S370" s="870"/>
      <c r="W370" s="870"/>
      <c r="X370" s="870"/>
      <c r="AE370" s="870"/>
      <c r="AF370" s="870"/>
      <c r="AV370" s="870"/>
      <c r="AW370" s="870"/>
      <c r="AX370" s="870"/>
      <c r="AY370" s="870"/>
      <c r="AZ370" s="870"/>
      <c r="BA370" s="870"/>
      <c r="BC370" s="870"/>
      <c r="BE370" s="870"/>
      <c r="BF370" s="870"/>
      <c r="BG370" s="870"/>
    </row>
    <row r="371" spans="18:59" x14ac:dyDescent="0.25">
      <c r="R371" s="870"/>
      <c r="S371" s="870"/>
      <c r="W371" s="870"/>
      <c r="X371" s="870"/>
      <c r="AE371" s="870"/>
      <c r="AF371" s="870"/>
      <c r="AV371" s="870"/>
      <c r="AW371" s="870"/>
      <c r="AX371" s="870"/>
      <c r="AY371" s="870"/>
      <c r="AZ371" s="870"/>
      <c r="BA371" s="870"/>
      <c r="BC371" s="870"/>
      <c r="BE371" s="870"/>
      <c r="BF371" s="870"/>
      <c r="BG371" s="870"/>
    </row>
    <row r="372" spans="18:59" x14ac:dyDescent="0.25">
      <c r="R372" s="870"/>
      <c r="S372" s="870"/>
      <c r="W372" s="870"/>
      <c r="X372" s="870"/>
      <c r="AE372" s="870"/>
      <c r="AF372" s="870"/>
      <c r="AV372" s="870"/>
      <c r="AW372" s="870"/>
      <c r="AX372" s="870"/>
      <c r="AY372" s="870"/>
      <c r="AZ372" s="870"/>
      <c r="BA372" s="870"/>
      <c r="BC372" s="870"/>
      <c r="BE372" s="870"/>
      <c r="BF372" s="870"/>
      <c r="BG372" s="870"/>
    </row>
    <row r="373" spans="18:59" x14ac:dyDescent="0.25">
      <c r="R373" s="870"/>
      <c r="S373" s="870"/>
      <c r="W373" s="870"/>
      <c r="X373" s="870"/>
      <c r="AE373" s="870"/>
      <c r="AF373" s="870"/>
      <c r="AV373" s="870"/>
      <c r="AW373" s="870"/>
      <c r="AX373" s="870"/>
      <c r="AY373" s="870"/>
      <c r="AZ373" s="870"/>
      <c r="BA373" s="870"/>
      <c r="BC373" s="870"/>
      <c r="BE373" s="870"/>
      <c r="BF373" s="870"/>
      <c r="BG373" s="870"/>
    </row>
    <row r="374" spans="18:59" x14ac:dyDescent="0.25">
      <c r="R374" s="870"/>
      <c r="S374" s="870"/>
      <c r="W374" s="870"/>
      <c r="X374" s="870"/>
      <c r="AE374" s="870"/>
      <c r="AF374" s="870"/>
      <c r="AV374" s="870"/>
      <c r="AW374" s="870"/>
      <c r="AX374" s="870"/>
      <c r="AY374" s="870"/>
      <c r="AZ374" s="870"/>
      <c r="BA374" s="870"/>
      <c r="BC374" s="870"/>
      <c r="BE374" s="870"/>
      <c r="BF374" s="870"/>
      <c r="BG374" s="870"/>
    </row>
    <row r="375" spans="18:59" x14ac:dyDescent="0.25">
      <c r="R375" s="870"/>
      <c r="S375" s="870"/>
      <c r="W375" s="870"/>
      <c r="X375" s="870"/>
      <c r="AE375" s="870"/>
      <c r="AF375" s="870"/>
      <c r="AV375" s="870"/>
      <c r="AW375" s="870"/>
      <c r="AX375" s="870"/>
      <c r="AY375" s="870"/>
      <c r="AZ375" s="870"/>
      <c r="BA375" s="870"/>
      <c r="BC375" s="870"/>
      <c r="BE375" s="870"/>
      <c r="BF375" s="870"/>
      <c r="BG375" s="870"/>
    </row>
    <row r="376" spans="18:59" x14ac:dyDescent="0.25">
      <c r="R376" s="870"/>
      <c r="S376" s="870"/>
      <c r="W376" s="870"/>
      <c r="X376" s="870"/>
      <c r="AE376" s="870"/>
      <c r="AF376" s="870"/>
      <c r="AV376" s="870"/>
      <c r="AW376" s="870"/>
      <c r="AX376" s="870"/>
      <c r="AY376" s="870"/>
      <c r="AZ376" s="870"/>
      <c r="BA376" s="870"/>
      <c r="BC376" s="870"/>
      <c r="BE376" s="870"/>
      <c r="BF376" s="870"/>
      <c r="BG376" s="870"/>
    </row>
    <row r="377" spans="18:59" x14ac:dyDescent="0.25">
      <c r="R377" s="870"/>
      <c r="S377" s="870"/>
      <c r="W377" s="870"/>
      <c r="X377" s="870"/>
      <c r="AE377" s="870"/>
      <c r="AF377" s="870"/>
      <c r="AV377" s="870"/>
      <c r="AW377" s="870"/>
      <c r="AX377" s="870"/>
      <c r="AY377" s="870"/>
      <c r="AZ377" s="870"/>
      <c r="BA377" s="870"/>
      <c r="BC377" s="870"/>
      <c r="BE377" s="870"/>
      <c r="BF377" s="870"/>
      <c r="BG377" s="870"/>
    </row>
    <row r="378" spans="18:59" x14ac:dyDescent="0.25">
      <c r="R378" s="870"/>
      <c r="S378" s="870"/>
      <c r="W378" s="870"/>
      <c r="X378" s="870"/>
      <c r="AE378" s="870"/>
      <c r="AF378" s="870"/>
      <c r="AV378" s="870"/>
      <c r="AW378" s="870"/>
      <c r="AX378" s="870"/>
      <c r="AY378" s="870"/>
      <c r="AZ378" s="870"/>
      <c r="BA378" s="870"/>
      <c r="BC378" s="870"/>
      <c r="BE378" s="870"/>
      <c r="BF378" s="870"/>
      <c r="BG378" s="870"/>
    </row>
    <row r="379" spans="18:59" x14ac:dyDescent="0.25">
      <c r="R379" s="870"/>
      <c r="S379" s="870"/>
      <c r="W379" s="870"/>
      <c r="X379" s="870"/>
      <c r="AE379" s="870"/>
      <c r="AF379" s="870"/>
      <c r="AV379" s="870"/>
      <c r="AW379" s="870"/>
      <c r="AX379" s="870"/>
      <c r="AY379" s="870"/>
      <c r="AZ379" s="870"/>
      <c r="BA379" s="870"/>
      <c r="BC379" s="870"/>
      <c r="BE379" s="870"/>
      <c r="BF379" s="870"/>
      <c r="BG379" s="870"/>
    </row>
    <row r="380" spans="18:59" x14ac:dyDescent="0.25">
      <c r="R380" s="870"/>
      <c r="S380" s="870"/>
      <c r="W380" s="870"/>
      <c r="X380" s="870"/>
      <c r="AE380" s="870"/>
      <c r="AF380" s="870"/>
      <c r="AV380" s="870"/>
      <c r="AW380" s="870"/>
      <c r="AX380" s="870"/>
      <c r="AY380" s="870"/>
      <c r="AZ380" s="870"/>
      <c r="BA380" s="870"/>
      <c r="BC380" s="870"/>
      <c r="BE380" s="870"/>
      <c r="BF380" s="870"/>
      <c r="BG380" s="870"/>
    </row>
    <row r="381" spans="18:59" x14ac:dyDescent="0.25">
      <c r="R381" s="870"/>
      <c r="S381" s="870"/>
      <c r="W381" s="870"/>
      <c r="X381" s="870"/>
      <c r="AE381" s="870"/>
      <c r="AF381" s="870"/>
      <c r="AV381" s="870"/>
      <c r="AW381" s="870"/>
      <c r="AX381" s="870"/>
      <c r="AY381" s="870"/>
      <c r="AZ381" s="870"/>
      <c r="BA381" s="870"/>
      <c r="BC381" s="870"/>
      <c r="BE381" s="870"/>
      <c r="BF381" s="870"/>
      <c r="BG381" s="870"/>
    </row>
    <row r="382" spans="18:59" x14ac:dyDescent="0.25">
      <c r="R382" s="870"/>
      <c r="S382" s="870"/>
      <c r="W382" s="870"/>
      <c r="X382" s="870"/>
      <c r="AE382" s="870"/>
      <c r="AF382" s="870"/>
      <c r="AV382" s="870"/>
      <c r="AW382" s="870"/>
      <c r="AX382" s="870"/>
      <c r="AY382" s="870"/>
      <c r="AZ382" s="870"/>
      <c r="BA382" s="870"/>
      <c r="BC382" s="870"/>
      <c r="BE382" s="870"/>
      <c r="BF382" s="870"/>
      <c r="BG382" s="870"/>
    </row>
    <row r="383" spans="18:59" x14ac:dyDescent="0.25">
      <c r="R383" s="870"/>
      <c r="S383" s="870"/>
      <c r="W383" s="870"/>
      <c r="X383" s="870"/>
      <c r="AE383" s="870"/>
      <c r="AF383" s="870"/>
      <c r="AV383" s="870"/>
      <c r="AW383" s="870"/>
      <c r="AX383" s="870"/>
      <c r="AY383" s="870"/>
      <c r="AZ383" s="870"/>
      <c r="BA383" s="870"/>
      <c r="BC383" s="870"/>
      <c r="BE383" s="870"/>
      <c r="BF383" s="870"/>
      <c r="BG383" s="870"/>
    </row>
    <row r="384" spans="18:59" x14ac:dyDescent="0.25">
      <c r="R384" s="870"/>
      <c r="S384" s="870"/>
      <c r="W384" s="870"/>
      <c r="X384" s="870"/>
      <c r="AE384" s="870"/>
      <c r="AF384" s="870"/>
      <c r="AV384" s="870"/>
      <c r="AW384" s="870"/>
      <c r="AX384" s="870"/>
      <c r="AY384" s="870"/>
      <c r="AZ384" s="870"/>
      <c r="BA384" s="870"/>
      <c r="BC384" s="870"/>
      <c r="BE384" s="870"/>
      <c r="BF384" s="870"/>
      <c r="BG384" s="870"/>
    </row>
    <row r="385" spans="18:59" x14ac:dyDescent="0.25">
      <c r="R385" s="870"/>
      <c r="S385" s="870"/>
      <c r="W385" s="870"/>
      <c r="X385" s="870"/>
      <c r="AE385" s="870"/>
      <c r="AF385" s="870"/>
      <c r="AV385" s="870"/>
      <c r="AW385" s="870"/>
      <c r="AX385" s="870"/>
      <c r="AY385" s="870"/>
      <c r="AZ385" s="870"/>
      <c r="BA385" s="870"/>
      <c r="BC385" s="870"/>
      <c r="BE385" s="870"/>
      <c r="BF385" s="870"/>
      <c r="BG385" s="870"/>
    </row>
    <row r="386" spans="18:59" x14ac:dyDescent="0.25">
      <c r="R386" s="870"/>
      <c r="S386" s="870"/>
      <c r="W386" s="870"/>
      <c r="X386" s="870"/>
      <c r="AE386" s="870"/>
      <c r="AF386" s="870"/>
      <c r="AV386" s="870"/>
      <c r="AW386" s="870"/>
      <c r="AX386" s="870"/>
      <c r="AY386" s="870"/>
      <c r="AZ386" s="870"/>
      <c r="BA386" s="870"/>
      <c r="BC386" s="870"/>
      <c r="BE386" s="870"/>
      <c r="BF386" s="870"/>
      <c r="BG386" s="870"/>
    </row>
    <row r="387" spans="18:59" x14ac:dyDescent="0.25">
      <c r="R387" s="870"/>
      <c r="S387" s="870"/>
      <c r="W387" s="870"/>
      <c r="X387" s="870"/>
      <c r="AE387" s="870"/>
      <c r="AF387" s="870"/>
      <c r="AV387" s="870"/>
      <c r="AW387" s="870"/>
      <c r="AX387" s="870"/>
      <c r="AY387" s="870"/>
      <c r="AZ387" s="870"/>
      <c r="BA387" s="870"/>
      <c r="BC387" s="870"/>
      <c r="BE387" s="870"/>
      <c r="BF387" s="870"/>
      <c r="BG387" s="870"/>
    </row>
    <row r="388" spans="18:59" x14ac:dyDescent="0.25">
      <c r="R388" s="870"/>
      <c r="S388" s="870"/>
      <c r="W388" s="870"/>
      <c r="X388" s="870"/>
      <c r="AE388" s="870"/>
      <c r="AF388" s="870"/>
      <c r="AV388" s="870"/>
      <c r="AW388" s="870"/>
      <c r="AX388" s="870"/>
      <c r="AY388" s="870"/>
      <c r="AZ388" s="870"/>
      <c r="BA388" s="870"/>
      <c r="BC388" s="870"/>
      <c r="BE388" s="870"/>
      <c r="BF388" s="870"/>
      <c r="BG388" s="870"/>
    </row>
    <row r="389" spans="18:59" x14ac:dyDescent="0.25">
      <c r="R389" s="870"/>
      <c r="S389" s="870"/>
      <c r="W389" s="870"/>
      <c r="X389" s="870"/>
      <c r="AE389" s="870"/>
      <c r="AF389" s="870"/>
      <c r="AV389" s="870"/>
      <c r="AW389" s="870"/>
      <c r="AX389" s="870"/>
      <c r="AY389" s="870"/>
      <c r="AZ389" s="870"/>
      <c r="BA389" s="870"/>
      <c r="BC389" s="870"/>
      <c r="BE389" s="870"/>
      <c r="BF389" s="870"/>
      <c r="BG389" s="870"/>
    </row>
    <row r="390" spans="18:59" x14ac:dyDescent="0.25">
      <c r="R390" s="870"/>
      <c r="S390" s="870"/>
      <c r="W390" s="870"/>
      <c r="X390" s="870"/>
      <c r="AE390" s="870"/>
      <c r="AF390" s="870"/>
      <c r="AV390" s="870"/>
      <c r="AW390" s="870"/>
      <c r="AX390" s="870"/>
      <c r="AY390" s="870"/>
      <c r="AZ390" s="870"/>
      <c r="BA390" s="870"/>
      <c r="BC390" s="870"/>
      <c r="BE390" s="870"/>
      <c r="BF390" s="870"/>
      <c r="BG390" s="870"/>
    </row>
    <row r="391" spans="18:59" x14ac:dyDescent="0.25">
      <c r="R391" s="870"/>
      <c r="S391" s="870"/>
      <c r="W391" s="870"/>
      <c r="X391" s="870"/>
      <c r="AE391" s="870"/>
      <c r="AF391" s="870"/>
      <c r="AV391" s="870"/>
      <c r="AW391" s="870"/>
      <c r="AX391" s="870"/>
      <c r="AY391" s="870"/>
      <c r="AZ391" s="870"/>
      <c r="BA391" s="870"/>
      <c r="BC391" s="870"/>
      <c r="BE391" s="870"/>
      <c r="BF391" s="870"/>
      <c r="BG391" s="870"/>
    </row>
    <row r="392" spans="18:59" x14ac:dyDescent="0.25">
      <c r="R392" s="870"/>
      <c r="S392" s="870"/>
      <c r="W392" s="870"/>
      <c r="X392" s="870"/>
      <c r="AE392" s="870"/>
      <c r="AF392" s="870"/>
      <c r="AV392" s="870"/>
      <c r="AW392" s="870"/>
      <c r="AX392" s="870"/>
      <c r="AY392" s="870"/>
      <c r="AZ392" s="870"/>
      <c r="BA392" s="870"/>
      <c r="BC392" s="870"/>
      <c r="BE392" s="870"/>
      <c r="BF392" s="870"/>
      <c r="BG392" s="870"/>
    </row>
    <row r="393" spans="18:59" x14ac:dyDescent="0.25">
      <c r="R393" s="870"/>
      <c r="S393" s="870"/>
      <c r="W393" s="870"/>
      <c r="X393" s="870"/>
      <c r="AE393" s="870"/>
      <c r="AF393" s="870"/>
      <c r="AV393" s="870"/>
      <c r="AW393" s="870"/>
      <c r="AX393" s="870"/>
      <c r="AY393" s="870"/>
      <c r="AZ393" s="870"/>
      <c r="BA393" s="870"/>
      <c r="BC393" s="870"/>
      <c r="BE393" s="870"/>
      <c r="BF393" s="870"/>
      <c r="BG393" s="870"/>
    </row>
    <row r="394" spans="18:59" x14ac:dyDescent="0.25">
      <c r="R394" s="870"/>
      <c r="S394" s="870"/>
      <c r="W394" s="870"/>
      <c r="X394" s="870"/>
      <c r="AE394" s="870"/>
      <c r="AF394" s="870"/>
      <c r="AV394" s="870"/>
      <c r="AW394" s="870"/>
      <c r="AX394" s="870"/>
      <c r="AY394" s="870"/>
      <c r="AZ394" s="870"/>
      <c r="BA394" s="870"/>
      <c r="BC394" s="870"/>
      <c r="BE394" s="870"/>
      <c r="BF394" s="870"/>
      <c r="BG394" s="870"/>
    </row>
    <row r="395" spans="18:59" x14ac:dyDescent="0.25">
      <c r="R395" s="870"/>
      <c r="S395" s="870"/>
      <c r="W395" s="870"/>
      <c r="X395" s="870"/>
      <c r="AE395" s="870"/>
      <c r="AF395" s="870"/>
      <c r="AV395" s="870"/>
      <c r="AW395" s="870"/>
      <c r="AX395" s="870"/>
      <c r="AY395" s="870"/>
      <c r="AZ395" s="870"/>
      <c r="BA395" s="870"/>
      <c r="BC395" s="870"/>
      <c r="BE395" s="870"/>
      <c r="BF395" s="870"/>
      <c r="BG395" s="870"/>
    </row>
    <row r="396" spans="18:59" x14ac:dyDescent="0.25">
      <c r="R396" s="870"/>
      <c r="S396" s="870"/>
      <c r="W396" s="870"/>
      <c r="X396" s="870"/>
      <c r="AE396" s="870"/>
      <c r="AF396" s="870"/>
      <c r="AV396" s="870"/>
      <c r="AW396" s="870"/>
      <c r="AX396" s="870"/>
      <c r="AY396" s="870"/>
      <c r="AZ396" s="870"/>
      <c r="BA396" s="870"/>
      <c r="BC396" s="870"/>
      <c r="BE396" s="870"/>
      <c r="BF396" s="870"/>
      <c r="BG396" s="870"/>
    </row>
    <row r="397" spans="18:59" x14ac:dyDescent="0.25">
      <c r="R397" s="870"/>
      <c r="S397" s="870"/>
      <c r="W397" s="870"/>
      <c r="X397" s="870"/>
      <c r="AE397" s="870"/>
      <c r="AF397" s="870"/>
      <c r="AV397" s="870"/>
      <c r="AW397" s="870"/>
      <c r="AX397" s="870"/>
      <c r="AY397" s="870"/>
      <c r="AZ397" s="870"/>
      <c r="BA397" s="870"/>
      <c r="BC397" s="870"/>
      <c r="BE397" s="870"/>
      <c r="BF397" s="870"/>
      <c r="BG397" s="870"/>
    </row>
    <row r="398" spans="18:59" x14ac:dyDescent="0.25">
      <c r="R398" s="870"/>
      <c r="S398" s="870"/>
      <c r="W398" s="870"/>
      <c r="X398" s="870"/>
      <c r="AE398" s="870"/>
      <c r="AF398" s="870"/>
      <c r="AV398" s="870"/>
      <c r="AW398" s="870"/>
      <c r="AX398" s="870"/>
      <c r="AY398" s="870"/>
      <c r="AZ398" s="870"/>
      <c r="BA398" s="870"/>
      <c r="BC398" s="870"/>
      <c r="BE398" s="870"/>
      <c r="BF398" s="870"/>
      <c r="BG398" s="870"/>
    </row>
    <row r="399" spans="18:59" x14ac:dyDescent="0.25">
      <c r="R399" s="870"/>
      <c r="S399" s="870"/>
      <c r="W399" s="870"/>
      <c r="X399" s="870"/>
      <c r="AE399" s="870"/>
      <c r="AF399" s="870"/>
      <c r="AV399" s="870"/>
      <c r="AW399" s="870"/>
      <c r="AX399" s="870"/>
      <c r="AY399" s="870"/>
      <c r="AZ399" s="870"/>
      <c r="BA399" s="870"/>
      <c r="BC399" s="870"/>
      <c r="BE399" s="870"/>
      <c r="BF399" s="870"/>
      <c r="BG399" s="870"/>
    </row>
    <row r="400" spans="18:59" x14ac:dyDescent="0.25">
      <c r="R400" s="870"/>
      <c r="S400" s="870"/>
      <c r="W400" s="870"/>
      <c r="X400" s="870"/>
      <c r="AE400" s="870"/>
      <c r="AF400" s="870"/>
      <c r="AV400" s="870"/>
      <c r="AW400" s="870"/>
      <c r="AX400" s="870"/>
      <c r="AY400" s="870"/>
      <c r="AZ400" s="870"/>
      <c r="BA400" s="870"/>
      <c r="BC400" s="870"/>
      <c r="BE400" s="870"/>
      <c r="BF400" s="870"/>
      <c r="BG400" s="870"/>
    </row>
    <row r="401" spans="18:59" x14ac:dyDescent="0.25">
      <c r="R401" s="870"/>
      <c r="S401" s="870"/>
      <c r="W401" s="870"/>
      <c r="X401" s="870"/>
      <c r="AE401" s="870"/>
      <c r="AF401" s="870"/>
      <c r="AV401" s="870"/>
      <c r="AW401" s="870"/>
      <c r="AX401" s="870"/>
      <c r="AY401" s="870"/>
      <c r="AZ401" s="870"/>
      <c r="BA401" s="870"/>
      <c r="BC401" s="870"/>
      <c r="BE401" s="870"/>
      <c r="BF401" s="870"/>
      <c r="BG401" s="870"/>
    </row>
    <row r="402" spans="18:59" x14ac:dyDescent="0.25">
      <c r="R402" s="870"/>
      <c r="S402" s="870"/>
      <c r="W402" s="870"/>
      <c r="X402" s="870"/>
      <c r="AE402" s="870"/>
      <c r="AF402" s="870"/>
      <c r="AV402" s="870"/>
      <c r="AW402" s="870"/>
      <c r="AX402" s="870"/>
      <c r="AY402" s="870"/>
      <c r="AZ402" s="870"/>
      <c r="BA402" s="870"/>
      <c r="BC402" s="870"/>
      <c r="BE402" s="870"/>
      <c r="BF402" s="870"/>
      <c r="BG402" s="870"/>
    </row>
    <row r="403" spans="18:59" x14ac:dyDescent="0.25">
      <c r="R403" s="870"/>
      <c r="S403" s="870"/>
      <c r="W403" s="870"/>
      <c r="X403" s="870"/>
      <c r="AE403" s="870"/>
      <c r="AF403" s="870"/>
      <c r="AV403" s="870"/>
      <c r="AW403" s="870"/>
      <c r="AX403" s="870"/>
      <c r="AY403" s="870"/>
      <c r="AZ403" s="870"/>
      <c r="BA403" s="870"/>
      <c r="BC403" s="870"/>
      <c r="BE403" s="870"/>
      <c r="BF403" s="870"/>
      <c r="BG403" s="870"/>
    </row>
    <row r="404" spans="18:59" x14ac:dyDescent="0.25">
      <c r="R404" s="870"/>
      <c r="S404" s="870"/>
      <c r="W404" s="870"/>
      <c r="X404" s="870"/>
      <c r="AE404" s="870"/>
      <c r="AF404" s="870"/>
      <c r="AV404" s="870"/>
      <c r="AW404" s="870"/>
      <c r="AX404" s="870"/>
      <c r="AY404" s="870"/>
      <c r="AZ404" s="870"/>
      <c r="BA404" s="870"/>
      <c r="BC404" s="870"/>
      <c r="BE404" s="870"/>
      <c r="BF404" s="870"/>
      <c r="BG404" s="870"/>
    </row>
    <row r="405" spans="18:59" x14ac:dyDescent="0.25">
      <c r="R405" s="870"/>
      <c r="S405" s="870"/>
      <c r="W405" s="870"/>
      <c r="X405" s="870"/>
      <c r="AE405" s="870"/>
      <c r="AF405" s="870"/>
      <c r="AV405" s="870"/>
      <c r="AW405" s="870"/>
      <c r="AX405" s="870"/>
      <c r="AY405" s="870"/>
      <c r="AZ405" s="870"/>
      <c r="BA405" s="870"/>
      <c r="BC405" s="870"/>
      <c r="BE405" s="870"/>
      <c r="BF405" s="870"/>
      <c r="BG405" s="870"/>
    </row>
    <row r="406" spans="18:59" x14ac:dyDescent="0.25">
      <c r="R406" s="870"/>
      <c r="S406" s="870"/>
      <c r="W406" s="870"/>
      <c r="X406" s="870"/>
      <c r="AE406" s="870"/>
      <c r="AF406" s="870"/>
      <c r="AV406" s="870"/>
      <c r="AW406" s="870"/>
      <c r="AX406" s="870"/>
      <c r="AY406" s="870"/>
      <c r="AZ406" s="870"/>
      <c r="BA406" s="870"/>
      <c r="BC406" s="870"/>
      <c r="BE406" s="870"/>
      <c r="BF406" s="870"/>
      <c r="BG406" s="870"/>
    </row>
    <row r="407" spans="18:59" x14ac:dyDescent="0.25">
      <c r="R407" s="870"/>
      <c r="S407" s="870"/>
      <c r="W407" s="870"/>
      <c r="X407" s="870"/>
      <c r="AE407" s="870"/>
      <c r="AF407" s="870"/>
      <c r="AV407" s="870"/>
      <c r="AW407" s="870"/>
      <c r="AX407" s="870"/>
      <c r="AY407" s="870"/>
      <c r="AZ407" s="870"/>
      <c r="BA407" s="870"/>
      <c r="BC407" s="870"/>
      <c r="BE407" s="870"/>
      <c r="BF407" s="870"/>
      <c r="BG407" s="870"/>
    </row>
    <row r="408" spans="18:59" x14ac:dyDescent="0.25">
      <c r="R408" s="870"/>
      <c r="S408" s="870"/>
      <c r="W408" s="870"/>
      <c r="X408" s="870"/>
      <c r="AE408" s="870"/>
      <c r="AF408" s="870"/>
      <c r="AV408" s="870"/>
      <c r="AW408" s="870"/>
      <c r="AX408" s="870"/>
      <c r="AY408" s="870"/>
      <c r="AZ408" s="870"/>
      <c r="BA408" s="870"/>
      <c r="BC408" s="870"/>
      <c r="BE408" s="870"/>
      <c r="BF408" s="870"/>
      <c r="BG408" s="870"/>
    </row>
    <row r="409" spans="18:59" x14ac:dyDescent="0.25">
      <c r="R409" s="870"/>
      <c r="S409" s="870"/>
      <c r="W409" s="870"/>
      <c r="X409" s="870"/>
      <c r="AE409" s="870"/>
      <c r="AF409" s="870"/>
      <c r="AV409" s="870"/>
      <c r="AW409" s="870"/>
      <c r="AX409" s="870"/>
      <c r="AY409" s="870"/>
      <c r="AZ409" s="870"/>
      <c r="BA409" s="870"/>
      <c r="BC409" s="870"/>
      <c r="BE409" s="870"/>
      <c r="BF409" s="870"/>
      <c r="BG409" s="870"/>
    </row>
    <row r="410" spans="18:59" x14ac:dyDescent="0.25">
      <c r="R410" s="870"/>
      <c r="S410" s="870"/>
      <c r="W410" s="870"/>
      <c r="X410" s="870"/>
      <c r="AE410" s="870"/>
      <c r="AF410" s="870"/>
      <c r="AV410" s="870"/>
      <c r="AW410" s="870"/>
      <c r="AX410" s="870"/>
      <c r="AY410" s="870"/>
      <c r="AZ410" s="870"/>
      <c r="BA410" s="870"/>
      <c r="BC410" s="870"/>
      <c r="BE410" s="870"/>
      <c r="BF410" s="870"/>
      <c r="BG410" s="870"/>
    </row>
    <row r="411" spans="18:59" x14ac:dyDescent="0.25">
      <c r="R411" s="870"/>
      <c r="S411" s="870"/>
      <c r="W411" s="870"/>
      <c r="X411" s="870"/>
      <c r="AE411" s="870"/>
      <c r="AF411" s="870"/>
      <c r="AV411" s="870"/>
      <c r="AW411" s="870"/>
      <c r="AX411" s="870"/>
      <c r="AY411" s="870"/>
      <c r="AZ411" s="870"/>
      <c r="BA411" s="870"/>
      <c r="BC411" s="870"/>
      <c r="BE411" s="870"/>
      <c r="BF411" s="870"/>
      <c r="BG411" s="870"/>
    </row>
    <row r="412" spans="18:59" x14ac:dyDescent="0.25">
      <c r="R412" s="870"/>
      <c r="S412" s="870"/>
      <c r="W412" s="870"/>
      <c r="X412" s="870"/>
      <c r="AE412" s="870"/>
      <c r="AF412" s="870"/>
      <c r="AV412" s="870"/>
      <c r="AW412" s="870"/>
      <c r="AX412" s="870"/>
      <c r="AY412" s="870"/>
      <c r="AZ412" s="870"/>
      <c r="BA412" s="870"/>
      <c r="BC412" s="870"/>
      <c r="BE412" s="870"/>
      <c r="BF412" s="870"/>
      <c r="BG412" s="870"/>
    </row>
    <row r="413" spans="18:59" x14ac:dyDescent="0.25">
      <c r="R413" s="870"/>
      <c r="S413" s="870"/>
      <c r="W413" s="870"/>
      <c r="X413" s="870"/>
      <c r="AE413" s="870"/>
      <c r="AF413" s="870"/>
      <c r="AV413" s="870"/>
      <c r="AW413" s="870"/>
      <c r="AX413" s="870"/>
      <c r="AY413" s="870"/>
      <c r="AZ413" s="870"/>
      <c r="BA413" s="870"/>
      <c r="BC413" s="870"/>
      <c r="BE413" s="870"/>
      <c r="BF413" s="870"/>
      <c r="BG413" s="870"/>
    </row>
    <row r="414" spans="18:59" x14ac:dyDescent="0.25">
      <c r="R414" s="870"/>
      <c r="S414" s="870"/>
      <c r="W414" s="870"/>
      <c r="X414" s="870"/>
      <c r="AE414" s="870"/>
      <c r="AF414" s="870"/>
      <c r="AV414" s="870"/>
      <c r="AW414" s="870"/>
      <c r="AX414" s="870"/>
      <c r="AY414" s="870"/>
      <c r="AZ414" s="870"/>
      <c r="BA414" s="870"/>
      <c r="BC414" s="870"/>
      <c r="BE414" s="870"/>
      <c r="BF414" s="870"/>
      <c r="BG414" s="870"/>
    </row>
    <row r="415" spans="18:59" x14ac:dyDescent="0.25">
      <c r="R415" s="870"/>
      <c r="S415" s="870"/>
      <c r="W415" s="870"/>
      <c r="X415" s="870"/>
      <c r="AE415" s="870"/>
      <c r="AF415" s="870"/>
      <c r="AV415" s="870"/>
      <c r="AW415" s="870"/>
      <c r="AX415" s="870"/>
      <c r="AY415" s="870"/>
      <c r="AZ415" s="870"/>
      <c r="BA415" s="870"/>
      <c r="BC415" s="870"/>
      <c r="BE415" s="870"/>
      <c r="BF415" s="870"/>
      <c r="BG415" s="870"/>
    </row>
    <row r="416" spans="18:59" x14ac:dyDescent="0.25">
      <c r="R416" s="870"/>
      <c r="S416" s="870"/>
      <c r="W416" s="870"/>
      <c r="X416" s="870"/>
      <c r="AE416" s="870"/>
      <c r="AF416" s="870"/>
      <c r="AV416" s="870"/>
      <c r="AW416" s="870"/>
      <c r="AX416" s="870"/>
      <c r="AY416" s="870"/>
      <c r="AZ416" s="870"/>
      <c r="BA416" s="870"/>
      <c r="BC416" s="870"/>
      <c r="BE416" s="870"/>
      <c r="BF416" s="870"/>
      <c r="BG416" s="870"/>
    </row>
    <row r="417" spans="18:59" x14ac:dyDescent="0.25">
      <c r="R417" s="870"/>
      <c r="S417" s="870"/>
      <c r="W417" s="870"/>
      <c r="X417" s="870"/>
      <c r="AE417" s="870"/>
      <c r="AF417" s="870"/>
      <c r="AV417" s="870"/>
      <c r="AW417" s="870"/>
      <c r="AX417" s="870"/>
      <c r="AY417" s="870"/>
      <c r="AZ417" s="870"/>
      <c r="BA417" s="870"/>
      <c r="BC417" s="870"/>
      <c r="BE417" s="870"/>
      <c r="BF417" s="870"/>
      <c r="BG417" s="870"/>
    </row>
    <row r="418" spans="18:59" x14ac:dyDescent="0.25">
      <c r="R418" s="870"/>
      <c r="S418" s="870"/>
      <c r="W418" s="870"/>
      <c r="X418" s="870"/>
      <c r="AE418" s="870"/>
      <c r="AF418" s="870"/>
      <c r="AV418" s="870"/>
      <c r="AW418" s="870"/>
      <c r="AX418" s="870"/>
      <c r="AY418" s="870"/>
      <c r="AZ418" s="870"/>
      <c r="BA418" s="870"/>
      <c r="BC418" s="870"/>
      <c r="BE418" s="870"/>
      <c r="BF418" s="870"/>
      <c r="BG418" s="870"/>
    </row>
    <row r="419" spans="18:59" x14ac:dyDescent="0.25">
      <c r="R419" s="870"/>
      <c r="S419" s="870"/>
      <c r="W419" s="870"/>
      <c r="X419" s="870"/>
      <c r="AE419" s="870"/>
      <c r="AF419" s="870"/>
      <c r="AV419" s="870"/>
      <c r="AW419" s="870"/>
      <c r="AX419" s="870"/>
      <c r="AY419" s="870"/>
      <c r="AZ419" s="870"/>
      <c r="BA419" s="870"/>
      <c r="BC419" s="870"/>
      <c r="BE419" s="870"/>
      <c r="BF419" s="870"/>
      <c r="BG419" s="870"/>
    </row>
    <row r="420" spans="18:59" x14ac:dyDescent="0.25">
      <c r="R420" s="870"/>
      <c r="S420" s="870"/>
      <c r="W420" s="870"/>
      <c r="X420" s="870"/>
      <c r="AE420" s="870"/>
      <c r="AF420" s="870"/>
      <c r="AV420" s="870"/>
      <c r="AW420" s="870"/>
      <c r="AX420" s="870"/>
      <c r="AY420" s="870"/>
      <c r="AZ420" s="870"/>
      <c r="BA420" s="870"/>
      <c r="BC420" s="870"/>
      <c r="BE420" s="870"/>
      <c r="BF420" s="870"/>
      <c r="BG420" s="870"/>
    </row>
    <row r="421" spans="18:59" x14ac:dyDescent="0.25">
      <c r="R421" s="870"/>
      <c r="S421" s="870"/>
      <c r="W421" s="870"/>
      <c r="X421" s="870"/>
      <c r="AE421" s="870"/>
      <c r="AF421" s="870"/>
      <c r="AV421" s="870"/>
      <c r="AW421" s="870"/>
      <c r="AX421" s="870"/>
      <c r="AY421" s="870"/>
      <c r="AZ421" s="870"/>
      <c r="BA421" s="870"/>
      <c r="BC421" s="870"/>
      <c r="BE421" s="870"/>
      <c r="BF421" s="870"/>
      <c r="BG421" s="870"/>
    </row>
    <row r="422" spans="18:59" x14ac:dyDescent="0.25">
      <c r="R422" s="870"/>
      <c r="S422" s="870"/>
      <c r="W422" s="870"/>
      <c r="X422" s="870"/>
      <c r="AE422" s="870"/>
      <c r="AF422" s="870"/>
      <c r="AV422" s="870"/>
      <c r="AW422" s="870"/>
      <c r="AX422" s="870"/>
      <c r="AY422" s="870"/>
      <c r="AZ422" s="870"/>
      <c r="BA422" s="870"/>
      <c r="BC422" s="870"/>
      <c r="BE422" s="870"/>
      <c r="BF422" s="870"/>
      <c r="BG422" s="870"/>
    </row>
    <row r="423" spans="18:59" x14ac:dyDescent="0.25">
      <c r="R423" s="870"/>
      <c r="S423" s="870"/>
      <c r="W423" s="870"/>
      <c r="X423" s="870"/>
      <c r="AE423" s="870"/>
      <c r="AF423" s="870"/>
      <c r="AV423" s="870"/>
      <c r="AW423" s="870"/>
      <c r="AX423" s="870"/>
      <c r="AY423" s="870"/>
      <c r="AZ423" s="870"/>
      <c r="BA423" s="870"/>
      <c r="BC423" s="870"/>
      <c r="BE423" s="870"/>
      <c r="BF423" s="870"/>
      <c r="BG423" s="870"/>
    </row>
    <row r="424" spans="18:59" x14ac:dyDescent="0.25">
      <c r="R424" s="870"/>
      <c r="S424" s="870"/>
      <c r="W424" s="870"/>
      <c r="X424" s="870"/>
      <c r="AE424" s="870"/>
      <c r="AF424" s="870"/>
      <c r="AV424" s="870"/>
      <c r="AW424" s="870"/>
      <c r="AX424" s="870"/>
      <c r="AY424" s="870"/>
      <c r="AZ424" s="870"/>
      <c r="BA424" s="870"/>
      <c r="BC424" s="870"/>
      <c r="BE424" s="870"/>
      <c r="BF424" s="870"/>
      <c r="BG424" s="870"/>
    </row>
    <row r="425" spans="18:59" x14ac:dyDescent="0.25">
      <c r="R425" s="870"/>
      <c r="S425" s="870"/>
      <c r="W425" s="870"/>
      <c r="X425" s="870"/>
      <c r="AE425" s="870"/>
      <c r="AF425" s="870"/>
      <c r="AV425" s="870"/>
      <c r="AW425" s="870"/>
      <c r="AX425" s="870"/>
      <c r="AY425" s="870"/>
      <c r="AZ425" s="870"/>
      <c r="BA425" s="870"/>
      <c r="BC425" s="870"/>
      <c r="BE425" s="870"/>
      <c r="BF425" s="870"/>
      <c r="BG425" s="870"/>
    </row>
    <row r="426" spans="18:59" x14ac:dyDescent="0.25">
      <c r="R426" s="870"/>
      <c r="S426" s="870"/>
      <c r="W426" s="870"/>
      <c r="X426" s="870"/>
      <c r="AE426" s="870"/>
      <c r="AF426" s="870"/>
      <c r="AV426" s="870"/>
      <c r="AW426" s="870"/>
      <c r="AX426" s="870"/>
      <c r="AY426" s="870"/>
      <c r="AZ426" s="870"/>
      <c r="BA426" s="870"/>
      <c r="BC426" s="870"/>
      <c r="BE426" s="870"/>
      <c r="BF426" s="870"/>
      <c r="BG426" s="870"/>
    </row>
    <row r="427" spans="18:59" x14ac:dyDescent="0.25">
      <c r="R427" s="870"/>
      <c r="S427" s="870"/>
      <c r="W427" s="870"/>
      <c r="X427" s="870"/>
      <c r="AE427" s="870"/>
      <c r="AF427" s="870"/>
      <c r="AV427" s="870"/>
      <c r="AW427" s="870"/>
      <c r="AX427" s="870"/>
      <c r="AY427" s="870"/>
      <c r="AZ427" s="870"/>
      <c r="BA427" s="870"/>
      <c r="BC427" s="870"/>
      <c r="BE427" s="870"/>
      <c r="BF427" s="870"/>
      <c r="BG427" s="870"/>
    </row>
    <row r="428" spans="18:59" x14ac:dyDescent="0.25">
      <c r="R428" s="870"/>
      <c r="S428" s="870"/>
      <c r="W428" s="870"/>
      <c r="X428" s="870"/>
      <c r="AE428" s="870"/>
      <c r="AF428" s="870"/>
      <c r="AV428" s="870"/>
      <c r="AW428" s="870"/>
      <c r="AX428" s="870"/>
      <c r="AY428" s="870"/>
      <c r="AZ428" s="870"/>
      <c r="BA428" s="870"/>
      <c r="BC428" s="870"/>
      <c r="BE428" s="870"/>
      <c r="BF428" s="870"/>
      <c r="BG428" s="870"/>
    </row>
    <row r="429" spans="18:59" x14ac:dyDescent="0.25">
      <c r="R429" s="870"/>
      <c r="S429" s="870"/>
      <c r="W429" s="870"/>
      <c r="X429" s="870"/>
      <c r="AE429" s="870"/>
      <c r="AF429" s="870"/>
      <c r="AV429" s="870"/>
      <c r="AW429" s="870"/>
      <c r="AX429" s="870"/>
      <c r="AY429" s="870"/>
      <c r="AZ429" s="870"/>
      <c r="BA429" s="870"/>
      <c r="BC429" s="870"/>
      <c r="BE429" s="870"/>
      <c r="BF429" s="870"/>
      <c r="BG429" s="870"/>
    </row>
    <row r="430" spans="18:59" x14ac:dyDescent="0.25">
      <c r="R430" s="870"/>
      <c r="S430" s="870"/>
      <c r="W430" s="870"/>
      <c r="X430" s="870"/>
      <c r="AE430" s="870"/>
      <c r="AF430" s="870"/>
      <c r="AV430" s="870"/>
      <c r="AW430" s="870"/>
      <c r="AX430" s="870"/>
      <c r="AY430" s="870"/>
      <c r="AZ430" s="870"/>
      <c r="BA430" s="870"/>
      <c r="BC430" s="870"/>
      <c r="BE430" s="870"/>
      <c r="BF430" s="870"/>
      <c r="BG430" s="870"/>
    </row>
    <row r="431" spans="18:59" x14ac:dyDescent="0.25">
      <c r="R431" s="870"/>
      <c r="S431" s="870"/>
      <c r="W431" s="870"/>
      <c r="X431" s="870"/>
      <c r="AE431" s="870"/>
      <c r="AF431" s="870"/>
      <c r="AV431" s="870"/>
      <c r="AW431" s="870"/>
      <c r="AX431" s="870"/>
      <c r="AY431" s="870"/>
      <c r="AZ431" s="870"/>
      <c r="BA431" s="870"/>
      <c r="BC431" s="870"/>
      <c r="BE431" s="870"/>
      <c r="BF431" s="870"/>
      <c r="BG431" s="870"/>
    </row>
    <row r="432" spans="18:59" x14ac:dyDescent="0.25">
      <c r="R432" s="870"/>
      <c r="S432" s="870"/>
      <c r="W432" s="870"/>
      <c r="X432" s="870"/>
      <c r="AE432" s="870"/>
      <c r="AF432" s="870"/>
      <c r="AV432" s="870"/>
      <c r="AW432" s="870"/>
      <c r="AX432" s="870"/>
      <c r="AY432" s="870"/>
      <c r="AZ432" s="870"/>
      <c r="BA432" s="870"/>
      <c r="BC432" s="870"/>
      <c r="BE432" s="870"/>
      <c r="BF432" s="870"/>
      <c r="BG432" s="870"/>
    </row>
    <row r="433" spans="18:59" x14ac:dyDescent="0.25">
      <c r="R433" s="870"/>
      <c r="S433" s="870"/>
      <c r="W433" s="870"/>
      <c r="X433" s="870"/>
      <c r="AE433" s="870"/>
      <c r="AF433" s="870"/>
      <c r="AV433" s="870"/>
      <c r="AW433" s="870"/>
      <c r="AX433" s="870"/>
      <c r="AY433" s="870"/>
      <c r="AZ433" s="870"/>
      <c r="BA433" s="870"/>
      <c r="BC433" s="870"/>
      <c r="BE433" s="870"/>
      <c r="BF433" s="870"/>
      <c r="BG433" s="870"/>
    </row>
    <row r="434" spans="18:59" x14ac:dyDescent="0.25">
      <c r="R434" s="870"/>
      <c r="S434" s="870"/>
      <c r="W434" s="870"/>
      <c r="X434" s="870"/>
      <c r="AE434" s="870"/>
      <c r="AF434" s="870"/>
      <c r="AV434" s="870"/>
      <c r="AW434" s="870"/>
      <c r="AX434" s="870"/>
      <c r="AY434" s="870"/>
      <c r="AZ434" s="870"/>
      <c r="BA434" s="870"/>
      <c r="BC434" s="870"/>
      <c r="BE434" s="870"/>
      <c r="BF434" s="870"/>
      <c r="BG434" s="870"/>
    </row>
    <row r="435" spans="18:59" x14ac:dyDescent="0.25">
      <c r="R435" s="870"/>
      <c r="S435" s="870"/>
      <c r="W435" s="870"/>
      <c r="X435" s="870"/>
      <c r="AE435" s="870"/>
      <c r="AF435" s="870"/>
      <c r="AV435" s="870"/>
      <c r="AW435" s="870"/>
      <c r="AX435" s="870"/>
      <c r="AY435" s="870"/>
      <c r="AZ435" s="870"/>
      <c r="BA435" s="870"/>
      <c r="BC435" s="870"/>
      <c r="BE435" s="870"/>
      <c r="BF435" s="870"/>
      <c r="BG435" s="870"/>
    </row>
    <row r="436" spans="18:59" x14ac:dyDescent="0.25">
      <c r="R436" s="870"/>
      <c r="S436" s="870"/>
      <c r="W436" s="870"/>
      <c r="X436" s="870"/>
      <c r="AE436" s="870"/>
      <c r="AF436" s="870"/>
      <c r="AV436" s="870"/>
      <c r="AW436" s="870"/>
      <c r="AX436" s="870"/>
      <c r="AY436" s="870"/>
      <c r="AZ436" s="870"/>
      <c r="BA436" s="870"/>
      <c r="BC436" s="870"/>
      <c r="BE436" s="870"/>
      <c r="BF436" s="870"/>
      <c r="BG436" s="870"/>
    </row>
    <row r="437" spans="18:59" x14ac:dyDescent="0.25">
      <c r="R437" s="870"/>
      <c r="S437" s="870"/>
      <c r="W437" s="870"/>
      <c r="X437" s="870"/>
      <c r="AE437" s="870"/>
      <c r="AF437" s="870"/>
      <c r="AV437" s="870"/>
      <c r="AW437" s="870"/>
      <c r="AX437" s="870"/>
      <c r="AY437" s="870"/>
      <c r="AZ437" s="870"/>
      <c r="BA437" s="870"/>
      <c r="BC437" s="870"/>
      <c r="BE437" s="870"/>
      <c r="BF437" s="870"/>
      <c r="BG437" s="870"/>
    </row>
    <row r="438" spans="18:59" x14ac:dyDescent="0.25">
      <c r="R438" s="870"/>
      <c r="S438" s="870"/>
      <c r="W438" s="870"/>
      <c r="X438" s="870"/>
      <c r="AE438" s="870"/>
      <c r="AF438" s="870"/>
      <c r="AV438" s="870"/>
      <c r="AW438" s="870"/>
      <c r="AX438" s="870"/>
      <c r="AY438" s="870"/>
      <c r="AZ438" s="870"/>
      <c r="BA438" s="870"/>
      <c r="BC438" s="870"/>
      <c r="BE438" s="870"/>
      <c r="BF438" s="870"/>
      <c r="BG438" s="870"/>
    </row>
    <row r="439" spans="18:59" x14ac:dyDescent="0.25">
      <c r="R439" s="870"/>
      <c r="S439" s="870"/>
      <c r="W439" s="870"/>
      <c r="X439" s="870"/>
      <c r="AE439" s="870"/>
      <c r="AF439" s="870"/>
      <c r="AV439" s="870"/>
      <c r="AW439" s="870"/>
      <c r="AX439" s="870"/>
      <c r="AY439" s="870"/>
      <c r="AZ439" s="870"/>
      <c r="BA439" s="870"/>
      <c r="BC439" s="870"/>
      <c r="BE439" s="870"/>
      <c r="BF439" s="870"/>
      <c r="BG439" s="870"/>
    </row>
    <row r="440" spans="18:59" x14ac:dyDescent="0.25">
      <c r="R440" s="870"/>
      <c r="S440" s="870"/>
      <c r="W440" s="870"/>
      <c r="X440" s="870"/>
      <c r="AE440" s="870"/>
      <c r="AF440" s="870"/>
      <c r="AV440" s="870"/>
      <c r="AW440" s="870"/>
      <c r="AX440" s="870"/>
      <c r="AY440" s="870"/>
      <c r="AZ440" s="870"/>
      <c r="BA440" s="870"/>
      <c r="BC440" s="870"/>
      <c r="BE440" s="870"/>
      <c r="BF440" s="870"/>
      <c r="BG440" s="870"/>
    </row>
    <row r="441" spans="18:59" x14ac:dyDescent="0.25">
      <c r="R441" s="870"/>
      <c r="S441" s="870"/>
      <c r="W441" s="870"/>
      <c r="X441" s="870"/>
      <c r="AE441" s="870"/>
      <c r="AF441" s="870"/>
      <c r="AV441" s="870"/>
      <c r="AW441" s="870"/>
      <c r="AX441" s="870"/>
      <c r="AY441" s="870"/>
      <c r="AZ441" s="870"/>
      <c r="BA441" s="870"/>
      <c r="BC441" s="870"/>
      <c r="BE441" s="870"/>
      <c r="BF441" s="870"/>
      <c r="BG441" s="870"/>
    </row>
    <row r="442" spans="18:59" x14ac:dyDescent="0.25">
      <c r="R442" s="870"/>
      <c r="S442" s="870"/>
      <c r="W442" s="870"/>
      <c r="X442" s="870"/>
      <c r="AE442" s="870"/>
      <c r="AF442" s="870"/>
      <c r="AV442" s="870"/>
      <c r="AW442" s="870"/>
      <c r="AX442" s="870"/>
      <c r="AY442" s="870"/>
      <c r="AZ442" s="870"/>
      <c r="BA442" s="870"/>
      <c r="BC442" s="870"/>
      <c r="BE442" s="870"/>
      <c r="BF442" s="870"/>
      <c r="BG442" s="870"/>
    </row>
    <row r="443" spans="18:59" x14ac:dyDescent="0.25">
      <c r="R443" s="870"/>
      <c r="S443" s="870"/>
      <c r="W443" s="870"/>
      <c r="X443" s="870"/>
      <c r="AE443" s="870"/>
      <c r="AF443" s="870"/>
      <c r="AV443" s="870"/>
      <c r="AW443" s="870"/>
      <c r="AX443" s="870"/>
      <c r="AY443" s="870"/>
      <c r="AZ443" s="870"/>
      <c r="BA443" s="870"/>
      <c r="BC443" s="870"/>
      <c r="BE443" s="870"/>
      <c r="BF443" s="870"/>
      <c r="BG443" s="870"/>
    </row>
    <row r="444" spans="18:59" x14ac:dyDescent="0.25">
      <c r="R444" s="870"/>
      <c r="S444" s="870"/>
      <c r="W444" s="870"/>
      <c r="X444" s="870"/>
      <c r="AE444" s="870"/>
      <c r="AF444" s="870"/>
      <c r="AV444" s="870"/>
      <c r="AW444" s="870"/>
      <c r="AX444" s="870"/>
      <c r="AY444" s="870"/>
      <c r="AZ444" s="870"/>
      <c r="BA444" s="870"/>
      <c r="BC444" s="870"/>
      <c r="BE444" s="870"/>
      <c r="BF444" s="870"/>
      <c r="BG444" s="870"/>
    </row>
    <row r="445" spans="18:59" x14ac:dyDescent="0.25">
      <c r="R445" s="870"/>
      <c r="S445" s="870"/>
      <c r="W445" s="870"/>
      <c r="X445" s="870"/>
      <c r="AE445" s="870"/>
      <c r="AF445" s="870"/>
      <c r="AV445" s="870"/>
      <c r="AW445" s="870"/>
      <c r="AX445" s="870"/>
      <c r="AY445" s="870"/>
      <c r="AZ445" s="870"/>
      <c r="BA445" s="870"/>
      <c r="BC445" s="870"/>
      <c r="BE445" s="870"/>
      <c r="BF445" s="870"/>
      <c r="BG445" s="870"/>
    </row>
    <row r="446" spans="18:59" x14ac:dyDescent="0.25">
      <c r="R446" s="870"/>
      <c r="S446" s="870"/>
      <c r="W446" s="870"/>
      <c r="X446" s="870"/>
      <c r="AE446" s="870"/>
      <c r="AF446" s="870"/>
      <c r="AV446" s="870"/>
      <c r="AW446" s="870"/>
      <c r="AX446" s="870"/>
      <c r="AY446" s="870"/>
      <c r="AZ446" s="870"/>
      <c r="BA446" s="870"/>
      <c r="BC446" s="870"/>
      <c r="BE446" s="870"/>
      <c r="BF446" s="870"/>
      <c r="BG446" s="870"/>
    </row>
    <row r="447" spans="18:59" x14ac:dyDescent="0.25">
      <c r="R447" s="870"/>
      <c r="S447" s="870"/>
      <c r="W447" s="870"/>
      <c r="X447" s="870"/>
      <c r="AE447" s="870"/>
      <c r="AF447" s="870"/>
      <c r="AV447" s="870"/>
      <c r="AW447" s="870"/>
      <c r="AX447" s="870"/>
      <c r="AY447" s="870"/>
      <c r="AZ447" s="870"/>
      <c r="BA447" s="870"/>
      <c r="BC447" s="870"/>
      <c r="BE447" s="870"/>
      <c r="BF447" s="870"/>
      <c r="BG447" s="870"/>
    </row>
    <row r="448" spans="18:59" x14ac:dyDescent="0.25">
      <c r="R448" s="870"/>
      <c r="S448" s="870"/>
      <c r="W448" s="870"/>
      <c r="X448" s="870"/>
      <c r="AE448" s="870"/>
      <c r="AF448" s="870"/>
      <c r="AV448" s="870"/>
      <c r="AW448" s="870"/>
      <c r="AX448" s="870"/>
      <c r="AY448" s="870"/>
      <c r="AZ448" s="870"/>
      <c r="BA448" s="870"/>
      <c r="BC448" s="870"/>
      <c r="BE448" s="870"/>
      <c r="BF448" s="870"/>
      <c r="BG448" s="870"/>
    </row>
    <row r="449" spans="18:59" x14ac:dyDescent="0.25">
      <c r="R449" s="870"/>
      <c r="S449" s="870"/>
      <c r="W449" s="870"/>
      <c r="X449" s="870"/>
      <c r="AE449" s="870"/>
      <c r="AF449" s="870"/>
      <c r="AV449" s="870"/>
      <c r="AW449" s="870"/>
      <c r="AX449" s="870"/>
      <c r="AY449" s="870"/>
      <c r="AZ449" s="870"/>
      <c r="BA449" s="870"/>
      <c r="BC449" s="870"/>
      <c r="BE449" s="870"/>
      <c r="BF449" s="870"/>
      <c r="BG449" s="870"/>
    </row>
    <row r="450" spans="18:59" x14ac:dyDescent="0.25">
      <c r="R450" s="870"/>
      <c r="S450" s="870"/>
      <c r="W450" s="870"/>
      <c r="X450" s="870"/>
      <c r="AE450" s="870"/>
      <c r="AF450" s="870"/>
      <c r="AV450" s="870"/>
      <c r="AW450" s="870"/>
      <c r="AX450" s="870"/>
      <c r="AY450" s="870"/>
      <c r="AZ450" s="870"/>
      <c r="BA450" s="870"/>
      <c r="BC450" s="870"/>
      <c r="BE450" s="870"/>
      <c r="BF450" s="870"/>
      <c r="BG450" s="870"/>
    </row>
    <row r="451" spans="18:59" x14ac:dyDescent="0.25">
      <c r="R451" s="870"/>
      <c r="S451" s="870"/>
      <c r="W451" s="870"/>
      <c r="X451" s="870"/>
      <c r="AE451" s="870"/>
      <c r="AF451" s="870"/>
      <c r="AV451" s="870"/>
      <c r="AW451" s="870"/>
      <c r="AX451" s="870"/>
      <c r="AY451" s="870"/>
      <c r="AZ451" s="870"/>
      <c r="BA451" s="870"/>
      <c r="BC451" s="870"/>
      <c r="BE451" s="870"/>
      <c r="BF451" s="870"/>
      <c r="BG451" s="870"/>
    </row>
    <row r="452" spans="18:59" x14ac:dyDescent="0.25">
      <c r="R452" s="870"/>
      <c r="S452" s="870"/>
      <c r="W452" s="870"/>
      <c r="X452" s="870"/>
      <c r="AE452" s="870"/>
      <c r="AF452" s="870"/>
      <c r="AV452" s="870"/>
      <c r="AW452" s="870"/>
      <c r="AX452" s="870"/>
      <c r="AY452" s="870"/>
      <c r="AZ452" s="870"/>
      <c r="BA452" s="870"/>
      <c r="BC452" s="870"/>
      <c r="BE452" s="870"/>
      <c r="BF452" s="870"/>
      <c r="BG452" s="870"/>
    </row>
    <row r="453" spans="18:59" x14ac:dyDescent="0.25">
      <c r="R453" s="870"/>
      <c r="S453" s="870"/>
      <c r="W453" s="870"/>
      <c r="X453" s="870"/>
      <c r="AE453" s="870"/>
      <c r="AF453" s="870"/>
      <c r="AV453" s="870"/>
      <c r="AW453" s="870"/>
      <c r="AX453" s="870"/>
      <c r="AY453" s="870"/>
      <c r="AZ453" s="870"/>
      <c r="BA453" s="870"/>
      <c r="BC453" s="870"/>
      <c r="BE453" s="870"/>
      <c r="BF453" s="870"/>
      <c r="BG453" s="870"/>
    </row>
    <row r="454" spans="18:59" x14ac:dyDescent="0.25">
      <c r="R454" s="870"/>
      <c r="S454" s="870"/>
      <c r="W454" s="870"/>
      <c r="X454" s="870"/>
      <c r="AE454" s="870"/>
      <c r="AF454" s="870"/>
      <c r="AV454" s="870"/>
      <c r="AW454" s="870"/>
      <c r="AX454" s="870"/>
      <c r="AY454" s="870"/>
      <c r="AZ454" s="870"/>
      <c r="BA454" s="870"/>
      <c r="BC454" s="870"/>
      <c r="BE454" s="870"/>
      <c r="BF454" s="870"/>
      <c r="BG454" s="870"/>
    </row>
    <row r="455" spans="18:59" x14ac:dyDescent="0.25">
      <c r="R455" s="870"/>
      <c r="S455" s="870"/>
      <c r="W455" s="870"/>
      <c r="X455" s="870"/>
      <c r="AE455" s="870"/>
      <c r="AF455" s="870"/>
      <c r="AV455" s="870"/>
      <c r="AW455" s="870"/>
      <c r="AX455" s="870"/>
      <c r="AY455" s="870"/>
      <c r="AZ455" s="870"/>
      <c r="BA455" s="870"/>
      <c r="BC455" s="870"/>
      <c r="BE455" s="870"/>
      <c r="BF455" s="870"/>
      <c r="BG455" s="870"/>
    </row>
    <row r="456" spans="18:59" x14ac:dyDescent="0.25">
      <c r="R456" s="870"/>
      <c r="S456" s="870"/>
      <c r="W456" s="870"/>
      <c r="X456" s="870"/>
      <c r="AE456" s="870"/>
      <c r="AF456" s="870"/>
      <c r="AV456" s="870"/>
      <c r="AW456" s="870"/>
      <c r="AX456" s="870"/>
      <c r="AY456" s="870"/>
      <c r="AZ456" s="870"/>
      <c r="BA456" s="870"/>
      <c r="BC456" s="870"/>
      <c r="BE456" s="870"/>
      <c r="BF456" s="870"/>
      <c r="BG456" s="870"/>
    </row>
    <row r="457" spans="18:59" x14ac:dyDescent="0.25">
      <c r="R457" s="870"/>
      <c r="S457" s="870"/>
      <c r="W457" s="870"/>
      <c r="X457" s="870"/>
      <c r="AE457" s="870"/>
      <c r="AF457" s="870"/>
      <c r="AV457" s="870"/>
      <c r="AW457" s="870"/>
      <c r="AX457" s="870"/>
      <c r="AY457" s="870"/>
      <c r="AZ457" s="870"/>
      <c r="BA457" s="870"/>
      <c r="BC457" s="870"/>
      <c r="BE457" s="870"/>
      <c r="BF457" s="870"/>
      <c r="BG457" s="870"/>
    </row>
    <row r="458" spans="18:59" x14ac:dyDescent="0.25">
      <c r="R458" s="870"/>
      <c r="S458" s="870"/>
      <c r="W458" s="870"/>
      <c r="X458" s="870"/>
      <c r="AE458" s="870"/>
      <c r="AF458" s="870"/>
      <c r="AV458" s="870"/>
      <c r="AW458" s="870"/>
      <c r="AX458" s="870"/>
      <c r="AY458" s="870"/>
      <c r="AZ458" s="870"/>
      <c r="BA458" s="870"/>
      <c r="BC458" s="870"/>
      <c r="BE458" s="870"/>
      <c r="BF458" s="870"/>
      <c r="BG458" s="870"/>
    </row>
    <row r="459" spans="18:59" x14ac:dyDescent="0.25">
      <c r="R459" s="870"/>
      <c r="S459" s="870"/>
      <c r="W459" s="870"/>
      <c r="X459" s="870"/>
      <c r="AE459" s="870"/>
      <c r="AF459" s="870"/>
      <c r="AV459" s="870"/>
      <c r="AW459" s="870"/>
      <c r="AX459" s="870"/>
      <c r="AY459" s="870"/>
      <c r="AZ459" s="870"/>
      <c r="BA459" s="870"/>
      <c r="BC459" s="870"/>
      <c r="BE459" s="870"/>
      <c r="BF459" s="870"/>
      <c r="BG459" s="870"/>
    </row>
    <row r="460" spans="18:59" x14ac:dyDescent="0.25">
      <c r="R460" s="870"/>
      <c r="S460" s="870"/>
      <c r="W460" s="870"/>
      <c r="X460" s="870"/>
      <c r="AE460" s="870"/>
      <c r="AF460" s="870"/>
      <c r="AV460" s="870"/>
      <c r="AW460" s="870"/>
      <c r="AX460" s="870"/>
      <c r="AY460" s="870"/>
      <c r="AZ460" s="870"/>
      <c r="BA460" s="870"/>
      <c r="BC460" s="870"/>
      <c r="BE460" s="870"/>
      <c r="BF460" s="870"/>
      <c r="BG460" s="870"/>
    </row>
    <row r="461" spans="18:59" x14ac:dyDescent="0.25">
      <c r="R461" s="870"/>
      <c r="S461" s="870"/>
      <c r="W461" s="870"/>
      <c r="X461" s="870"/>
      <c r="AE461" s="870"/>
      <c r="AF461" s="870"/>
      <c r="AV461" s="870"/>
      <c r="AW461" s="870"/>
      <c r="AX461" s="870"/>
      <c r="AY461" s="870"/>
      <c r="AZ461" s="870"/>
      <c r="BA461" s="870"/>
      <c r="BC461" s="870"/>
      <c r="BE461" s="870"/>
      <c r="BF461" s="870"/>
      <c r="BG461" s="870"/>
    </row>
    <row r="462" spans="18:59" x14ac:dyDescent="0.25">
      <c r="R462" s="870"/>
      <c r="S462" s="870"/>
      <c r="W462" s="870"/>
      <c r="X462" s="870"/>
      <c r="AE462" s="870"/>
      <c r="AF462" s="870"/>
      <c r="AV462" s="870"/>
      <c r="AW462" s="870"/>
      <c r="AX462" s="870"/>
      <c r="AY462" s="870"/>
      <c r="AZ462" s="870"/>
      <c r="BA462" s="870"/>
      <c r="BC462" s="870"/>
      <c r="BE462" s="870"/>
      <c r="BF462" s="870"/>
      <c r="BG462" s="870"/>
    </row>
    <row r="463" spans="18:59" x14ac:dyDescent="0.25">
      <c r="R463" s="870"/>
      <c r="S463" s="870"/>
      <c r="W463" s="870"/>
      <c r="X463" s="870"/>
      <c r="AE463" s="870"/>
      <c r="AF463" s="870"/>
      <c r="AV463" s="870"/>
      <c r="AW463" s="870"/>
      <c r="AX463" s="870"/>
      <c r="AY463" s="870"/>
      <c r="AZ463" s="870"/>
      <c r="BA463" s="870"/>
      <c r="BC463" s="870"/>
      <c r="BE463" s="870"/>
      <c r="BF463" s="870"/>
      <c r="BG463" s="870"/>
    </row>
    <row r="464" spans="18:59" x14ac:dyDescent="0.25">
      <c r="R464" s="870"/>
      <c r="S464" s="870"/>
      <c r="W464" s="870"/>
      <c r="X464" s="870"/>
      <c r="AE464" s="870"/>
      <c r="AF464" s="870"/>
      <c r="AV464" s="870"/>
      <c r="AW464" s="870"/>
      <c r="AX464" s="870"/>
      <c r="AY464" s="870"/>
      <c r="AZ464" s="870"/>
      <c r="BA464" s="870"/>
      <c r="BC464" s="870"/>
      <c r="BE464" s="870"/>
      <c r="BF464" s="870"/>
      <c r="BG464" s="870"/>
    </row>
    <row r="465" spans="18:59" x14ac:dyDescent="0.25">
      <c r="R465" s="870"/>
      <c r="S465" s="870"/>
      <c r="W465" s="870"/>
      <c r="X465" s="870"/>
      <c r="AE465" s="870"/>
      <c r="AF465" s="870"/>
      <c r="AV465" s="870"/>
      <c r="AW465" s="870"/>
      <c r="AX465" s="870"/>
      <c r="AY465" s="870"/>
      <c r="AZ465" s="870"/>
      <c r="BA465" s="870"/>
      <c r="BC465" s="870"/>
      <c r="BE465" s="870"/>
      <c r="BF465" s="870"/>
      <c r="BG465" s="870"/>
    </row>
    <row r="466" spans="18:59" x14ac:dyDescent="0.25">
      <c r="R466" s="870"/>
      <c r="S466" s="870"/>
      <c r="W466" s="870"/>
      <c r="X466" s="870"/>
      <c r="AE466" s="870"/>
      <c r="AF466" s="870"/>
      <c r="AV466" s="870"/>
      <c r="AW466" s="870"/>
      <c r="AX466" s="870"/>
      <c r="AY466" s="870"/>
      <c r="AZ466" s="870"/>
      <c r="BA466" s="870"/>
      <c r="BC466" s="870"/>
      <c r="BE466" s="870"/>
      <c r="BF466" s="870"/>
      <c r="BG466" s="870"/>
    </row>
    <row r="467" spans="18:59" x14ac:dyDescent="0.25">
      <c r="R467" s="870"/>
      <c r="S467" s="870"/>
      <c r="W467" s="870"/>
      <c r="X467" s="870"/>
      <c r="AE467" s="870"/>
      <c r="AF467" s="870"/>
      <c r="AV467" s="870"/>
      <c r="AW467" s="870"/>
      <c r="AX467" s="870"/>
      <c r="AY467" s="870"/>
      <c r="AZ467" s="870"/>
      <c r="BA467" s="870"/>
      <c r="BC467" s="870"/>
      <c r="BE467" s="870"/>
      <c r="BF467" s="870"/>
      <c r="BG467" s="870"/>
    </row>
    <row r="468" spans="18:59" x14ac:dyDescent="0.25">
      <c r="R468" s="870"/>
      <c r="S468" s="870"/>
      <c r="W468" s="870"/>
      <c r="X468" s="870"/>
      <c r="AE468" s="870"/>
      <c r="AF468" s="870"/>
      <c r="AV468" s="870"/>
      <c r="AW468" s="870"/>
      <c r="AX468" s="870"/>
      <c r="AY468" s="870"/>
      <c r="AZ468" s="870"/>
      <c r="BA468" s="870"/>
      <c r="BC468" s="870"/>
      <c r="BE468" s="870"/>
      <c r="BF468" s="870"/>
      <c r="BG468" s="870"/>
    </row>
    <row r="469" spans="18:59" x14ac:dyDescent="0.25">
      <c r="R469" s="870"/>
      <c r="S469" s="870"/>
      <c r="W469" s="870"/>
      <c r="X469" s="870"/>
      <c r="AE469" s="870"/>
      <c r="AF469" s="870"/>
      <c r="AV469" s="870"/>
      <c r="AW469" s="870"/>
      <c r="AX469" s="870"/>
      <c r="AY469" s="870"/>
      <c r="AZ469" s="870"/>
      <c r="BA469" s="870"/>
      <c r="BC469" s="870"/>
      <c r="BE469" s="870"/>
      <c r="BF469" s="870"/>
      <c r="BG469" s="870"/>
    </row>
    <row r="470" spans="18:59" x14ac:dyDescent="0.25">
      <c r="R470" s="870"/>
      <c r="S470" s="870"/>
      <c r="W470" s="870"/>
      <c r="X470" s="870"/>
      <c r="AE470" s="870"/>
      <c r="AF470" s="870"/>
      <c r="AV470" s="870"/>
      <c r="AW470" s="870"/>
      <c r="AX470" s="870"/>
      <c r="AY470" s="870"/>
      <c r="AZ470" s="870"/>
      <c r="BA470" s="870"/>
      <c r="BC470" s="870"/>
      <c r="BE470" s="870"/>
      <c r="BF470" s="870"/>
      <c r="BG470" s="870"/>
    </row>
    <row r="471" spans="18:59" x14ac:dyDescent="0.25">
      <c r="R471" s="870"/>
      <c r="S471" s="870"/>
      <c r="W471" s="870"/>
      <c r="X471" s="870"/>
      <c r="AE471" s="870"/>
      <c r="AF471" s="870"/>
      <c r="AV471" s="870"/>
      <c r="AW471" s="870"/>
      <c r="AX471" s="870"/>
      <c r="AY471" s="870"/>
      <c r="AZ471" s="870"/>
      <c r="BA471" s="870"/>
      <c r="BC471" s="870"/>
      <c r="BE471" s="870"/>
      <c r="BF471" s="870"/>
      <c r="BG471" s="870"/>
    </row>
    <row r="472" spans="18:59" x14ac:dyDescent="0.25">
      <c r="R472" s="870"/>
      <c r="S472" s="870"/>
      <c r="W472" s="870"/>
      <c r="X472" s="870"/>
      <c r="AE472" s="870"/>
      <c r="AF472" s="870"/>
      <c r="AV472" s="870"/>
      <c r="AW472" s="870"/>
      <c r="AX472" s="870"/>
      <c r="AY472" s="870"/>
      <c r="AZ472" s="870"/>
      <c r="BA472" s="870"/>
      <c r="BC472" s="870"/>
      <c r="BE472" s="870"/>
      <c r="BF472" s="870"/>
      <c r="BG472" s="870"/>
    </row>
    <row r="473" spans="18:59" x14ac:dyDescent="0.25">
      <c r="R473" s="870"/>
      <c r="S473" s="870"/>
      <c r="W473" s="870"/>
      <c r="X473" s="870"/>
      <c r="AE473" s="870"/>
      <c r="AF473" s="870"/>
      <c r="AV473" s="870"/>
      <c r="AW473" s="870"/>
      <c r="AX473" s="870"/>
      <c r="AY473" s="870"/>
      <c r="AZ473" s="870"/>
      <c r="BA473" s="870"/>
      <c r="BC473" s="870"/>
      <c r="BE473" s="870"/>
      <c r="BF473" s="870"/>
      <c r="BG473" s="870"/>
    </row>
    <row r="474" spans="18:59" x14ac:dyDescent="0.25">
      <c r="R474" s="870"/>
      <c r="S474" s="870"/>
      <c r="W474" s="870"/>
      <c r="X474" s="870"/>
      <c r="AE474" s="870"/>
      <c r="AF474" s="870"/>
      <c r="AV474" s="870"/>
      <c r="AW474" s="870"/>
      <c r="AX474" s="870"/>
      <c r="AY474" s="870"/>
      <c r="AZ474" s="870"/>
      <c r="BA474" s="870"/>
      <c r="BC474" s="870"/>
      <c r="BE474" s="870"/>
      <c r="BF474" s="870"/>
      <c r="BG474" s="870"/>
    </row>
    <row r="475" spans="18:59" x14ac:dyDescent="0.25">
      <c r="R475" s="870"/>
      <c r="S475" s="870"/>
      <c r="W475" s="870"/>
      <c r="X475" s="870"/>
      <c r="AE475" s="870"/>
      <c r="AF475" s="870"/>
      <c r="AV475" s="870"/>
      <c r="AW475" s="870"/>
      <c r="AX475" s="870"/>
      <c r="AY475" s="870"/>
      <c r="AZ475" s="870"/>
      <c r="BA475" s="870"/>
      <c r="BC475" s="870"/>
      <c r="BE475" s="870"/>
      <c r="BF475" s="870"/>
      <c r="BG475" s="870"/>
    </row>
    <row r="476" spans="18:59" x14ac:dyDescent="0.25">
      <c r="R476" s="870"/>
      <c r="S476" s="870"/>
      <c r="W476" s="870"/>
      <c r="X476" s="870"/>
      <c r="AE476" s="870"/>
      <c r="AF476" s="870"/>
      <c r="AV476" s="870"/>
      <c r="AW476" s="870"/>
      <c r="AX476" s="870"/>
      <c r="AY476" s="870"/>
      <c r="AZ476" s="870"/>
      <c r="BA476" s="870"/>
      <c r="BC476" s="870"/>
      <c r="BE476" s="870"/>
      <c r="BF476" s="870"/>
      <c r="BG476" s="870"/>
    </row>
    <row r="477" spans="18:59" x14ac:dyDescent="0.25">
      <c r="R477" s="870"/>
      <c r="S477" s="870"/>
      <c r="W477" s="870"/>
      <c r="X477" s="870"/>
      <c r="AE477" s="870"/>
      <c r="AF477" s="870"/>
      <c r="AV477" s="870"/>
      <c r="AW477" s="870"/>
      <c r="AX477" s="870"/>
      <c r="AY477" s="870"/>
      <c r="AZ477" s="870"/>
      <c r="BA477" s="870"/>
      <c r="BC477" s="870"/>
      <c r="BE477" s="870"/>
      <c r="BF477" s="870"/>
      <c r="BG477" s="870"/>
    </row>
    <row r="478" spans="18:59" x14ac:dyDescent="0.25">
      <c r="R478" s="870"/>
      <c r="S478" s="870"/>
      <c r="W478" s="870"/>
      <c r="X478" s="870"/>
      <c r="AE478" s="870"/>
      <c r="AF478" s="870"/>
      <c r="AV478" s="870"/>
      <c r="AW478" s="870"/>
      <c r="AX478" s="870"/>
      <c r="AY478" s="870"/>
      <c r="AZ478" s="870"/>
      <c r="BA478" s="870"/>
      <c r="BC478" s="870"/>
      <c r="BE478" s="870"/>
      <c r="BF478" s="870"/>
      <c r="BG478" s="870"/>
    </row>
    <row r="479" spans="18:59" x14ac:dyDescent="0.25">
      <c r="R479" s="870"/>
      <c r="S479" s="870"/>
      <c r="W479" s="870"/>
      <c r="X479" s="870"/>
      <c r="AE479" s="870"/>
      <c r="AF479" s="870"/>
      <c r="AV479" s="870"/>
      <c r="AW479" s="870"/>
      <c r="AX479" s="870"/>
      <c r="AY479" s="870"/>
      <c r="AZ479" s="870"/>
      <c r="BA479" s="870"/>
      <c r="BC479" s="870"/>
      <c r="BE479" s="870"/>
      <c r="BF479" s="870"/>
      <c r="BG479" s="870"/>
    </row>
    <row r="480" spans="18:59" x14ac:dyDescent="0.25">
      <c r="R480" s="870"/>
      <c r="S480" s="870"/>
      <c r="W480" s="870"/>
      <c r="X480" s="870"/>
      <c r="AE480" s="870"/>
      <c r="AF480" s="870"/>
      <c r="AV480" s="870"/>
      <c r="AW480" s="870"/>
      <c r="AX480" s="870"/>
      <c r="AY480" s="870"/>
      <c r="AZ480" s="870"/>
      <c r="BA480" s="870"/>
      <c r="BC480" s="870"/>
      <c r="BE480" s="870"/>
      <c r="BF480" s="870"/>
      <c r="BG480" s="870"/>
    </row>
    <row r="481" spans="18:59" x14ac:dyDescent="0.25">
      <c r="R481" s="870"/>
      <c r="S481" s="870"/>
      <c r="W481" s="870"/>
      <c r="X481" s="870"/>
      <c r="AE481" s="870"/>
      <c r="AF481" s="870"/>
      <c r="AV481" s="870"/>
      <c r="AW481" s="870"/>
      <c r="AX481" s="870"/>
      <c r="AY481" s="870"/>
      <c r="AZ481" s="870"/>
      <c r="BA481" s="870"/>
      <c r="BC481" s="870"/>
      <c r="BE481" s="870"/>
      <c r="BF481" s="870"/>
      <c r="BG481" s="870"/>
    </row>
    <row r="482" spans="18:59" x14ac:dyDescent="0.25">
      <c r="R482" s="870"/>
      <c r="S482" s="870"/>
      <c r="W482" s="870"/>
      <c r="X482" s="870"/>
      <c r="AE482" s="870"/>
      <c r="AF482" s="870"/>
      <c r="AV482" s="870"/>
      <c r="AW482" s="870"/>
      <c r="AX482" s="870"/>
      <c r="AY482" s="870"/>
      <c r="AZ482" s="870"/>
      <c r="BA482" s="870"/>
      <c r="BC482" s="870"/>
      <c r="BE482" s="870"/>
      <c r="BF482" s="870"/>
      <c r="BG482" s="870"/>
    </row>
    <row r="483" spans="18:59" x14ac:dyDescent="0.25">
      <c r="R483" s="870"/>
      <c r="S483" s="870"/>
      <c r="W483" s="870"/>
      <c r="X483" s="870"/>
      <c r="AE483" s="870"/>
      <c r="AF483" s="870"/>
      <c r="AV483" s="870"/>
      <c r="AW483" s="870"/>
      <c r="AX483" s="870"/>
      <c r="AY483" s="870"/>
      <c r="AZ483" s="870"/>
      <c r="BA483" s="870"/>
      <c r="BC483" s="870"/>
      <c r="BE483" s="870"/>
      <c r="BF483" s="870"/>
      <c r="BG483" s="870"/>
    </row>
    <row r="484" spans="18:59" x14ac:dyDescent="0.25">
      <c r="R484" s="870"/>
      <c r="S484" s="870"/>
      <c r="W484" s="870"/>
      <c r="X484" s="870"/>
      <c r="AE484" s="870"/>
      <c r="AF484" s="870"/>
      <c r="AV484" s="870"/>
      <c r="AW484" s="870"/>
      <c r="AX484" s="870"/>
      <c r="AY484" s="870"/>
      <c r="AZ484" s="870"/>
      <c r="BA484" s="870"/>
      <c r="BC484" s="870"/>
      <c r="BE484" s="870"/>
      <c r="BF484" s="870"/>
      <c r="BG484" s="870"/>
    </row>
    <row r="485" spans="18:59" x14ac:dyDescent="0.25">
      <c r="R485" s="870"/>
      <c r="S485" s="870"/>
      <c r="W485" s="870"/>
      <c r="X485" s="870"/>
      <c r="AE485" s="870"/>
      <c r="AF485" s="870"/>
      <c r="AV485" s="870"/>
      <c r="AW485" s="870"/>
      <c r="AX485" s="870"/>
      <c r="AY485" s="870"/>
      <c r="AZ485" s="870"/>
      <c r="BA485" s="870"/>
      <c r="BC485" s="870"/>
      <c r="BE485" s="870"/>
      <c r="BF485" s="870"/>
      <c r="BG485" s="870"/>
    </row>
    <row r="486" spans="18:59" x14ac:dyDescent="0.25">
      <c r="R486" s="870"/>
      <c r="S486" s="870"/>
      <c r="W486" s="870"/>
      <c r="X486" s="870"/>
      <c r="AE486" s="870"/>
      <c r="AF486" s="870"/>
      <c r="AV486" s="870"/>
      <c r="AW486" s="870"/>
      <c r="AX486" s="870"/>
      <c r="AY486" s="870"/>
      <c r="AZ486" s="870"/>
      <c r="BA486" s="870"/>
      <c r="BC486" s="870"/>
      <c r="BE486" s="870"/>
      <c r="BF486" s="870"/>
      <c r="BG486" s="870"/>
    </row>
    <row r="487" spans="18:59" x14ac:dyDescent="0.25">
      <c r="R487" s="870"/>
      <c r="S487" s="870"/>
      <c r="W487" s="870"/>
      <c r="X487" s="870"/>
      <c r="AE487" s="870"/>
      <c r="AF487" s="870"/>
      <c r="AV487" s="870"/>
      <c r="AW487" s="870"/>
      <c r="AX487" s="870"/>
      <c r="AY487" s="870"/>
      <c r="AZ487" s="870"/>
      <c r="BA487" s="870"/>
      <c r="BC487" s="870"/>
      <c r="BE487" s="870"/>
      <c r="BF487" s="870"/>
      <c r="BG487" s="870"/>
    </row>
    <row r="488" spans="18:59" x14ac:dyDescent="0.25">
      <c r="R488" s="870"/>
      <c r="S488" s="870"/>
      <c r="W488" s="870"/>
      <c r="X488" s="870"/>
      <c r="AE488" s="870"/>
      <c r="AF488" s="870"/>
      <c r="AV488" s="870"/>
      <c r="AW488" s="870"/>
      <c r="AX488" s="870"/>
      <c r="AY488" s="870"/>
      <c r="AZ488" s="870"/>
      <c r="BA488" s="870"/>
      <c r="BC488" s="870"/>
      <c r="BE488" s="870"/>
      <c r="BF488" s="870"/>
      <c r="BG488" s="870"/>
    </row>
    <row r="489" spans="18:59" x14ac:dyDescent="0.25">
      <c r="R489" s="870"/>
      <c r="S489" s="870"/>
      <c r="W489" s="870"/>
      <c r="X489" s="870"/>
      <c r="AE489" s="870"/>
      <c r="AF489" s="870"/>
      <c r="AV489" s="870"/>
      <c r="AW489" s="870"/>
      <c r="AX489" s="870"/>
      <c r="AY489" s="870"/>
      <c r="AZ489" s="870"/>
      <c r="BA489" s="870"/>
      <c r="BC489" s="870"/>
      <c r="BE489" s="870"/>
      <c r="BF489" s="870"/>
      <c r="BG489" s="870"/>
    </row>
    <row r="490" spans="18:59" x14ac:dyDescent="0.25">
      <c r="R490" s="870"/>
      <c r="S490" s="870"/>
      <c r="W490" s="870"/>
      <c r="X490" s="870"/>
      <c r="AE490" s="870"/>
      <c r="AF490" s="870"/>
      <c r="AV490" s="870"/>
      <c r="AW490" s="870"/>
      <c r="AX490" s="870"/>
      <c r="AY490" s="870"/>
      <c r="AZ490" s="870"/>
      <c r="BA490" s="870"/>
      <c r="BC490" s="870"/>
      <c r="BE490" s="870"/>
      <c r="BF490" s="870"/>
      <c r="BG490" s="870"/>
    </row>
    <row r="491" spans="18:59" x14ac:dyDescent="0.25">
      <c r="R491" s="870"/>
      <c r="S491" s="870"/>
      <c r="W491" s="870"/>
      <c r="X491" s="870"/>
      <c r="AE491" s="870"/>
      <c r="AF491" s="870"/>
      <c r="AV491" s="870"/>
      <c r="AW491" s="870"/>
      <c r="AX491" s="870"/>
      <c r="AY491" s="870"/>
      <c r="AZ491" s="870"/>
      <c r="BA491" s="870"/>
      <c r="BC491" s="870"/>
      <c r="BE491" s="870"/>
      <c r="BF491" s="870"/>
      <c r="BG491" s="870"/>
    </row>
    <row r="492" spans="18:59" x14ac:dyDescent="0.25">
      <c r="R492" s="870"/>
      <c r="S492" s="870"/>
      <c r="W492" s="870"/>
      <c r="X492" s="870"/>
      <c r="AE492" s="870"/>
      <c r="AF492" s="870"/>
      <c r="AV492" s="870"/>
      <c r="AW492" s="870"/>
      <c r="AX492" s="870"/>
      <c r="AY492" s="870"/>
      <c r="AZ492" s="870"/>
      <c r="BA492" s="870"/>
      <c r="BC492" s="870"/>
      <c r="BE492" s="870"/>
      <c r="BF492" s="870"/>
      <c r="BG492" s="870"/>
    </row>
    <row r="493" spans="18:59" x14ac:dyDescent="0.25">
      <c r="R493" s="870"/>
      <c r="S493" s="870"/>
      <c r="W493" s="870"/>
      <c r="X493" s="870"/>
      <c r="AE493" s="870"/>
      <c r="AF493" s="870"/>
      <c r="AV493" s="870"/>
      <c r="AW493" s="870"/>
      <c r="AX493" s="870"/>
      <c r="AY493" s="870"/>
      <c r="AZ493" s="870"/>
      <c r="BA493" s="870"/>
      <c r="BC493" s="870"/>
      <c r="BE493" s="870"/>
      <c r="BF493" s="870"/>
      <c r="BG493" s="870"/>
    </row>
    <row r="494" spans="18:59" x14ac:dyDescent="0.25">
      <c r="R494" s="870"/>
      <c r="S494" s="870"/>
      <c r="W494" s="870"/>
      <c r="X494" s="870"/>
      <c r="AE494" s="870"/>
      <c r="AF494" s="870"/>
      <c r="AV494" s="870"/>
      <c r="AW494" s="870"/>
      <c r="AX494" s="870"/>
      <c r="AY494" s="870"/>
      <c r="AZ494" s="870"/>
      <c r="BA494" s="870"/>
      <c r="BC494" s="870"/>
      <c r="BE494" s="870"/>
      <c r="BF494" s="870"/>
      <c r="BG494" s="870"/>
    </row>
    <row r="495" spans="18:59" x14ac:dyDescent="0.25">
      <c r="R495" s="870"/>
      <c r="S495" s="870"/>
      <c r="W495" s="870"/>
      <c r="X495" s="870"/>
      <c r="AE495" s="870"/>
      <c r="AF495" s="870"/>
      <c r="AV495" s="870"/>
      <c r="AW495" s="870"/>
      <c r="AX495" s="870"/>
      <c r="AY495" s="870"/>
      <c r="AZ495" s="870"/>
      <c r="BA495" s="870"/>
      <c r="BC495" s="870"/>
      <c r="BE495" s="870"/>
      <c r="BF495" s="870"/>
      <c r="BG495" s="870"/>
    </row>
    <row r="496" spans="18:59" x14ac:dyDescent="0.25">
      <c r="R496" s="870"/>
      <c r="S496" s="870"/>
      <c r="W496" s="870"/>
      <c r="X496" s="870"/>
      <c r="AE496" s="870"/>
      <c r="AF496" s="870"/>
      <c r="AV496" s="870"/>
      <c r="AW496" s="870"/>
      <c r="AX496" s="870"/>
      <c r="AY496" s="870"/>
      <c r="AZ496" s="870"/>
      <c r="BA496" s="870"/>
      <c r="BC496" s="870"/>
      <c r="BE496" s="870"/>
      <c r="BF496" s="870"/>
      <c r="BG496" s="870"/>
    </row>
    <row r="497" spans="18:59" x14ac:dyDescent="0.25">
      <c r="R497" s="870"/>
      <c r="S497" s="870"/>
      <c r="W497" s="870"/>
      <c r="X497" s="870"/>
      <c r="AE497" s="870"/>
      <c r="AF497" s="870"/>
      <c r="AV497" s="870"/>
      <c r="AW497" s="870"/>
      <c r="AX497" s="870"/>
      <c r="AY497" s="870"/>
      <c r="AZ497" s="870"/>
      <c r="BA497" s="870"/>
      <c r="BC497" s="870"/>
      <c r="BE497" s="870"/>
      <c r="BF497" s="870"/>
      <c r="BG497" s="870"/>
    </row>
    <row r="498" spans="18:59" x14ac:dyDescent="0.25">
      <c r="R498" s="870"/>
      <c r="S498" s="870"/>
      <c r="W498" s="870"/>
      <c r="X498" s="870"/>
      <c r="AE498" s="870"/>
      <c r="AF498" s="870"/>
      <c r="AV498" s="870"/>
      <c r="AW498" s="870"/>
      <c r="AX498" s="870"/>
      <c r="AY498" s="870"/>
      <c r="AZ498" s="870"/>
      <c r="BA498" s="870"/>
      <c r="BC498" s="870"/>
      <c r="BE498" s="870"/>
      <c r="BF498" s="870"/>
      <c r="BG498" s="870"/>
    </row>
    <row r="499" spans="18:59" x14ac:dyDescent="0.25">
      <c r="R499" s="870"/>
      <c r="S499" s="870"/>
      <c r="W499" s="870"/>
      <c r="X499" s="870"/>
      <c r="AE499" s="870"/>
      <c r="AF499" s="870"/>
      <c r="AV499" s="870"/>
      <c r="AW499" s="870"/>
      <c r="AX499" s="870"/>
      <c r="AY499" s="870"/>
      <c r="AZ499" s="870"/>
      <c r="BA499" s="870"/>
      <c r="BC499" s="870"/>
      <c r="BE499" s="870"/>
      <c r="BF499" s="870"/>
      <c r="BG499" s="870"/>
    </row>
    <row r="500" spans="18:59" x14ac:dyDescent="0.25">
      <c r="R500" s="870"/>
      <c r="S500" s="870"/>
      <c r="W500" s="870"/>
      <c r="X500" s="870"/>
      <c r="AE500" s="870"/>
      <c r="AF500" s="870"/>
      <c r="AV500" s="870"/>
      <c r="AW500" s="870"/>
      <c r="AX500" s="870"/>
      <c r="AY500" s="870"/>
      <c r="AZ500" s="870"/>
      <c r="BA500" s="870"/>
      <c r="BC500" s="870"/>
      <c r="BE500" s="870"/>
      <c r="BF500" s="870"/>
      <c r="BG500" s="870"/>
    </row>
    <row r="501" spans="18:59" x14ac:dyDescent="0.25">
      <c r="R501" s="870"/>
      <c r="S501" s="870"/>
      <c r="W501" s="870"/>
      <c r="X501" s="870"/>
      <c r="AE501" s="870"/>
      <c r="AF501" s="870"/>
      <c r="AV501" s="870"/>
      <c r="AW501" s="870"/>
      <c r="AX501" s="870"/>
      <c r="AY501" s="870"/>
      <c r="AZ501" s="870"/>
      <c r="BA501" s="870"/>
      <c r="BC501" s="870"/>
      <c r="BE501" s="870"/>
      <c r="BF501" s="870"/>
      <c r="BG501" s="870"/>
    </row>
    <row r="502" spans="18:59" x14ac:dyDescent="0.25">
      <c r="R502" s="870"/>
      <c r="S502" s="870"/>
      <c r="W502" s="870"/>
      <c r="X502" s="870"/>
      <c r="AE502" s="870"/>
      <c r="AF502" s="870"/>
      <c r="AV502" s="870"/>
      <c r="AW502" s="870"/>
      <c r="AX502" s="870"/>
      <c r="AY502" s="870"/>
      <c r="AZ502" s="870"/>
      <c r="BA502" s="870"/>
      <c r="BC502" s="870"/>
      <c r="BE502" s="870"/>
      <c r="BF502" s="870"/>
      <c r="BG502" s="87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74" t="s">
        <v>798</v>
      </c>
      <c r="B1" s="874"/>
      <c r="C1" s="874"/>
      <c r="D1" s="874"/>
    </row>
    <row r="2" spans="1:22" x14ac:dyDescent="0.25">
      <c r="A2" t="s">
        <v>799</v>
      </c>
      <c r="B2" s="124">
        <v>2021</v>
      </c>
      <c r="C2" s="124">
        <v>2021</v>
      </c>
      <c r="D2" s="124">
        <v>2021</v>
      </c>
      <c r="E2" s="124">
        <v>2022</v>
      </c>
      <c r="F2" s="124">
        <v>2022</v>
      </c>
      <c r="G2" s="124">
        <v>2022</v>
      </c>
      <c r="H2" s="124">
        <v>2022</v>
      </c>
      <c r="I2" s="124">
        <v>2023</v>
      </c>
      <c r="J2" s="124">
        <v>2023</v>
      </c>
      <c r="K2" s="124">
        <v>2023</v>
      </c>
      <c r="L2" s="124">
        <v>2023</v>
      </c>
      <c r="M2" s="124">
        <v>2024</v>
      </c>
      <c r="N2" s="124">
        <v>2024</v>
      </c>
      <c r="O2" s="124">
        <v>2024</v>
      </c>
      <c r="P2" s="124">
        <v>2024</v>
      </c>
      <c r="Q2" s="124">
        <v>2025</v>
      </c>
      <c r="R2" s="124">
        <v>2025</v>
      </c>
      <c r="S2" s="124">
        <v>2025</v>
      </c>
      <c r="T2" s="124">
        <v>2025</v>
      </c>
      <c r="U2" s="124">
        <v>2026</v>
      </c>
    </row>
    <row r="3" spans="1:22" x14ac:dyDescent="0.25">
      <c r="A3" s="847" t="s">
        <v>800</v>
      </c>
      <c r="B3" s="872" t="s">
        <v>801</v>
      </c>
      <c r="C3" s="872" t="s">
        <v>802</v>
      </c>
      <c r="D3" s="872" t="s">
        <v>803</v>
      </c>
      <c r="E3" s="872" t="s">
        <v>804</v>
      </c>
      <c r="F3" s="872" t="s">
        <v>805</v>
      </c>
      <c r="G3" s="872" t="s">
        <v>806</v>
      </c>
      <c r="H3" s="872" t="s">
        <v>807</v>
      </c>
      <c r="I3" s="872" t="s">
        <v>808</v>
      </c>
      <c r="J3" s="872" t="s">
        <v>809</v>
      </c>
      <c r="K3" s="872" t="s">
        <v>810</v>
      </c>
      <c r="L3" s="872" t="s">
        <v>811</v>
      </c>
      <c r="M3" s="872" t="s">
        <v>812</v>
      </c>
      <c r="N3" s="872" t="s">
        <v>813</v>
      </c>
      <c r="O3" s="872" t="s">
        <v>814</v>
      </c>
      <c r="P3" s="872" t="s">
        <v>815</v>
      </c>
      <c r="Q3" s="872" t="s">
        <v>816</v>
      </c>
      <c r="R3" s="872" t="s">
        <v>817</v>
      </c>
      <c r="S3" s="872" t="s">
        <v>818</v>
      </c>
      <c r="T3" s="872" t="s">
        <v>819</v>
      </c>
      <c r="U3" s="872" t="s">
        <v>820</v>
      </c>
    </row>
    <row r="4" spans="1:22" x14ac:dyDescent="0.25">
      <c r="A4" s="847" t="s">
        <v>821</v>
      </c>
      <c r="B4" s="872"/>
      <c r="C4" s="872"/>
      <c r="D4" s="872">
        <v>0</v>
      </c>
      <c r="E4" s="872">
        <v>0</v>
      </c>
      <c r="F4" s="872">
        <v>0.5</v>
      </c>
      <c r="G4" s="872">
        <v>0.5</v>
      </c>
      <c r="H4" s="872">
        <v>0</v>
      </c>
      <c r="I4" s="872">
        <v>0</v>
      </c>
      <c r="J4" s="872">
        <v>0</v>
      </c>
      <c r="K4" s="872">
        <v>0</v>
      </c>
      <c r="L4" s="872">
        <v>0</v>
      </c>
      <c r="M4" s="872">
        <v>0</v>
      </c>
      <c r="N4" s="872">
        <v>0</v>
      </c>
      <c r="O4" s="872">
        <v>0</v>
      </c>
      <c r="P4" s="872">
        <v>0</v>
      </c>
      <c r="Q4" s="872">
        <v>0</v>
      </c>
      <c r="R4" s="872">
        <v>0</v>
      </c>
      <c r="S4" s="872">
        <v>0</v>
      </c>
      <c r="T4" s="872">
        <v>0</v>
      </c>
      <c r="U4" s="872">
        <v>0</v>
      </c>
    </row>
    <row r="5" spans="1:22" x14ac:dyDescent="0.25">
      <c r="A5" s="847" t="s">
        <v>822</v>
      </c>
      <c r="B5" s="872">
        <v>0.04</v>
      </c>
      <c r="C5" s="872">
        <v>0.48</v>
      </c>
      <c r="D5" s="872">
        <v>0.48</v>
      </c>
      <c r="E5" s="872">
        <v>0</v>
      </c>
      <c r="F5" s="872">
        <v>0</v>
      </c>
      <c r="G5" s="872">
        <v>0</v>
      </c>
      <c r="H5" s="872">
        <v>0</v>
      </c>
      <c r="I5" s="872">
        <v>0</v>
      </c>
      <c r="J5" s="872">
        <v>0</v>
      </c>
      <c r="K5" s="872">
        <v>0</v>
      </c>
      <c r="L5" s="872">
        <v>0</v>
      </c>
      <c r="M5" s="872">
        <v>0</v>
      </c>
      <c r="N5" s="872">
        <v>0</v>
      </c>
      <c r="O5" s="872">
        <v>0</v>
      </c>
      <c r="P5" s="872">
        <v>0</v>
      </c>
      <c r="Q5" s="872">
        <v>0</v>
      </c>
      <c r="R5" s="872">
        <v>0</v>
      </c>
      <c r="S5" s="872">
        <v>0</v>
      </c>
      <c r="T5" s="872">
        <v>0</v>
      </c>
      <c r="U5" s="872">
        <v>0</v>
      </c>
    </row>
    <row r="6" spans="1:22" x14ac:dyDescent="0.25">
      <c r="A6" s="847" t="s">
        <v>823</v>
      </c>
      <c r="B6" s="872">
        <f>B8</f>
        <v>0</v>
      </c>
      <c r="C6" s="872">
        <f>C8</f>
        <v>0.43</v>
      </c>
      <c r="D6" s="872">
        <f t="shared" ref="D6:U6" si="0">D8</f>
        <v>0.56999999999999995</v>
      </c>
      <c r="E6" s="872">
        <f t="shared" si="0"/>
        <v>0.25</v>
      </c>
      <c r="F6" s="872">
        <f t="shared" si="0"/>
        <v>0.25</v>
      </c>
      <c r="G6" s="872">
        <f t="shared" si="0"/>
        <v>0.25</v>
      </c>
      <c r="H6" s="872">
        <f t="shared" si="0"/>
        <v>0.25</v>
      </c>
      <c r="I6" s="872">
        <f t="shared" si="0"/>
        <v>0.25</v>
      </c>
      <c r="J6" s="872">
        <f t="shared" si="0"/>
        <v>0.25</v>
      </c>
      <c r="K6" s="872">
        <f t="shared" si="0"/>
        <v>0.25</v>
      </c>
      <c r="L6" s="872">
        <f t="shared" si="0"/>
        <v>0.25</v>
      </c>
      <c r="M6" s="872">
        <f t="shared" si="0"/>
        <v>0.25</v>
      </c>
      <c r="N6" s="872">
        <f t="shared" si="0"/>
        <v>0.25</v>
      </c>
      <c r="O6" s="872">
        <f t="shared" si="0"/>
        <v>0.25</v>
      </c>
      <c r="P6" s="872">
        <f t="shared" si="0"/>
        <v>0.25</v>
      </c>
      <c r="Q6" s="872">
        <f t="shared" si="0"/>
        <v>0.25</v>
      </c>
      <c r="R6" s="872">
        <f t="shared" si="0"/>
        <v>0.25</v>
      </c>
      <c r="S6" s="872">
        <f t="shared" si="0"/>
        <v>0.25</v>
      </c>
      <c r="T6" s="872">
        <f t="shared" si="0"/>
        <v>0.25</v>
      </c>
      <c r="U6" s="872">
        <f t="shared" si="0"/>
        <v>0.25</v>
      </c>
    </row>
    <row r="7" spans="1:22" x14ac:dyDescent="0.25">
      <c r="A7" s="847" t="s">
        <v>824</v>
      </c>
      <c r="B7" s="872">
        <v>0</v>
      </c>
      <c r="C7" s="872">
        <v>0</v>
      </c>
      <c r="D7" s="872">
        <v>1</v>
      </c>
      <c r="E7" s="872">
        <v>0.25</v>
      </c>
      <c r="F7" s="872">
        <v>0.25</v>
      </c>
      <c r="G7" s="872">
        <v>0.25</v>
      </c>
      <c r="H7" s="872">
        <v>0.25</v>
      </c>
      <c r="I7" s="872">
        <v>0.25</v>
      </c>
      <c r="J7" s="872">
        <v>0.25</v>
      </c>
      <c r="K7" s="872">
        <v>0.25</v>
      </c>
      <c r="L7" s="872">
        <v>0.25</v>
      </c>
      <c r="M7" s="872">
        <v>0.25</v>
      </c>
      <c r="N7" s="872">
        <v>0.25</v>
      </c>
      <c r="O7" s="872">
        <v>0.25</v>
      </c>
      <c r="P7" s="872">
        <v>0.25</v>
      </c>
      <c r="Q7" s="872">
        <v>0.25</v>
      </c>
      <c r="R7" s="872">
        <v>0.25</v>
      </c>
      <c r="S7" s="872">
        <v>0.25</v>
      </c>
      <c r="T7" s="872">
        <v>0.25</v>
      </c>
      <c r="U7" s="872">
        <v>0.25</v>
      </c>
    </row>
    <row r="8" spans="1:22" x14ac:dyDescent="0.25">
      <c r="A8" s="847" t="s">
        <v>825</v>
      </c>
      <c r="B8" s="872">
        <v>0</v>
      </c>
      <c r="C8" s="872">
        <v>0.43</v>
      </c>
      <c r="D8" s="872">
        <v>0.56999999999999995</v>
      </c>
      <c r="E8" s="872">
        <v>0.25</v>
      </c>
      <c r="F8" s="872">
        <v>0.25</v>
      </c>
      <c r="G8" s="872">
        <v>0.25</v>
      </c>
      <c r="H8" s="872">
        <v>0.25</v>
      </c>
      <c r="I8" s="872">
        <v>0.25</v>
      </c>
      <c r="J8" s="872">
        <v>0.25</v>
      </c>
      <c r="K8" s="872">
        <v>0.25</v>
      </c>
      <c r="L8" s="872">
        <v>0.25</v>
      </c>
      <c r="M8" s="872">
        <v>0.25</v>
      </c>
      <c r="N8" s="872">
        <v>0.25</v>
      </c>
      <c r="O8" s="872">
        <v>0.25</v>
      </c>
      <c r="P8" s="872">
        <v>0.25</v>
      </c>
      <c r="Q8" s="872">
        <v>0.25</v>
      </c>
      <c r="R8" s="872">
        <v>0.25</v>
      </c>
      <c r="S8" s="872">
        <v>0.25</v>
      </c>
      <c r="T8" s="872">
        <v>0.25</v>
      </c>
      <c r="U8" s="872">
        <v>0.25</v>
      </c>
    </row>
    <row r="9" spans="1:22" ht="27" customHeight="1" x14ac:dyDescent="0.25">
      <c r="A9" s="847" t="s">
        <v>826</v>
      </c>
      <c r="B9" s="872">
        <v>0</v>
      </c>
      <c r="C9" s="872">
        <f>0.18</f>
        <v>0.18</v>
      </c>
      <c r="D9" s="872">
        <f>1-C9</f>
        <v>0.82000000000000006</v>
      </c>
      <c r="E9" s="872">
        <v>0.25</v>
      </c>
      <c r="F9" s="872">
        <v>0.25</v>
      </c>
      <c r="G9" s="872">
        <v>0.25</v>
      </c>
      <c r="H9" s="872">
        <v>0.25</v>
      </c>
      <c r="I9" s="872">
        <v>0.25</v>
      </c>
      <c r="J9" s="872">
        <v>0.25</v>
      </c>
      <c r="K9" s="872">
        <v>0.25</v>
      </c>
      <c r="L9" s="872">
        <v>0.25</v>
      </c>
      <c r="M9" s="872">
        <v>0.25</v>
      </c>
      <c r="N9" s="872">
        <v>0.25</v>
      </c>
      <c r="O9" s="872">
        <v>0.25</v>
      </c>
      <c r="P9" s="872">
        <v>0.25</v>
      </c>
      <c r="Q9" s="872">
        <v>0.25</v>
      </c>
      <c r="R9" s="872">
        <v>0.25</v>
      </c>
      <c r="S9" s="872">
        <v>0.25</v>
      </c>
      <c r="T9" s="872">
        <v>0.25</v>
      </c>
      <c r="U9" s="872">
        <v>0.25</v>
      </c>
    </row>
    <row r="10" spans="1:22" x14ac:dyDescent="0.25">
      <c r="A10" s="847" t="s">
        <v>827</v>
      </c>
      <c r="B10" s="872">
        <v>0</v>
      </c>
      <c r="C10" s="872">
        <v>0.5</v>
      </c>
      <c r="D10" s="872">
        <v>0.5</v>
      </c>
      <c r="E10" s="872">
        <v>0.25</v>
      </c>
      <c r="F10" s="872">
        <v>0.25</v>
      </c>
      <c r="G10" s="872">
        <v>0.25</v>
      </c>
      <c r="H10" s="872">
        <v>0.25</v>
      </c>
      <c r="I10" s="872">
        <v>0.25</v>
      </c>
      <c r="J10" s="872">
        <v>0.25</v>
      </c>
      <c r="K10" s="872">
        <v>0.25</v>
      </c>
      <c r="L10" s="872">
        <v>0.25</v>
      </c>
      <c r="M10" s="872">
        <v>0.25</v>
      </c>
      <c r="N10" s="872">
        <v>0.25</v>
      </c>
      <c r="O10" s="872">
        <v>0.25</v>
      </c>
      <c r="P10" s="872">
        <v>0.25</v>
      </c>
      <c r="Q10" s="872">
        <v>0.25</v>
      </c>
      <c r="R10" s="872">
        <v>0.25</v>
      </c>
      <c r="S10" s="872">
        <v>0.25</v>
      </c>
      <c r="T10" s="872">
        <v>0.25</v>
      </c>
      <c r="U10" s="872">
        <v>0.25</v>
      </c>
    </row>
    <row r="11" spans="1:22" x14ac:dyDescent="0.25">
      <c r="A11" s="847" t="s">
        <v>828</v>
      </c>
      <c r="B11" s="872">
        <v>0</v>
      </c>
      <c r="C11" s="872">
        <v>0.5</v>
      </c>
      <c r="D11" s="872">
        <v>0.5</v>
      </c>
      <c r="E11" s="872">
        <v>0.25</v>
      </c>
      <c r="F11" s="872">
        <v>0.25</v>
      </c>
      <c r="G11" s="872">
        <v>0.25</v>
      </c>
      <c r="H11" s="872">
        <v>0.25</v>
      </c>
      <c r="I11" s="872">
        <v>0.25</v>
      </c>
      <c r="J11" s="872">
        <v>0.25</v>
      </c>
      <c r="K11" s="872">
        <v>0.25</v>
      </c>
      <c r="L11" s="872">
        <v>0.25</v>
      </c>
      <c r="M11" s="872">
        <v>0.25</v>
      </c>
      <c r="N11" s="872">
        <v>0.25</v>
      </c>
      <c r="O11" s="872">
        <v>0.25</v>
      </c>
      <c r="P11" s="872">
        <v>0.25</v>
      </c>
      <c r="Q11" s="872">
        <v>0.25</v>
      </c>
      <c r="R11" s="872">
        <v>0.25</v>
      </c>
      <c r="S11" s="872">
        <v>0.25</v>
      </c>
      <c r="T11" s="872">
        <v>0.25</v>
      </c>
      <c r="U11" s="872">
        <v>0.25</v>
      </c>
    </row>
    <row r="12" spans="1:22" ht="14.25" customHeight="1" x14ac:dyDescent="0.25">
      <c r="A12" s="847" t="s">
        <v>829</v>
      </c>
      <c r="B12" s="872">
        <v>1</v>
      </c>
      <c r="C12" s="872"/>
      <c r="D12" s="872"/>
      <c r="E12" s="872"/>
      <c r="F12" s="872"/>
      <c r="G12" s="872"/>
      <c r="H12" s="872"/>
      <c r="I12" s="872"/>
      <c r="J12" s="872"/>
      <c r="K12" s="872"/>
      <c r="L12" s="872"/>
      <c r="M12" s="872"/>
      <c r="N12" s="872"/>
      <c r="O12" s="872"/>
      <c r="P12" s="872"/>
      <c r="Q12" s="872"/>
      <c r="R12" s="872"/>
      <c r="S12" s="872"/>
      <c r="T12" s="872"/>
      <c r="U12" s="872"/>
    </row>
    <row r="13" spans="1:22" x14ac:dyDescent="0.25">
      <c r="A13" s="847" t="s">
        <v>830</v>
      </c>
      <c r="B13" s="872">
        <v>0</v>
      </c>
      <c r="C13" s="872">
        <v>0.4</v>
      </c>
      <c r="D13" s="872">
        <v>0.6</v>
      </c>
      <c r="E13" s="872">
        <v>0.4</v>
      </c>
      <c r="F13" s="872">
        <v>0.3</v>
      </c>
      <c r="G13" s="872">
        <v>0.2</v>
      </c>
      <c r="H13" s="872">
        <v>0.1</v>
      </c>
      <c r="I13" s="872">
        <v>0.25</v>
      </c>
      <c r="J13" s="872">
        <v>0.25</v>
      </c>
      <c r="K13" s="872">
        <v>0.25</v>
      </c>
      <c r="L13" s="872">
        <v>0.25</v>
      </c>
      <c r="M13" s="872">
        <v>0.25</v>
      </c>
      <c r="N13" s="872">
        <v>0.25</v>
      </c>
      <c r="O13" s="872">
        <v>0.25</v>
      </c>
      <c r="P13" s="872">
        <v>0.25</v>
      </c>
      <c r="Q13" s="872">
        <v>0.25</v>
      </c>
      <c r="R13" s="872">
        <v>0.25</v>
      </c>
      <c r="S13" s="872">
        <v>0.25</v>
      </c>
      <c r="T13" s="872">
        <v>0.25</v>
      </c>
      <c r="U13" s="872">
        <v>0.25</v>
      </c>
    </row>
    <row r="14" spans="1:22" x14ac:dyDescent="0.25">
      <c r="A14" s="847"/>
      <c r="B14" s="872"/>
      <c r="C14" s="872"/>
      <c r="D14" s="872"/>
      <c r="E14" s="872"/>
      <c r="F14" s="872"/>
      <c r="G14" s="872"/>
      <c r="H14" s="872"/>
      <c r="I14" s="872"/>
      <c r="J14" s="872"/>
      <c r="K14" s="872"/>
      <c r="L14" s="872"/>
      <c r="M14" s="872"/>
      <c r="N14" s="872"/>
      <c r="O14" s="872"/>
      <c r="P14" s="872"/>
      <c r="Q14" s="872"/>
      <c r="R14" s="872"/>
      <c r="S14" s="872"/>
      <c r="T14" s="872"/>
      <c r="U14" s="872"/>
    </row>
    <row r="15" spans="1:22" ht="27" customHeight="1" x14ac:dyDescent="0.25">
      <c r="A15" s="873" t="s">
        <v>831</v>
      </c>
      <c r="B15" s="872">
        <v>1</v>
      </c>
      <c r="C15" s="872">
        <v>2</v>
      </c>
      <c r="D15" s="872">
        <v>3</v>
      </c>
      <c r="E15" s="872">
        <v>4</v>
      </c>
      <c r="F15" s="872">
        <v>5</v>
      </c>
      <c r="G15" s="872">
        <v>6</v>
      </c>
      <c r="H15" s="872">
        <v>7</v>
      </c>
      <c r="I15" s="872">
        <v>8</v>
      </c>
      <c r="J15" s="872">
        <v>9</v>
      </c>
      <c r="K15" s="872">
        <v>10</v>
      </c>
      <c r="L15" s="872">
        <v>11</v>
      </c>
      <c r="M15" s="872">
        <v>12</v>
      </c>
      <c r="N15" s="872">
        <v>13</v>
      </c>
      <c r="O15" s="872">
        <v>14</v>
      </c>
      <c r="P15" s="872">
        <v>15</v>
      </c>
      <c r="Q15" s="872">
        <v>16</v>
      </c>
      <c r="R15" s="872">
        <v>17</v>
      </c>
      <c r="S15" s="872">
        <v>18</v>
      </c>
      <c r="T15" s="872">
        <v>19</v>
      </c>
      <c r="U15" s="872">
        <v>20</v>
      </c>
    </row>
    <row r="16" spans="1:22" x14ac:dyDescent="0.25">
      <c r="A16" s="847" t="s">
        <v>832</v>
      </c>
      <c r="B16" s="872">
        <v>7.0000000000000007E-2</v>
      </c>
      <c r="C16" s="872">
        <v>7.0000000000000007E-2</v>
      </c>
      <c r="D16" s="872">
        <v>4.9000000000000002E-2</v>
      </c>
      <c r="E16" s="872">
        <v>4.9000000000000002E-2</v>
      </c>
      <c r="F16" s="872">
        <v>4.9000000000000002E-2</v>
      </c>
      <c r="G16" s="872">
        <v>4.9000000000000002E-2</v>
      </c>
      <c r="H16" s="872">
        <v>4.9000000000000002E-2</v>
      </c>
      <c r="I16" s="872">
        <v>4.9000000000000002E-2</v>
      </c>
      <c r="J16" s="872">
        <v>4.9000000000000002E-2</v>
      </c>
      <c r="K16" s="872">
        <v>4.9000000000000002E-2</v>
      </c>
      <c r="L16" s="872">
        <v>4.9000000000000002E-2</v>
      </c>
      <c r="M16" s="872">
        <v>4.9000000000000002E-2</v>
      </c>
      <c r="N16" s="872">
        <f t="shared" ref="N16:T16" si="1">0.0475</f>
        <v>4.7500000000000001E-2</v>
      </c>
      <c r="O16" s="872">
        <f t="shared" si="1"/>
        <v>4.7500000000000001E-2</v>
      </c>
      <c r="P16" s="872">
        <f t="shared" si="1"/>
        <v>4.7500000000000001E-2</v>
      </c>
      <c r="Q16" s="872">
        <f t="shared" si="1"/>
        <v>4.7500000000000001E-2</v>
      </c>
      <c r="R16" s="872">
        <f t="shared" si="1"/>
        <v>4.7500000000000001E-2</v>
      </c>
      <c r="S16" s="872">
        <f t="shared" si="1"/>
        <v>4.7500000000000001E-2</v>
      </c>
      <c r="T16" s="872">
        <f t="shared" si="1"/>
        <v>4.7500000000000001E-2</v>
      </c>
      <c r="U16" s="872">
        <f>0.0375</f>
        <v>3.7499999999999999E-2</v>
      </c>
      <c r="V16" s="872">
        <f>SUM(B16:U16)</f>
        <v>0.99999999999999989</v>
      </c>
    </row>
    <row r="17" spans="1:23" ht="27" customHeight="1" x14ac:dyDescent="0.25">
      <c r="A17" s="847" t="s">
        <v>833</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72">
        <f>SUM(B17:U17)</f>
        <v>0.94000000000000006</v>
      </c>
      <c r="W17" t="s">
        <v>834</v>
      </c>
    </row>
    <row r="19" spans="1:23" x14ac:dyDescent="0.25">
      <c r="B19" s="111">
        <f>'Federal and State Purchases'!M27</f>
        <v>0</v>
      </c>
      <c r="C19" s="111">
        <f>'Federal and State Purchases'!J27</f>
        <v>0</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E30" sqref="E30"/>
    </sheetView>
  </sheetViews>
  <sheetFormatPr defaultColWidth="11.42578125" defaultRowHeight="15" x14ac:dyDescent="0.25"/>
  <cols>
    <col min="1" max="1" width="15.42578125" customWidth="1"/>
    <col min="2" max="2" width="32.42578125" customWidth="1"/>
  </cols>
  <sheetData>
    <row r="1" spans="1:23" x14ac:dyDescent="0.25">
      <c r="A1" s="884" t="s">
        <v>835</v>
      </c>
      <c r="B1" s="884" t="s">
        <v>745</v>
      </c>
      <c r="C1" s="875">
        <v>2021</v>
      </c>
      <c r="D1" s="875">
        <f>C1</f>
        <v>2021</v>
      </c>
      <c r="E1" s="875">
        <f>D1</f>
        <v>2021</v>
      </c>
      <c r="F1" s="875">
        <v>2022</v>
      </c>
      <c r="G1" s="875">
        <v>2022</v>
      </c>
      <c r="H1" s="875">
        <v>2022</v>
      </c>
      <c r="I1" s="875">
        <v>2022</v>
      </c>
      <c r="J1" s="875">
        <v>2023</v>
      </c>
      <c r="K1" s="875">
        <v>2023</v>
      </c>
      <c r="L1" s="875">
        <v>2023</v>
      </c>
      <c r="M1" s="875">
        <v>2023</v>
      </c>
      <c r="N1" s="875">
        <v>2024</v>
      </c>
      <c r="O1" s="875">
        <v>2024</v>
      </c>
      <c r="P1" s="875">
        <v>2024</v>
      </c>
      <c r="Q1" s="875">
        <v>2024</v>
      </c>
      <c r="R1" s="875">
        <v>2025</v>
      </c>
      <c r="S1" s="875">
        <v>2025</v>
      </c>
      <c r="T1" s="875">
        <v>2025</v>
      </c>
      <c r="U1" s="875">
        <v>2025</v>
      </c>
      <c r="V1" s="875">
        <v>2026</v>
      </c>
    </row>
    <row r="2" spans="1:23" x14ac:dyDescent="0.25">
      <c r="B2" s="884" t="s">
        <v>836</v>
      </c>
      <c r="C2" s="124" t="s">
        <v>295</v>
      </c>
      <c r="D2" s="124" t="s">
        <v>296</v>
      </c>
      <c r="E2" s="124" t="s">
        <v>180</v>
      </c>
      <c r="F2" s="124" t="s">
        <v>181</v>
      </c>
      <c r="G2" s="124" t="s">
        <v>182</v>
      </c>
      <c r="H2" s="124" t="s">
        <v>183</v>
      </c>
      <c r="I2" s="124" t="s">
        <v>184</v>
      </c>
      <c r="J2" s="124" t="s">
        <v>185</v>
      </c>
      <c r="K2" s="124" t="s">
        <v>186</v>
      </c>
      <c r="L2" s="124" t="s">
        <v>187</v>
      </c>
      <c r="M2" s="124" t="s">
        <v>188</v>
      </c>
      <c r="N2" s="124" t="s">
        <v>189</v>
      </c>
      <c r="O2" s="124" t="s">
        <v>190</v>
      </c>
      <c r="P2" s="124" t="s">
        <v>191</v>
      </c>
      <c r="Q2" s="124" t="s">
        <v>175</v>
      </c>
      <c r="R2" s="124" t="s">
        <v>176</v>
      </c>
      <c r="S2" s="124" t="s">
        <v>177</v>
      </c>
      <c r="T2" s="124" t="s">
        <v>837</v>
      </c>
      <c r="U2" s="124" t="s">
        <v>838</v>
      </c>
      <c r="V2" s="124" t="s">
        <v>839</v>
      </c>
    </row>
    <row r="3" spans="1:23" x14ac:dyDescent="0.25">
      <c r="A3" s="884">
        <v>3</v>
      </c>
      <c r="B3" s="884" t="s">
        <v>600</v>
      </c>
      <c r="C3" s="876">
        <f>4*'ARP Timing'!B6*VLOOKUP(C$1,'ARP Score'!$A$5:$M14,$A3)</f>
        <v>0</v>
      </c>
      <c r="D3" s="876">
        <f>4*'ARP Timing'!C6*VLOOKUP(D$1,'ARP Score'!$A$5:$M14,$A3)</f>
        <v>336.60399999999998</v>
      </c>
      <c r="E3" s="876">
        <f>4*'ARP Timing'!D6*VLOOKUP(E$1,'ARP Score'!$A$5:$M14,$A3)</f>
        <v>446.19599999999991</v>
      </c>
      <c r="F3" s="876">
        <f>4*'ARP Timing'!E6*VLOOKUP(F$1,'ARP Score'!$A$5:$M14,$A3)</f>
        <v>10.1</v>
      </c>
      <c r="G3" s="876">
        <f>4*'ARP Timing'!F6*VLOOKUP(G$1,'ARP Score'!$A$5:$M14,$A3)</f>
        <v>10.1</v>
      </c>
      <c r="H3" s="876">
        <f>4*'ARP Timing'!G6*VLOOKUP(H$1,'ARP Score'!$A$5:$M14,$A3)</f>
        <v>10.1</v>
      </c>
      <c r="I3" s="876">
        <f>4*'ARP Timing'!H6*VLOOKUP(I$1,'ARP Score'!$A$5:$M14,$A3)</f>
        <v>10.1</v>
      </c>
      <c r="J3" s="876">
        <f>4*'ARP Timing'!I6*VLOOKUP(J$1,'ARP Score'!$A$5:$M14,$A3)</f>
        <v>0</v>
      </c>
      <c r="K3" s="876">
        <f>4*'ARP Timing'!J6*VLOOKUP(K$1,'ARP Score'!$A$5:$M14,$A3)</f>
        <v>0</v>
      </c>
      <c r="L3" s="876">
        <f>4*'ARP Timing'!K6*VLOOKUP(L$1,'ARP Score'!$A$5:$M14,$A3)</f>
        <v>0</v>
      </c>
      <c r="M3" s="876">
        <f>4*'ARP Timing'!L6*VLOOKUP(M$1,'ARP Score'!$A$5:$M14,$A3)</f>
        <v>0</v>
      </c>
      <c r="N3" s="876">
        <f>4*'ARP Timing'!M6*VLOOKUP(N$1,'ARP Score'!$A$5:$M14,$A3)</f>
        <v>0</v>
      </c>
      <c r="O3" s="876">
        <f>4*'ARP Timing'!N6*VLOOKUP(O$1,'ARP Score'!$A$5:$M14,$A3)</f>
        <v>0</v>
      </c>
      <c r="P3" s="876">
        <f>4*'ARP Timing'!O6*VLOOKUP(P$1,'ARP Score'!$A$5:$M14,$A3)</f>
        <v>0</v>
      </c>
      <c r="Q3" s="876">
        <f>4*'ARP Timing'!P6*VLOOKUP(Q$1,'ARP Score'!$A$5:$M14,$A3)</f>
        <v>0</v>
      </c>
      <c r="R3" s="876">
        <f>4*'ARP Timing'!Q6*VLOOKUP(R$1,'ARP Score'!$A$5:$M14,$A3)</f>
        <v>0</v>
      </c>
      <c r="S3" s="876">
        <f>4*'ARP Timing'!R6*VLOOKUP(S$1,'ARP Score'!$A$5:$M14,$A3)</f>
        <v>0</v>
      </c>
      <c r="T3" s="876">
        <f>4*'ARP Timing'!S6*VLOOKUP(T$1,'ARP Score'!$A$5:$M14,$A3)</f>
        <v>0</v>
      </c>
      <c r="U3" s="876">
        <f>4*'ARP Timing'!T6*VLOOKUP(U$1,'ARP Score'!$A$5:$M14,$A3)</f>
        <v>0</v>
      </c>
      <c r="V3" s="876">
        <f>4*'ARP Timing'!U6*VLOOKUP(V$1,'ARP Score'!$A$5:$M14,$A3)</f>
        <v>0</v>
      </c>
      <c r="W3" s="876">
        <f>SUM(C3:U3)/4</f>
        <v>205.8</v>
      </c>
    </row>
    <row r="4" spans="1:23" x14ac:dyDescent="0.25">
      <c r="A4" s="884">
        <v>5</v>
      </c>
      <c r="B4" s="877" t="s">
        <v>747</v>
      </c>
      <c r="C4" s="876">
        <f>4*'ARP Timing'!B7*VLOOKUP(C$1,'ARP Score'!$A$5:$M15,$A4)</f>
        <v>0</v>
      </c>
      <c r="D4" s="876">
        <f>4*'ARP Timing'!C7*VLOOKUP(D$1,'ARP Score'!$A$5:$M15,$A4)</f>
        <v>0</v>
      </c>
      <c r="E4" s="876">
        <f>4*'ARP Timing'!D7*VLOOKUP(E$1,'ARP Score'!$A$5:$M15,$A4)</f>
        <v>3.1040000000000418</v>
      </c>
      <c r="F4" s="876">
        <f>4*'ARP Timing'!E7*VLOOKUP(F$1,'ARP Score'!$A$5:$M15,$A4)</f>
        <v>19.719000000000005</v>
      </c>
      <c r="G4" s="876">
        <f>4*'ARP Timing'!F7*VLOOKUP(G$1,'ARP Score'!$A$5:$M15,$A4)</f>
        <v>19.719000000000005</v>
      </c>
      <c r="H4" s="876">
        <f>4*'ARP Timing'!G7*VLOOKUP(H$1,'ARP Score'!$A$5:$M15,$A4)</f>
        <v>19.719000000000005</v>
      </c>
      <c r="I4" s="876">
        <f>4*'ARP Timing'!H7*VLOOKUP(I$1,'ARP Score'!$A$5:$M15,$A4)</f>
        <v>19.719000000000005</v>
      </c>
      <c r="J4" s="876">
        <f>4*'ARP Timing'!I7*VLOOKUP(J$1,'ARP Score'!$A$5:$M15,$A4)</f>
        <v>1.4159999999999999</v>
      </c>
      <c r="K4" s="876">
        <f>4*'ARP Timing'!J7*VLOOKUP(K$1,'ARP Score'!$A$5:$M15,$A4)</f>
        <v>1.4159999999999999</v>
      </c>
      <c r="L4" s="876">
        <f>4*'ARP Timing'!K7*VLOOKUP(L$1,'ARP Score'!$A$5:$M15,$A4)</f>
        <v>1.4159999999999999</v>
      </c>
      <c r="M4" s="876">
        <f>4*'ARP Timing'!L7*VLOOKUP(M$1,'ARP Score'!$A$5:$M15,$A4)</f>
        <v>1.4159999999999999</v>
      </c>
      <c r="N4" s="876">
        <f>4*'ARP Timing'!M7*VLOOKUP(N$1,'ARP Score'!$A$5:$M15,$A4)</f>
        <v>1.4790000000000001</v>
      </c>
      <c r="O4" s="876">
        <f>4*'ARP Timing'!N7*VLOOKUP(O$1,'ARP Score'!$A$5:$M15,$A4)</f>
        <v>1.4790000000000001</v>
      </c>
      <c r="P4" s="876">
        <f>4*'ARP Timing'!O7*VLOOKUP(P$1,'ARP Score'!$A$5:$M15,$A4)</f>
        <v>1.4790000000000001</v>
      </c>
      <c r="Q4" s="876">
        <f>4*'ARP Timing'!P7*VLOOKUP(Q$1,'ARP Score'!$A$5:$M15,$A4)</f>
        <v>1.4790000000000001</v>
      </c>
      <c r="R4" s="876">
        <f>4*'ARP Timing'!Q7*VLOOKUP(R$1,'ARP Score'!$A$5:$M15,$A4)</f>
        <v>1.63</v>
      </c>
      <c r="S4" s="876">
        <f>4*'ARP Timing'!R7*VLOOKUP(S$1,'ARP Score'!$A$5:$M15,$A4)</f>
        <v>1.63</v>
      </c>
      <c r="T4" s="876">
        <f>4*'ARP Timing'!S7*VLOOKUP(T$1,'ARP Score'!$A$5:$M15,$A4)</f>
        <v>1.63</v>
      </c>
      <c r="U4" s="876">
        <f>4*'ARP Timing'!T7*VLOOKUP(U$1,'ARP Score'!$A$5:$M15,$A4)</f>
        <v>1.63</v>
      </c>
      <c r="V4" s="876">
        <f>4*'ARP Timing'!U7*VLOOKUP(V$1,'ARP Score'!$A$5:$M15,$A4)</f>
        <v>1.671</v>
      </c>
      <c r="W4" s="876">
        <f>SUM(C4:U4)/4</f>
        <v>25.020000000000007</v>
      </c>
    </row>
    <row r="5" spans="1:23" x14ac:dyDescent="0.25">
      <c r="A5" s="884">
        <v>6</v>
      </c>
      <c r="B5" s="877" t="s">
        <v>748</v>
      </c>
      <c r="C5" s="876">
        <f>4*'ARP Timing'!B8*VLOOKUP(C$1,'ARP Score'!$A$5:$M16,$A5)</f>
        <v>0</v>
      </c>
      <c r="D5" s="876">
        <f>4*'ARP Timing'!C8*VLOOKUP(D$1,'ARP Score'!$A$5:$M16,$A5)</f>
        <v>33.921840000000024</v>
      </c>
      <c r="E5" s="876">
        <f>4*'ARP Timing'!D8*VLOOKUP(E$1,'ARP Score'!$A$5:$M16,$A5)</f>
        <v>44.966160000000031</v>
      </c>
      <c r="F5" s="876">
        <f>4*'ARP Timing'!E8*VLOOKUP(F$1,'ARP Score'!$A$5:$M16,$A5)</f>
        <v>52.756999999999998</v>
      </c>
      <c r="G5" s="876">
        <f>4*'ARP Timing'!F8*VLOOKUP(G$1,'ARP Score'!$A$5:$M16,$A5)</f>
        <v>52.756999999999998</v>
      </c>
      <c r="H5" s="876">
        <f>4*'ARP Timing'!G8*VLOOKUP(H$1,'ARP Score'!$A$5:$M16,$A5)</f>
        <v>52.756999999999998</v>
      </c>
      <c r="I5" s="876">
        <f>4*'ARP Timing'!H8*VLOOKUP(I$1,'ARP Score'!$A$5:$M16,$A5)</f>
        <v>52.756999999999998</v>
      </c>
      <c r="J5" s="876">
        <f>4*'ARP Timing'!I8*VLOOKUP(J$1,'ARP Score'!$A$5:$M16,$A5)</f>
        <v>12</v>
      </c>
      <c r="K5" s="876">
        <f>4*'ARP Timing'!J8*VLOOKUP(K$1,'ARP Score'!$A$5:$M16,$A5)</f>
        <v>12</v>
      </c>
      <c r="L5" s="876">
        <f>4*'ARP Timing'!K8*VLOOKUP(L$1,'ARP Score'!$A$5:$M16,$A5)</f>
        <v>12</v>
      </c>
      <c r="M5" s="876">
        <f>4*'ARP Timing'!L8*VLOOKUP(M$1,'ARP Score'!$A$5:$M16,$A5)</f>
        <v>12</v>
      </c>
      <c r="N5" s="876">
        <f>4*'ARP Timing'!M8*VLOOKUP(N$1,'ARP Score'!$A$5:$M16,$A5)</f>
        <v>4.2219999999999995</v>
      </c>
      <c r="O5" s="876">
        <f>4*'ARP Timing'!N8*VLOOKUP(O$1,'ARP Score'!$A$5:$M16,$A5)</f>
        <v>4.2219999999999995</v>
      </c>
      <c r="P5" s="876">
        <f>4*'ARP Timing'!O8*VLOOKUP(P$1,'ARP Score'!$A$5:$M16,$A5)</f>
        <v>4.2219999999999995</v>
      </c>
      <c r="Q5" s="876">
        <f>4*'ARP Timing'!P8*VLOOKUP(Q$1,'ARP Score'!$A$5:$M16,$A5)</f>
        <v>4.2219999999999995</v>
      </c>
      <c r="R5" s="876">
        <f>4*'ARP Timing'!Q8*VLOOKUP(R$1,'ARP Score'!$A$5:$M16,$A5)</f>
        <v>2.3719999999999999</v>
      </c>
      <c r="S5" s="876">
        <f>4*'ARP Timing'!R8*VLOOKUP(S$1,'ARP Score'!$A$5:$M16,$A5)</f>
        <v>2.3719999999999999</v>
      </c>
      <c r="T5" s="876">
        <f>4*'ARP Timing'!S8*VLOOKUP(T$1,'ARP Score'!$A$5:$M16,$A5)</f>
        <v>2.3719999999999999</v>
      </c>
      <c r="U5" s="876">
        <f>4*'ARP Timing'!T8*VLOOKUP(U$1,'ARP Score'!$A$5:$M16,$A5)</f>
        <v>2.3719999999999999</v>
      </c>
      <c r="V5" s="876">
        <f>4*'ARP Timing'!U8*VLOOKUP(V$1,'ARP Score'!$A$5:$M16,$A5)</f>
        <v>0.49</v>
      </c>
      <c r="W5" s="876">
        <f t="shared" ref="W5:W15" si="0">SUM(C5:U5)/4</f>
        <v>91.073000000000008</v>
      </c>
    </row>
    <row r="6" spans="1:23" x14ac:dyDescent="0.25">
      <c r="A6" s="884">
        <v>7</v>
      </c>
      <c r="B6" s="877" t="s">
        <v>840</v>
      </c>
      <c r="C6" s="876">
        <f>4*'ARP Timing'!B9*VLOOKUP(C$1,'ARP Score'!$A$5:$M17,$A6)</f>
        <v>0</v>
      </c>
      <c r="D6" s="876">
        <f>4*'ARP Timing'!C9*VLOOKUP(D$1,'ARP Score'!$A$5:$M17,$A6)</f>
        <v>58.782959999999989</v>
      </c>
      <c r="E6" s="876">
        <f>4*'ARP Timing'!D9*VLOOKUP(E$1,'ARP Score'!$A$5:$M17,$A6)</f>
        <v>267.78904</v>
      </c>
      <c r="F6" s="876">
        <f>4*'ARP Timing'!E9*VLOOKUP(F$1,'ARP Score'!$A$5:$M17,$A6)</f>
        <v>110.24799999999999</v>
      </c>
      <c r="G6" s="876">
        <f>4*'ARP Timing'!F9*VLOOKUP(G$1,'ARP Score'!$A$5:$M17,$A6)</f>
        <v>110.24799999999999</v>
      </c>
      <c r="H6" s="876">
        <f>4*'ARP Timing'!G9*VLOOKUP(H$1,'ARP Score'!$A$5:$M17,$A6)</f>
        <v>110.24799999999999</v>
      </c>
      <c r="I6" s="876">
        <f>4*'ARP Timing'!H9*VLOOKUP(I$1,'ARP Score'!$A$5:$M17,$A6)</f>
        <v>110.24799999999999</v>
      </c>
      <c r="J6" s="876">
        <f>4*'ARP Timing'!I9*VLOOKUP(J$1,'ARP Score'!$A$5:$M17,$A6)</f>
        <v>12.726000000000001</v>
      </c>
      <c r="K6" s="876">
        <f>4*'ARP Timing'!J9*VLOOKUP(K$1,'ARP Score'!$A$5:$M17,$A6)</f>
        <v>12.726000000000001</v>
      </c>
      <c r="L6" s="876">
        <f>4*'ARP Timing'!K9*VLOOKUP(L$1,'ARP Score'!$A$5:$M17,$A6)</f>
        <v>12.726000000000001</v>
      </c>
      <c r="M6" s="876">
        <f>4*'ARP Timing'!L9*VLOOKUP(M$1,'ARP Score'!$A$5:$M17,$A6)</f>
        <v>12.726000000000001</v>
      </c>
      <c r="N6" s="876">
        <f>4*'ARP Timing'!M9*VLOOKUP(N$1,'ARP Score'!$A$5:$M17,$A6)</f>
        <v>1.365</v>
      </c>
      <c r="O6" s="876">
        <f>4*'ARP Timing'!N9*VLOOKUP(O$1,'ARP Score'!$A$5:$M17,$A6)</f>
        <v>1.365</v>
      </c>
      <c r="P6" s="876">
        <f>4*'ARP Timing'!O9*VLOOKUP(P$1,'ARP Score'!$A$5:$M17,$A6)</f>
        <v>1.365</v>
      </c>
      <c r="Q6" s="876">
        <f>4*'ARP Timing'!P9*VLOOKUP(Q$1,'ARP Score'!$A$5:$M17,$A6)</f>
        <v>1.365</v>
      </c>
      <c r="R6" s="876">
        <f>4*'ARP Timing'!Q9*VLOOKUP(R$1,'ARP Score'!$A$5:$M17,$A6)</f>
        <v>-0.90100000000000025</v>
      </c>
      <c r="S6" s="876">
        <f>4*'ARP Timing'!R9*VLOOKUP(S$1,'ARP Score'!$A$5:$M17,$A6)</f>
        <v>-0.90100000000000025</v>
      </c>
      <c r="T6" s="876">
        <f>4*'ARP Timing'!S9*VLOOKUP(T$1,'ARP Score'!$A$5:$M17,$A6)</f>
        <v>-0.90100000000000025</v>
      </c>
      <c r="U6" s="876">
        <f>4*'ARP Timing'!T9*VLOOKUP(U$1,'ARP Score'!$A$5:$M17,$A6)</f>
        <v>-0.90100000000000025</v>
      </c>
      <c r="V6" s="876">
        <f>4*'ARP Timing'!U9*VLOOKUP(V$1,'ARP Score'!$A$5:$M17,$A6)</f>
        <v>-2.1500000000000004</v>
      </c>
      <c r="W6" s="876">
        <f t="shared" si="0"/>
        <v>205.08100000000007</v>
      </c>
    </row>
    <row r="7" spans="1:23" x14ac:dyDescent="0.25">
      <c r="A7" s="884">
        <v>8</v>
      </c>
      <c r="B7" s="877" t="s">
        <v>131</v>
      </c>
      <c r="C7" s="876">
        <f>4*'ARP Timing'!B10*VLOOKUP(C$1,'ARP Score'!$A$5:$M18,$A7)</f>
        <v>0</v>
      </c>
      <c r="D7" s="876">
        <f>4*'ARP Timing'!C10*VLOOKUP(D$1,'ARP Score'!$A$5:$M18,$A7)</f>
        <v>15.596</v>
      </c>
      <c r="E7" s="876">
        <f>4*'ARP Timing'!D10*VLOOKUP(E$1,'ARP Score'!$A$5:$M18,$A7)</f>
        <v>15.596</v>
      </c>
      <c r="F7" s="876">
        <f>4*'ARP Timing'!E10*VLOOKUP(F$1,'ARP Score'!$A$5:$M18,$A7)</f>
        <v>7.9489999999999998</v>
      </c>
      <c r="G7" s="876">
        <f>4*'ARP Timing'!F10*VLOOKUP(G$1,'ARP Score'!$A$5:$M18,$A7)</f>
        <v>7.9489999999999998</v>
      </c>
      <c r="H7" s="876">
        <f>4*'ARP Timing'!G10*VLOOKUP(H$1,'ARP Score'!$A$5:$M18,$A7)</f>
        <v>7.9489999999999998</v>
      </c>
      <c r="I7" s="876">
        <f>4*'ARP Timing'!H10*VLOOKUP(I$1,'ARP Score'!$A$5:$M18,$A7)</f>
        <v>7.9489999999999998</v>
      </c>
      <c r="J7" s="876">
        <f>4*'ARP Timing'!I10*VLOOKUP(J$1,'ARP Score'!$A$5:$M18,$A7)</f>
        <v>4.7519999999999998</v>
      </c>
      <c r="K7" s="876">
        <f>4*'ARP Timing'!J10*VLOOKUP(K$1,'ARP Score'!$A$5:$M18,$A7)</f>
        <v>4.7519999999999998</v>
      </c>
      <c r="L7" s="876">
        <f>4*'ARP Timing'!K10*VLOOKUP(L$1,'ARP Score'!$A$5:$M18,$A7)</f>
        <v>4.7519999999999998</v>
      </c>
      <c r="M7" s="876">
        <f>4*'ARP Timing'!L10*VLOOKUP(M$1,'ARP Score'!$A$5:$M18,$A7)</f>
        <v>4.7519999999999998</v>
      </c>
      <c r="N7" s="876">
        <f>4*'ARP Timing'!M10*VLOOKUP(N$1,'ARP Score'!$A$5:$M18,$A7)</f>
        <v>4.637999999999999</v>
      </c>
      <c r="O7" s="876">
        <f>4*'ARP Timing'!N10*VLOOKUP(O$1,'ARP Score'!$A$5:$M18,$A7)</f>
        <v>4.637999999999999</v>
      </c>
      <c r="P7" s="876">
        <f>4*'ARP Timing'!O10*VLOOKUP(P$1,'ARP Score'!$A$5:$M18,$A7)</f>
        <v>4.637999999999999</v>
      </c>
      <c r="Q7" s="876">
        <f>4*'ARP Timing'!P10*VLOOKUP(Q$1,'ARP Score'!$A$5:$M18,$A7)</f>
        <v>4.637999999999999</v>
      </c>
      <c r="R7" s="876">
        <f>4*'ARP Timing'!Q10*VLOOKUP(R$1,'ARP Score'!$A$5:$M18,$A7)</f>
        <v>1.8800000000000001</v>
      </c>
      <c r="S7" s="876">
        <f>4*'ARP Timing'!R10*VLOOKUP(S$1,'ARP Score'!$A$5:$M18,$A7)</f>
        <v>1.8800000000000001</v>
      </c>
      <c r="T7" s="876">
        <f>4*'ARP Timing'!S10*VLOOKUP(T$1,'ARP Score'!$A$5:$M18,$A7)</f>
        <v>1.8800000000000001</v>
      </c>
      <c r="U7" s="876">
        <f>4*'ARP Timing'!T10*VLOOKUP(U$1,'ARP Score'!$A$5:$M18,$A7)</f>
        <v>1.8800000000000001</v>
      </c>
      <c r="V7" s="876">
        <f>4*'ARP Timing'!U10*VLOOKUP(V$1,'ARP Score'!$A$5:$M18,$A7)</f>
        <v>1.446</v>
      </c>
      <c r="W7" s="876">
        <f t="shared" si="0"/>
        <v>27.016999999999996</v>
      </c>
    </row>
    <row r="8" spans="1:23" x14ac:dyDescent="0.25">
      <c r="A8" s="884">
        <v>9</v>
      </c>
      <c r="B8" s="879" t="s">
        <v>396</v>
      </c>
      <c r="C8" s="876">
        <f>4*'ARP Timing'!B$11*VLOOKUP(C$1,'ARP Score'!$A$5:$M19,$A8)</f>
        <v>0</v>
      </c>
      <c r="D8" s="876">
        <f>0.6*SUM('ARP Score'!B5:B7)*4</f>
        <v>989.16719999999987</v>
      </c>
      <c r="E8" s="875">
        <v>0</v>
      </c>
      <c r="F8" s="876">
        <v>0</v>
      </c>
      <c r="G8" s="876">
        <v>0</v>
      </c>
      <c r="H8" s="876">
        <f>D8*0.4/0.6</f>
        <v>659.44479999999999</v>
      </c>
      <c r="I8" s="876">
        <v>0</v>
      </c>
      <c r="J8" s="884">
        <v>0</v>
      </c>
      <c r="K8" s="876">
        <v>0</v>
      </c>
      <c r="L8" s="876">
        <v>0</v>
      </c>
      <c r="M8" s="876">
        <v>0</v>
      </c>
      <c r="N8" s="876">
        <v>0</v>
      </c>
      <c r="O8" s="876">
        <v>0</v>
      </c>
      <c r="P8" s="876">
        <v>0</v>
      </c>
      <c r="Q8" s="876">
        <v>0</v>
      </c>
      <c r="R8" s="876">
        <v>0</v>
      </c>
      <c r="S8" s="876">
        <v>0</v>
      </c>
      <c r="T8" s="876">
        <v>0</v>
      </c>
      <c r="U8" s="876">
        <v>0</v>
      </c>
      <c r="V8" s="876">
        <v>0</v>
      </c>
      <c r="W8" s="876">
        <f t="shared" si="0"/>
        <v>412.15299999999996</v>
      </c>
    </row>
    <row r="9" spans="1:23" x14ac:dyDescent="0.25">
      <c r="A9" s="884">
        <v>10</v>
      </c>
      <c r="B9" s="879" t="s">
        <v>150</v>
      </c>
      <c r="C9" s="876">
        <f>4*'ARP Timing'!B$11*VLOOKUP(C$1,'ARP Score'!$A$5:$M20,$A9)</f>
        <v>0</v>
      </c>
      <c r="D9" s="876">
        <f>4*'ARP Timing'!C$11*VLOOKUP(D$1,'ARP Score'!$A$5:$M20,$A9)</f>
        <v>24.693999999999999</v>
      </c>
      <c r="E9" s="876">
        <f>4*'ARP Timing'!D$11*VLOOKUP(E$1,'ARP Score'!$A$5:$M20,$A9)</f>
        <v>24.693999999999999</v>
      </c>
      <c r="F9" s="876">
        <f>4*'ARP Timing'!E$11*VLOOKUP(F$1,'ARP Score'!$A$5:$M20,$A9)</f>
        <v>46.79</v>
      </c>
      <c r="G9" s="876">
        <f>4*'ARP Timing'!F$11*VLOOKUP(G$1,'ARP Score'!$A$5:$M20,$A9)</f>
        <v>46.79</v>
      </c>
      <c r="H9" s="876">
        <f>4*'ARP Timing'!G$11*VLOOKUP(H$1,'ARP Score'!$A$5:$M20,$A9)</f>
        <v>46.79</v>
      </c>
      <c r="I9" s="876">
        <f>4*'ARP Timing'!H$11*VLOOKUP(I$1,'ARP Score'!$A$5:$M20,$A9)</f>
        <v>46.79</v>
      </c>
      <c r="J9" s="876">
        <f>4*'ARP Timing'!I$11*VLOOKUP(J$1,'ARP Score'!$A$5:$M20,$A9)</f>
        <v>38.595999999999997</v>
      </c>
      <c r="K9" s="876">
        <f>4*'ARP Timing'!J$11*VLOOKUP(K$1,'ARP Score'!$A$5:$M20,$A9)</f>
        <v>38.595999999999997</v>
      </c>
      <c r="L9" s="876">
        <f>4*'ARP Timing'!K$11*VLOOKUP(L$1,'ARP Score'!$A$5:$M20,$A9)</f>
        <v>38.595999999999997</v>
      </c>
      <c r="M9" s="876">
        <f>4*'ARP Timing'!L$11*VLOOKUP(M$1,'ARP Score'!$A$5:$M20,$A9)</f>
        <v>38.595999999999997</v>
      </c>
      <c r="N9" s="876">
        <f>4*'ARP Timing'!M$11*VLOOKUP(N$1,'ARP Score'!$A$5:$M20,$A9)</f>
        <v>31.911000000000001</v>
      </c>
      <c r="O9" s="876">
        <f>4*'ARP Timing'!N$11*VLOOKUP(O$1,'ARP Score'!$A$5:$M20,$A9)</f>
        <v>31.911000000000001</v>
      </c>
      <c r="P9" s="876">
        <f>4*'ARP Timing'!O$11*VLOOKUP(P$1,'ARP Score'!$A$5:$M20,$A9)</f>
        <v>31.911000000000001</v>
      </c>
      <c r="Q9" s="876">
        <f>4*'ARP Timing'!P$11*VLOOKUP(Q$1,'ARP Score'!$A$5:$M20,$A9)</f>
        <v>31.911000000000001</v>
      </c>
      <c r="R9" s="876">
        <f>4*'ARP Timing'!Q$11*VLOOKUP(R$1,'ARP Score'!$A$5:$M20,$A9)</f>
        <v>23.099</v>
      </c>
      <c r="S9" s="876">
        <f>4*'ARP Timing'!R$11*VLOOKUP(S$1,'ARP Score'!$A$5:$M20,$A9)</f>
        <v>23.099</v>
      </c>
      <c r="T9" s="876">
        <f>4*'ARP Timing'!S$11*VLOOKUP(T$1,'ARP Score'!$A$5:$M20,$A9)</f>
        <v>23.099</v>
      </c>
      <c r="U9" s="876">
        <f>4*'ARP Timing'!T$11*VLOOKUP(U$1,'ARP Score'!$A$5:$M20,$A9)</f>
        <v>23.099</v>
      </c>
      <c r="V9" s="876">
        <f>4*'ARP Timing'!U$11*VLOOKUP(V$1,'ARP Score'!$A$5:$M20,$A9)</f>
        <v>10.766999999999999</v>
      </c>
      <c r="W9" s="876">
        <f t="shared" si="0"/>
        <v>152.74300000000005</v>
      </c>
    </row>
    <row r="10" spans="1:23" x14ac:dyDescent="0.25">
      <c r="A10" s="883">
        <v>11</v>
      </c>
      <c r="B10" s="879" t="s">
        <v>412</v>
      </c>
      <c r="C10" s="876">
        <f>4*'ARP Timing'!B$11*VLOOKUP(C$1,'ARP Score'!$A$5:$M22,$A10)</f>
        <v>0</v>
      </c>
      <c r="D10" s="876">
        <f>4*'ARP Timing'!C$11*VLOOKUP(D$1,'ARP Score'!$A$5:$M22,$A10)</f>
        <v>59.256</v>
      </c>
      <c r="E10" s="876">
        <f>4*'ARP Timing'!D$11*VLOOKUP(E$1,'ARP Score'!$A$5:$M22,$A10)</f>
        <v>59.256</v>
      </c>
      <c r="F10" s="876">
        <f>4*'ARP Timing'!E$11*VLOOKUP(F$1,'ARP Score'!$A$5:$M22,$A10)</f>
        <v>35.671000000000006</v>
      </c>
      <c r="G10" s="876">
        <f>4*'ARP Timing'!F$11*VLOOKUP(G$1,'ARP Score'!$A$5:$M22,$A10)</f>
        <v>35.671000000000006</v>
      </c>
      <c r="H10" s="876">
        <f>4*'ARP Timing'!G$11*VLOOKUP(H$1,'ARP Score'!$A$5:$M22,$A10)</f>
        <v>35.671000000000006</v>
      </c>
      <c r="I10" s="876">
        <f>4*'ARP Timing'!H$11*VLOOKUP(I$1,'ARP Score'!$A$5:$M22,$A10)</f>
        <v>35.671000000000006</v>
      </c>
      <c r="J10" s="876">
        <f>4*'ARP Timing'!I$11*VLOOKUP(J$1,'ARP Score'!$A$5:$M22,$A10)</f>
        <v>24.216000000000001</v>
      </c>
      <c r="K10" s="876">
        <f>4*'ARP Timing'!J$11*VLOOKUP(K$1,'ARP Score'!$A$5:$M22,$A10)</f>
        <v>24.216000000000001</v>
      </c>
      <c r="L10" s="876">
        <f>4*'ARP Timing'!K$11*VLOOKUP(L$1,'ARP Score'!$A$5:$M22,$A10)</f>
        <v>24.216000000000001</v>
      </c>
      <c r="M10" s="876">
        <f>4*'ARP Timing'!L$11*VLOOKUP(M$1,'ARP Score'!$A$5:$M22,$A10)</f>
        <v>24.216000000000001</v>
      </c>
      <c r="N10" s="876">
        <f>4*'ARP Timing'!M$11*VLOOKUP(N$1,'ARP Score'!$A$5:$M22,$A10)</f>
        <v>9.6430000000000007</v>
      </c>
      <c r="O10" s="876">
        <f>4*'ARP Timing'!N$11*VLOOKUP(O$1,'ARP Score'!$A$5:$M22,$A10)</f>
        <v>9.6430000000000007</v>
      </c>
      <c r="P10" s="876">
        <f>4*'ARP Timing'!O$11*VLOOKUP(P$1,'ARP Score'!$A$5:$M22,$A10)</f>
        <v>9.6430000000000007</v>
      </c>
      <c r="Q10" s="876">
        <f>4*'ARP Timing'!P$11*VLOOKUP(Q$1,'ARP Score'!$A$5:$M22,$A10)</f>
        <v>9.6430000000000007</v>
      </c>
      <c r="R10" s="876">
        <f>4*'ARP Timing'!Q$11*VLOOKUP(R$1,'ARP Score'!$A$5:$M22,$A10)</f>
        <v>4.5789999999999997</v>
      </c>
      <c r="S10" s="876">
        <f>4*'ARP Timing'!R$11*VLOOKUP(S$1,'ARP Score'!$A$5:$M22,$A10)</f>
        <v>4.5789999999999997</v>
      </c>
      <c r="T10" s="876">
        <f>4*'ARP Timing'!S$11*VLOOKUP(T$1,'ARP Score'!$A$5:$M22,$A10)</f>
        <v>4.5789999999999997</v>
      </c>
      <c r="U10" s="876">
        <f>4*'ARP Timing'!T$11*VLOOKUP(U$1,'ARP Score'!$A$5:$M22,$A10)</f>
        <v>4.5789999999999997</v>
      </c>
      <c r="V10" s="876">
        <f>4*'ARP Timing'!U$11*VLOOKUP(V$1,'ARP Score'!$A$5:$M22,$A10)</f>
        <v>2.9130000000000003</v>
      </c>
      <c r="W10" s="876">
        <f t="shared" si="0"/>
        <v>103.73700000000002</v>
      </c>
    </row>
    <row r="11" spans="1:23" x14ac:dyDescent="0.25">
      <c r="A11" s="884">
        <v>12</v>
      </c>
      <c r="B11" s="14" t="s">
        <v>159</v>
      </c>
      <c r="C11" s="876">
        <f>4*'ARP Timing'!B12*VLOOKUP(C$1,'ARP Score'!$A$5:$M20,$A11)</f>
        <v>103</v>
      </c>
      <c r="D11" s="876">
        <f>4*'ARP Timing'!C12*VLOOKUP(D$1,'ARP Score'!$A$5:$M20,$A11)</f>
        <v>0</v>
      </c>
      <c r="E11" s="876">
        <f>4*'ARP Timing'!D12*VLOOKUP(E$1,'ARP Score'!$A$5:$M20,$A11)</f>
        <v>0</v>
      </c>
      <c r="F11" s="876">
        <f>4*'ARP Timing'!E12*VLOOKUP(F$1,'ARP Score'!$A$5:$M20,$A11)</f>
        <v>0</v>
      </c>
      <c r="G11" s="876">
        <f>4*'ARP Timing'!F12*VLOOKUP(G$1,'ARP Score'!$A$5:$M20,$A11)</f>
        <v>0</v>
      </c>
      <c r="H11" s="876">
        <f>4*'ARP Timing'!G12*VLOOKUP(H$1,'ARP Score'!$A$5:$M20,$A11)</f>
        <v>0</v>
      </c>
      <c r="I11" s="876">
        <f>4*'ARP Timing'!H12*VLOOKUP(I$1,'ARP Score'!$A$5:$M20,$A11)</f>
        <v>0</v>
      </c>
      <c r="J11" s="876">
        <f>4*'ARP Timing'!I12*VLOOKUP(J$1,'ARP Score'!$A$5:$M20,$A11)</f>
        <v>0</v>
      </c>
      <c r="K11" s="876">
        <f>4*'ARP Timing'!J12*VLOOKUP(K$1,'ARP Score'!$A$5:$M20,$A11)</f>
        <v>0</v>
      </c>
      <c r="L11" s="876">
        <f>4*'ARP Timing'!K12*VLOOKUP(L$1,'ARP Score'!$A$5:$M20,$A11)</f>
        <v>0</v>
      </c>
      <c r="M11" s="876">
        <f>4*'ARP Timing'!L12*VLOOKUP(M$1,'ARP Score'!$A$5:$M20,$A11)</f>
        <v>0</v>
      </c>
      <c r="N11" s="876">
        <f>4*'ARP Timing'!M12*VLOOKUP(N$1,'ARP Score'!$A$5:$M20,$A11)</f>
        <v>0</v>
      </c>
      <c r="O11" s="876">
        <f>4*'ARP Timing'!N12*VLOOKUP(O$1,'ARP Score'!$A$5:$M20,$A11)</f>
        <v>0</v>
      </c>
      <c r="P11" s="876">
        <f>4*'ARP Timing'!O12*VLOOKUP(P$1,'ARP Score'!$A$5:$M20,$A11)</f>
        <v>0</v>
      </c>
      <c r="Q11" s="876">
        <f>4*'ARP Timing'!P12*VLOOKUP(Q$1,'ARP Score'!$A$5:$M20,$A11)</f>
        <v>0</v>
      </c>
      <c r="R11" s="876">
        <f>4*'ARP Timing'!Q12*VLOOKUP(R$1,'ARP Score'!$A$5:$M20,$A11)</f>
        <v>0</v>
      </c>
      <c r="S11" s="876">
        <f>4*'ARP Timing'!R12*VLOOKUP(S$1,'ARP Score'!$A$5:$M20,$A11)</f>
        <v>0</v>
      </c>
      <c r="T11" s="876">
        <f>4*'ARP Timing'!S12*VLOOKUP(T$1,'ARP Score'!$A$5:$M20,$A11)</f>
        <v>0</v>
      </c>
      <c r="U11" s="876">
        <f>4*'ARP Timing'!T12*VLOOKUP(U$1,'ARP Score'!$A$5:$M20,$A11)</f>
        <v>0</v>
      </c>
      <c r="V11" s="876">
        <f>4*'ARP Timing'!U12*VLOOKUP(V$1,'ARP Score'!$A$5:$M20,$A11)</f>
        <v>0</v>
      </c>
      <c r="W11" s="876">
        <f t="shared" si="0"/>
        <v>25.75</v>
      </c>
    </row>
    <row r="12" spans="1:23" x14ac:dyDescent="0.25">
      <c r="A12" s="884">
        <v>13</v>
      </c>
      <c r="B12" s="877" t="s">
        <v>109</v>
      </c>
      <c r="C12" s="876">
        <f>4*'ARP Timing'!B13*VLOOKUP(C$1,'ARP Score'!$A$5:$M21,$A12)</f>
        <v>0</v>
      </c>
      <c r="D12" s="876">
        <f>4*'ARP Timing'!C13*VLOOKUP(D$1,'ARP Score'!$A$5:$M21,$A12)</f>
        <v>51.102400000000003</v>
      </c>
      <c r="E12" s="876">
        <f>4*'ARP Timing'!D13*VLOOKUP(E$1,'ARP Score'!$A$5:$M21,$A12)</f>
        <v>76.653599999999997</v>
      </c>
      <c r="F12" s="876">
        <f>4*'ARP Timing'!E13*VLOOKUP(F$1,'ARP Score'!$A$5:$M21,$A12)</f>
        <v>90.260800000000003</v>
      </c>
      <c r="G12" s="876">
        <f>4*'ARP Timing'!F13*VLOOKUP(G$1,'ARP Score'!$A$5:$M21,$A12)</f>
        <v>67.695599999999999</v>
      </c>
      <c r="H12" s="876">
        <f>4*'ARP Timing'!G13*VLOOKUP(H$1,'ARP Score'!$A$5:$M21,$A12)</f>
        <v>45.130400000000002</v>
      </c>
      <c r="I12" s="876">
        <f>4*'ARP Timing'!H13*VLOOKUP(I$1,'ARP Score'!$A$5:$M21,$A12)</f>
        <v>22.565200000000001</v>
      </c>
      <c r="J12" s="876">
        <f>4*'ARP Timing'!I13*VLOOKUP(J$1,'ARP Score'!$A$5:$M21,$A12)</f>
        <v>15.652999999999999</v>
      </c>
      <c r="K12" s="876">
        <f>4*'ARP Timing'!J13*VLOOKUP(K$1,'ARP Score'!$A$5:$M21,$A12)</f>
        <v>15.652999999999999</v>
      </c>
      <c r="L12" s="876">
        <f>4*'ARP Timing'!K13*VLOOKUP(L$1,'ARP Score'!$A$5:$M21,$A12)</f>
        <v>15.652999999999999</v>
      </c>
      <c r="M12" s="876">
        <f>4*'ARP Timing'!L13*VLOOKUP(M$1,'ARP Score'!$A$5:$M21,$A12)</f>
        <v>15.652999999999999</v>
      </c>
      <c r="N12" s="876">
        <f>4*'ARP Timing'!M13*VLOOKUP(N$1,'ARP Score'!$A$5:$M21,$A12)</f>
        <v>3.9320000000000004</v>
      </c>
      <c r="O12" s="876">
        <f>4*'ARP Timing'!N13*VLOOKUP(O$1,'ARP Score'!$A$5:$M21,$A12)</f>
        <v>3.9320000000000004</v>
      </c>
      <c r="P12" s="876">
        <f>4*'ARP Timing'!O13*VLOOKUP(P$1,'ARP Score'!$A$5:$M21,$A12)</f>
        <v>3.9320000000000004</v>
      </c>
      <c r="Q12" s="876">
        <f>4*'ARP Timing'!P13*VLOOKUP(Q$1,'ARP Score'!$A$5:$M21,$A12)</f>
        <v>3.9320000000000004</v>
      </c>
      <c r="R12" s="876">
        <f>4*'ARP Timing'!Q13*VLOOKUP(R$1,'ARP Score'!$A$5:$M21,$A12)</f>
        <v>-0.74299999999999988</v>
      </c>
      <c r="S12" s="876">
        <f>4*'ARP Timing'!R13*VLOOKUP(S$1,'ARP Score'!$A$5:$M21,$A12)</f>
        <v>-0.74299999999999988</v>
      </c>
      <c r="T12" s="876">
        <f>4*'ARP Timing'!S13*VLOOKUP(T$1,'ARP Score'!$A$5:$M21,$A12)</f>
        <v>-0.74299999999999988</v>
      </c>
      <c r="U12" s="876">
        <f>4*'ARP Timing'!T13*VLOOKUP(U$1,'ARP Score'!$A$5:$M21,$A12)</f>
        <v>-0.74299999999999988</v>
      </c>
      <c r="V12" s="876">
        <f>4*'ARP Timing'!U13*VLOOKUP(V$1,'ARP Score'!$A$5:$M21,$A12)</f>
        <v>-21.606000000000002</v>
      </c>
      <c r="W12" s="876">
        <f t="shared" si="0"/>
        <v>107.19400000000005</v>
      </c>
    </row>
    <row r="13" spans="1:23" x14ac:dyDescent="0.25">
      <c r="A13" s="884">
        <v>15</v>
      </c>
      <c r="B13" s="884" t="s">
        <v>841</v>
      </c>
      <c r="C13" s="876">
        <f>0.3*'ARP Score'!$N5*4*'ARP Timing'!B6</f>
        <v>0</v>
      </c>
      <c r="D13" s="876">
        <f>0.3*'ARP Score'!$N5*4*'ARP Timing'!C6</f>
        <v>1.7544</v>
      </c>
      <c r="E13" s="876">
        <f>0.3*'ARP Score'!$N5*4*'ARP Timing'!D6</f>
        <v>2.3255999999999997</v>
      </c>
      <c r="F13" s="876">
        <f>0.3*'ARP Score'!$N6*4*'ARP Timing'!E6</f>
        <v>1.5299999999999998</v>
      </c>
      <c r="G13" s="876">
        <f>0.3*'ARP Score'!$N6*4*'ARP Timing'!F6</f>
        <v>1.5299999999999998</v>
      </c>
      <c r="H13" s="876">
        <f>0.3*'ARP Score'!$N6*4*'ARP Timing'!G6</f>
        <v>1.5299999999999998</v>
      </c>
      <c r="I13" s="876">
        <f>0.3*'ARP Score'!$N6*4*'ARP Timing'!H6</f>
        <v>1.5299999999999998</v>
      </c>
      <c r="J13" s="876">
        <f>0.3*'ARP Score'!$N7*4*'ARP Timing'!I6</f>
        <v>0</v>
      </c>
      <c r="K13" s="876">
        <f>0.3*'ARP Score'!$N7*4*'ARP Timing'!J6</f>
        <v>0</v>
      </c>
      <c r="L13" s="876">
        <f>0.3*'ARP Score'!$N7*4*'ARP Timing'!K6</f>
        <v>0</v>
      </c>
      <c r="M13" s="876">
        <f>0.3*'ARP Score'!$N7*4*'ARP Timing'!L6</f>
        <v>0</v>
      </c>
      <c r="N13" s="876">
        <f>0.3*'ARP Score'!$N7*4*'ARP Timing'!M6</f>
        <v>0</v>
      </c>
      <c r="O13" s="876">
        <f>0.3*'ARP Score'!$N7*4*'ARP Timing'!N6</f>
        <v>0</v>
      </c>
      <c r="P13" s="876">
        <f>0.3*'ARP Score'!$N7*4*'ARP Timing'!O6</f>
        <v>0</v>
      </c>
      <c r="Q13" s="876">
        <f>0.3*'ARP Score'!$N7*4*'ARP Timing'!P6</f>
        <v>0</v>
      </c>
      <c r="R13" s="876">
        <f>0.3*'ARP Score'!$N7*4*'ARP Timing'!Q6</f>
        <v>0</v>
      </c>
      <c r="S13" s="876">
        <f>0.3*'ARP Score'!$N7*4*'ARP Timing'!R6</f>
        <v>0</v>
      </c>
      <c r="T13" s="876">
        <f>0.3*'ARP Score'!$N7*4*'ARP Timing'!S6</f>
        <v>0</v>
      </c>
      <c r="U13" s="876">
        <f>0.3*'ARP Score'!$N7*4*'ARP Timing'!T6</f>
        <v>0</v>
      </c>
      <c r="V13" s="876">
        <f>0.3*'ARP Score'!$N7*4*'ARP Timing'!U6</f>
        <v>0</v>
      </c>
      <c r="W13" s="876">
        <f t="shared" si="0"/>
        <v>2.5499999999999994</v>
      </c>
    </row>
    <row r="14" spans="1:23" x14ac:dyDescent="0.25">
      <c r="A14" s="884">
        <v>14</v>
      </c>
      <c r="B14" s="884" t="s">
        <v>842</v>
      </c>
      <c r="C14" s="876">
        <f>C13/0.3*0.2</f>
        <v>0</v>
      </c>
      <c r="D14" s="876">
        <f t="shared" ref="D14:F14" si="1">D13/0.3*0.2</f>
        <v>1.1696</v>
      </c>
      <c r="E14" s="876">
        <f t="shared" si="1"/>
        <v>1.5503999999999998</v>
      </c>
      <c r="F14" s="876">
        <f t="shared" si="1"/>
        <v>1.02</v>
      </c>
      <c r="G14" s="876">
        <f t="shared" ref="G14" si="2">G13/0.3*0.2</f>
        <v>1.02</v>
      </c>
      <c r="H14" s="876">
        <f t="shared" ref="H14" si="3">H13/0.3*0.2</f>
        <v>1.02</v>
      </c>
      <c r="I14" s="876">
        <f t="shared" ref="I14" si="4">I13/0.3*0.2</f>
        <v>1.02</v>
      </c>
      <c r="J14" s="876">
        <f t="shared" ref="J14" si="5">J13/0.3*0.2</f>
        <v>0</v>
      </c>
      <c r="K14" s="876">
        <f t="shared" ref="K14" si="6">K13/0.3*0.2</f>
        <v>0</v>
      </c>
      <c r="L14" s="876">
        <f t="shared" ref="L14" si="7">L13/0.3*0.2</f>
        <v>0</v>
      </c>
      <c r="M14" s="876">
        <f t="shared" ref="M14" si="8">M13/0.3*0.2</f>
        <v>0</v>
      </c>
      <c r="N14" s="876">
        <f t="shared" ref="N14" si="9">N13/0.3*0.2</f>
        <v>0</v>
      </c>
      <c r="O14" s="876">
        <f t="shared" ref="O14" si="10">O13/0.3*0.2</f>
        <v>0</v>
      </c>
      <c r="P14" s="876">
        <f t="shared" ref="P14" si="11">P13/0.3*0.2</f>
        <v>0</v>
      </c>
      <c r="Q14" s="876">
        <f t="shared" ref="Q14" si="12">Q13/0.3*0.2</f>
        <v>0</v>
      </c>
      <c r="R14" s="876">
        <f t="shared" ref="R14" si="13">R13/0.3*0.2</f>
        <v>0</v>
      </c>
      <c r="S14" s="876">
        <f t="shared" ref="S14" si="14">S13/0.3*0.2</f>
        <v>0</v>
      </c>
      <c r="T14" s="876">
        <f t="shared" ref="T14" si="15">T13/0.3*0.2</f>
        <v>0</v>
      </c>
      <c r="U14" s="876">
        <f t="shared" ref="U14" si="16">U13/0.3*0.2</f>
        <v>0</v>
      </c>
      <c r="V14" s="876">
        <f t="shared" ref="V14" si="17">V13/0.3*0.2</f>
        <v>0</v>
      </c>
      <c r="W14" s="876">
        <f t="shared" si="0"/>
        <v>1.6999999999999997</v>
      </c>
    </row>
    <row r="15" spans="1:23" x14ac:dyDescent="0.25">
      <c r="A15" s="884">
        <v>14</v>
      </c>
      <c r="B15" s="884" t="s">
        <v>535</v>
      </c>
      <c r="C15" s="876">
        <f>C14/0.2*0.5</f>
        <v>0</v>
      </c>
      <c r="D15" s="876">
        <f t="shared" ref="D15:F15" si="18">D14/0.2*0.5</f>
        <v>2.9239999999999999</v>
      </c>
      <c r="E15" s="876">
        <f t="shared" si="18"/>
        <v>3.8759999999999994</v>
      </c>
      <c r="F15" s="876">
        <f t="shared" si="18"/>
        <v>2.5499999999999998</v>
      </c>
      <c r="G15" s="876">
        <f t="shared" ref="G15" si="19">G14/0.2*0.5</f>
        <v>2.5499999999999998</v>
      </c>
      <c r="H15" s="876">
        <f t="shared" ref="H15" si="20">H14/0.2*0.5</f>
        <v>2.5499999999999998</v>
      </c>
      <c r="I15" s="876">
        <f t="shared" ref="I15" si="21">I14/0.2*0.5</f>
        <v>2.5499999999999998</v>
      </c>
      <c r="J15" s="876">
        <f t="shared" ref="J15" si="22">J14/0.2*0.5</f>
        <v>0</v>
      </c>
      <c r="K15" s="876">
        <f t="shared" ref="K15" si="23">K14/0.2*0.5</f>
        <v>0</v>
      </c>
      <c r="L15" s="876">
        <f t="shared" ref="L15" si="24">L14/0.2*0.5</f>
        <v>0</v>
      </c>
      <c r="M15" s="876">
        <f t="shared" ref="M15" si="25">M14/0.2*0.5</f>
        <v>0</v>
      </c>
      <c r="N15" s="876">
        <f t="shared" ref="N15" si="26">N14/0.2*0.5</f>
        <v>0</v>
      </c>
      <c r="O15" s="876">
        <f t="shared" ref="O15" si="27">O14/0.2*0.5</f>
        <v>0</v>
      </c>
      <c r="P15" s="876">
        <f t="shared" ref="P15" si="28">P14/0.2*0.5</f>
        <v>0</v>
      </c>
      <c r="Q15" s="876">
        <f t="shared" ref="Q15" si="29">Q14/0.2*0.5</f>
        <v>0</v>
      </c>
      <c r="R15" s="876">
        <f t="shared" ref="R15" si="30">R14/0.2*0.5</f>
        <v>0</v>
      </c>
      <c r="S15" s="876">
        <f t="shared" ref="S15" si="31">S14/0.2*0.5</f>
        <v>0</v>
      </c>
      <c r="T15" s="876">
        <f t="shared" ref="T15" si="32">T14/0.2*0.5</f>
        <v>0</v>
      </c>
      <c r="U15" s="876">
        <f t="shared" ref="U15" si="33">U14/0.2*0.5</f>
        <v>0</v>
      </c>
      <c r="V15" s="876">
        <f t="shared" ref="V15" si="34">V14/0.2*0.5</f>
        <v>0</v>
      </c>
      <c r="W15" s="876">
        <f t="shared" si="0"/>
        <v>4.25</v>
      </c>
    </row>
    <row r="16" spans="1:23" x14ac:dyDescent="0.25">
      <c r="C16" s="876"/>
      <c r="D16" s="876"/>
      <c r="E16" s="876"/>
      <c r="F16" s="876"/>
      <c r="G16" s="876"/>
      <c r="H16" s="876"/>
      <c r="I16" s="876"/>
      <c r="J16" s="876"/>
      <c r="K16" s="876"/>
      <c r="L16" s="876"/>
      <c r="M16" s="876"/>
      <c r="N16" s="876"/>
      <c r="O16" s="876"/>
      <c r="P16" s="876"/>
      <c r="Q16" s="876"/>
      <c r="R16" s="876"/>
      <c r="S16" s="876"/>
      <c r="T16" s="876"/>
      <c r="U16" s="876"/>
      <c r="V16" s="876"/>
      <c r="W16" s="876"/>
    </row>
    <row r="17" spans="1:23" x14ac:dyDescent="0.25">
      <c r="A17" s="884" t="s">
        <v>843</v>
      </c>
      <c r="C17" s="876"/>
      <c r="D17" s="876"/>
      <c r="E17" s="876"/>
      <c r="F17" s="876"/>
      <c r="G17" s="876"/>
      <c r="H17" s="876"/>
      <c r="I17" s="876"/>
      <c r="J17" s="876"/>
      <c r="K17" s="876"/>
      <c r="L17" s="876"/>
      <c r="M17" s="876"/>
      <c r="N17" s="876"/>
      <c r="O17" s="876"/>
      <c r="P17" s="876"/>
      <c r="Q17" s="876"/>
      <c r="R17" s="876"/>
      <c r="S17" s="876"/>
      <c r="T17" s="876"/>
      <c r="U17" s="876"/>
      <c r="V17" s="876"/>
      <c r="W17" s="876"/>
    </row>
    <row r="18" spans="1:23" x14ac:dyDescent="0.25">
      <c r="B18" s="477" t="s">
        <v>143</v>
      </c>
      <c r="C18" s="876">
        <f>'ARP Score'!$BG5/'ARP Score'!$G5*C6</f>
        <v>0</v>
      </c>
      <c r="D18" s="876">
        <f>'ARP Score'!$BG5/'ARP Score'!$G5*D6</f>
        <v>2.2132800000000001</v>
      </c>
      <c r="E18" s="876">
        <f>'ARP Score'!$BG5/'ARP Score'!$G5*E6</f>
        <v>10.082720000000002</v>
      </c>
      <c r="F18" s="876">
        <f>'ARP Score'!$BG6/'ARP Score'!$G6*F6</f>
        <v>7.1439999999999992</v>
      </c>
      <c r="G18" s="876">
        <f>'ARP Score'!$BG6/'ARP Score'!$G6*G6</f>
        <v>7.1439999999999992</v>
      </c>
      <c r="H18" s="876">
        <f>'ARP Score'!$BG6/'ARP Score'!$G6*H6</f>
        <v>7.1439999999999992</v>
      </c>
      <c r="I18" s="876">
        <f>'ARP Score'!$BG6/'ARP Score'!$G6*I6</f>
        <v>7.1439999999999992</v>
      </c>
      <c r="J18" s="876">
        <f>'ARP Score'!$BG7/'ARP Score'!$G7*J6</f>
        <v>0</v>
      </c>
      <c r="K18" s="876">
        <f>'ARP Score'!$BG7/'ARP Score'!$G7*K6</f>
        <v>0</v>
      </c>
      <c r="L18" s="876">
        <f>'ARP Score'!$BG7/'ARP Score'!$G7*L6</f>
        <v>0</v>
      </c>
      <c r="M18" s="876">
        <f>'ARP Score'!$BG7/'ARP Score'!$G7*M6</f>
        <v>0</v>
      </c>
      <c r="N18" s="876"/>
      <c r="O18" s="876"/>
      <c r="P18" s="876"/>
      <c r="Q18" s="876"/>
      <c r="R18" s="876"/>
      <c r="S18" s="876"/>
      <c r="T18" s="876"/>
      <c r="U18" s="876"/>
      <c r="V18" s="876"/>
      <c r="W18" s="876"/>
    </row>
    <row r="19" spans="1:23" x14ac:dyDescent="0.25">
      <c r="B19" s="477" t="s">
        <v>844</v>
      </c>
      <c r="C19" s="876">
        <f>'ARP Score'!$BI5/'ARP Score'!$G5*C6</f>
        <v>0</v>
      </c>
      <c r="D19" s="876">
        <f>'ARP Score'!$BI5/'ARP Score'!$G5*D6</f>
        <v>15.128640000000001</v>
      </c>
      <c r="E19" s="876">
        <f>'ARP Score'!$BI5/'ARP Score'!$G5*E6</f>
        <v>68.919360000000012</v>
      </c>
      <c r="F19" s="876">
        <f>'ARP Score'!$BI6/'ARP Score'!$G6*F6</f>
        <v>5.6120000000000001</v>
      </c>
      <c r="G19" s="876">
        <f>'ARP Score'!$BI6/'ARP Score'!$G6*G6</f>
        <v>5.6120000000000001</v>
      </c>
      <c r="H19" s="876">
        <f>'ARP Score'!$BI6/'ARP Score'!$G6*H6</f>
        <v>5.6120000000000001</v>
      </c>
      <c r="I19" s="876">
        <f>'ARP Score'!$BI6/'ARP Score'!$G6*I6</f>
        <v>5.6120000000000001</v>
      </c>
      <c r="J19" s="876">
        <f>'ARP Score'!$B7/'ARP Score'!$G7*J6</f>
        <v>0.48599999999999993</v>
      </c>
      <c r="K19" s="876">
        <f>'ARP Score'!$B7/'ARP Score'!$G7*K6</f>
        <v>0.48599999999999993</v>
      </c>
      <c r="L19" s="876">
        <f>'ARP Score'!$B7/'ARP Score'!$G7*L6</f>
        <v>0.48599999999999993</v>
      </c>
      <c r="M19" s="876">
        <f>'ARP Score'!$B7/'ARP Score'!$G7*M6</f>
        <v>0.48599999999999993</v>
      </c>
      <c r="N19" s="876">
        <f>'ARP Score'!$B8/'ARP Score'!$G8*N6</f>
        <v>0</v>
      </c>
      <c r="O19" s="876"/>
      <c r="P19" s="876"/>
      <c r="Q19" s="876"/>
      <c r="R19" s="876"/>
      <c r="S19" s="876"/>
      <c r="T19" s="876"/>
      <c r="U19" s="876"/>
      <c r="V19" s="876"/>
      <c r="W19" s="876"/>
    </row>
    <row r="20" spans="1:23" x14ac:dyDescent="0.25">
      <c r="B20" s="477" t="s">
        <v>148</v>
      </c>
      <c r="C20" s="876">
        <f>'ARP Score'!$BF5/'ARP Score'!$G5*C6</f>
        <v>0</v>
      </c>
      <c r="D20" s="876">
        <f>'ARP Score'!$BF5/'ARP Score'!$G5*D6</f>
        <v>3.2479199999999997</v>
      </c>
      <c r="E20" s="876">
        <f>'ARP Score'!$BF5/'ARP Score'!$G5*E6</f>
        <v>14.796080000000002</v>
      </c>
      <c r="F20" s="876">
        <f>'ARP Score'!$BF6/'ARP Score'!$G6*F6</f>
        <v>1.7329999999999999</v>
      </c>
      <c r="G20" s="876">
        <f>'ARP Score'!$BF6/'ARP Score'!$G6*G6</f>
        <v>1.7329999999999999</v>
      </c>
      <c r="H20" s="876">
        <f>'ARP Score'!$BF6/'ARP Score'!$G6*H6</f>
        <v>1.7329999999999999</v>
      </c>
      <c r="I20" s="876">
        <f>'ARP Score'!$BF6/'ARP Score'!$G6*I6</f>
        <v>1.7329999999999999</v>
      </c>
      <c r="J20" s="876">
        <f>'ARP Score'!$BF7/'ARP Score'!$G7*J6</f>
        <v>0</v>
      </c>
      <c r="K20" s="876">
        <f>'ARP Score'!$BF7/'ARP Score'!$G7*K6</f>
        <v>0</v>
      </c>
      <c r="L20" s="876">
        <f>'ARP Score'!$BF7/'ARP Score'!$G7*L6</f>
        <v>0</v>
      </c>
      <c r="M20" s="876">
        <f>'ARP Score'!$BF7/'ARP Score'!$G7*M6</f>
        <v>0</v>
      </c>
      <c r="N20" s="876"/>
      <c r="O20" s="876"/>
      <c r="P20" s="876"/>
      <c r="Q20" s="876"/>
      <c r="R20" s="876"/>
      <c r="S20" s="876"/>
      <c r="T20" s="876"/>
      <c r="U20" s="876"/>
      <c r="V20" s="876"/>
      <c r="W20" s="876"/>
    </row>
    <row r="21" spans="1:23" x14ac:dyDescent="0.25">
      <c r="B21" s="885" t="s">
        <v>475</v>
      </c>
      <c r="C21" s="876">
        <f>15/40*(C6*'ARP Score'!$BD5/'ARP Score'!$G5)</f>
        <v>0</v>
      </c>
      <c r="D21" s="876">
        <f>15/40*(D6*('ARP Score'!$BD5+'ARP Score'!$BE5)/'ARP Score'!$G5)</f>
        <v>13.2921</v>
      </c>
      <c r="E21" s="876">
        <f>15/40*(E6*('ARP Score'!$BD5+'ARP Score'!$BE5)/'ARP Score'!$G5)</f>
        <v>60.552900000000008</v>
      </c>
      <c r="F21" s="876">
        <f>15/40*(F6*('ARP Score'!$BD6+'ARP Score'!$BE6)/'ARP Score'!$G6)</f>
        <v>1.0687500000000001</v>
      </c>
      <c r="G21" s="876">
        <f>15/40*(G6*('ARP Score'!$BD6+'ARP Score'!$BE6)/'ARP Score'!$G6)</f>
        <v>1.0687500000000001</v>
      </c>
      <c r="H21" s="876">
        <f>15/40*(H6*('ARP Score'!$BD6+'ARP Score'!$BE6)/'ARP Score'!$G6)</f>
        <v>1.0687500000000001</v>
      </c>
      <c r="I21" s="876">
        <f>15/40*(I6*('ARP Score'!$BD6+'ARP Score'!$BE6)/'ARP Score'!$G6)</f>
        <v>1.0687500000000001</v>
      </c>
      <c r="J21" s="876">
        <f>15/40*(J6*('ARP Score'!$BD7+'ARP Score'!$BE7)/'ARP Score'!$G7)</f>
        <v>0.78750000000000009</v>
      </c>
      <c r="K21" s="876">
        <f>15/40*(K6*('ARP Score'!$BD7+'ARP Score'!$BE7)/'ARP Score'!$G7)</f>
        <v>0.78750000000000009</v>
      </c>
      <c r="L21" s="876">
        <f>15/40*(L6*('ARP Score'!$BD7+'ARP Score'!$BE7)/'ARP Score'!$G7)</f>
        <v>0.78750000000000009</v>
      </c>
      <c r="M21" s="876">
        <f>15/40*(M6*('ARP Score'!$BD7+'ARP Score'!$BE7)/'ARP Score'!$G7)</f>
        <v>0.78750000000000009</v>
      </c>
      <c r="N21" s="876"/>
      <c r="O21" s="876"/>
      <c r="P21" s="876"/>
      <c r="Q21" s="876"/>
      <c r="R21" s="876"/>
      <c r="S21" s="876"/>
      <c r="T21" s="876"/>
      <c r="U21" s="876"/>
      <c r="V21" s="876"/>
      <c r="W21" s="876"/>
    </row>
    <row r="22" spans="1:23" x14ac:dyDescent="0.25">
      <c r="B22" s="885" t="s">
        <v>845</v>
      </c>
      <c r="C22" s="876"/>
      <c r="D22" s="876">
        <f>D21/15*25</f>
        <v>22.153499999999998</v>
      </c>
      <c r="E22" s="876">
        <f>E21/15*25</f>
        <v>100.92150000000002</v>
      </c>
      <c r="F22" s="876">
        <f>F21/15*25</f>
        <v>1.7812500000000002</v>
      </c>
      <c r="G22" s="876">
        <f>G21/15*25</f>
        <v>1.7812500000000002</v>
      </c>
      <c r="H22" s="876">
        <f t="shared" ref="H22:J22" si="35">H21/15*25</f>
        <v>1.7812500000000002</v>
      </c>
      <c r="I22" s="876">
        <f t="shared" si="35"/>
        <v>1.7812500000000002</v>
      </c>
      <c r="J22" s="876">
        <f t="shared" si="35"/>
        <v>1.3125000000000002</v>
      </c>
      <c r="K22" s="876">
        <f t="shared" ref="K22" si="36">K21/15*25</f>
        <v>1.3125000000000002</v>
      </c>
      <c r="L22" s="876">
        <f t="shared" ref="L22" si="37">L21/15*25</f>
        <v>1.3125000000000002</v>
      </c>
      <c r="M22" s="876">
        <f t="shared" ref="M22" si="38">M21/15*25</f>
        <v>1.3125000000000002</v>
      </c>
      <c r="N22" s="876"/>
      <c r="O22" s="876"/>
      <c r="P22" s="876"/>
      <c r="Q22" s="876"/>
      <c r="R22" s="876"/>
      <c r="S22" s="876"/>
      <c r="T22" s="876"/>
      <c r="U22" s="876"/>
      <c r="V22" s="876"/>
      <c r="W22" s="876"/>
    </row>
    <row r="23" spans="1:23" x14ac:dyDescent="0.25">
      <c r="B23" s="477" t="s">
        <v>487</v>
      </c>
      <c r="C23" s="876">
        <f>'ARP Score'!$BB5/'ARP Score'!$G5*C6</f>
        <v>0</v>
      </c>
      <c r="D23" s="876">
        <f>'ARP Score'!$BB5/'ARP Score'!$G5*D6</f>
        <v>2.9519999999999995</v>
      </c>
      <c r="E23" s="876">
        <f>'ARP Score'!$BB5/'ARP Score'!$G5*E6</f>
        <v>13.448</v>
      </c>
      <c r="F23" s="876">
        <f>'ARP Score'!$BB6/'ARP Score'!$G6*F6</f>
        <v>11.3</v>
      </c>
      <c r="G23" s="876">
        <f>'ARP Score'!$BB6/'ARP Score'!$G6*G6</f>
        <v>11.3</v>
      </c>
      <c r="H23" s="876">
        <f>'ARP Score'!$BB6/'ARP Score'!$G6*H6</f>
        <v>11.3</v>
      </c>
      <c r="I23" s="876">
        <f>'ARP Score'!$BB6/'ARP Score'!$G6*I6</f>
        <v>11.3</v>
      </c>
      <c r="J23" s="876">
        <f>'ARP Score'!$BB7/'ARP Score'!$G7*J6</f>
        <v>8.4</v>
      </c>
      <c r="K23" s="876">
        <f>'ARP Score'!$BB7/'ARP Score'!$G7*K6</f>
        <v>8.4</v>
      </c>
      <c r="L23" s="876">
        <f>'ARP Score'!$BB7/'ARP Score'!$G7*L6</f>
        <v>8.4</v>
      </c>
      <c r="M23" s="876">
        <f>'ARP Score'!$BB7/'ARP Score'!$G7*M6</f>
        <v>8.4</v>
      </c>
      <c r="N23" s="876">
        <f>'ARP Score'!$BB8/'ARP Score'!$G8*N6</f>
        <v>0.2</v>
      </c>
      <c r="O23" s="876">
        <f>'ARP Score'!$BB8/'ARP Score'!$G8*O6</f>
        <v>0.2</v>
      </c>
      <c r="P23" s="876">
        <f>'ARP Score'!$BB8/'ARP Score'!$G8*P6</f>
        <v>0.2</v>
      </c>
      <c r="Q23" s="876">
        <f>'ARP Score'!$BB8/'ARP Score'!$G8*Q6</f>
        <v>0.2</v>
      </c>
      <c r="R23" s="876"/>
      <c r="S23" s="876"/>
      <c r="T23" s="876"/>
      <c r="U23" s="876"/>
      <c r="V23" s="876"/>
      <c r="W23" s="876"/>
    </row>
    <row r="24" spans="1:23" x14ac:dyDescent="0.25">
      <c r="B24" s="477" t="s">
        <v>488</v>
      </c>
      <c r="C24" s="876">
        <f>'ARP Score'!$BH5/'ARP Score'!$G5*C6</f>
        <v>0</v>
      </c>
      <c r="D24" s="876">
        <f>'ARP Score'!$BH5/'ARP Score'!$G5*D6</f>
        <v>-0.20447999999999997</v>
      </c>
      <c r="E24" s="876">
        <f>'ARP Score'!$BH5/'ARP Score'!$G5*E6</f>
        <v>-0.93152000000000001</v>
      </c>
      <c r="F24" s="876">
        <f>'ARP Score'!$BH6/'ARP Score'!$G6*F6</f>
        <v>81.608999999999995</v>
      </c>
      <c r="G24" s="876">
        <f>'ARP Score'!$BH6/'ARP Score'!$G6*G6</f>
        <v>81.608999999999995</v>
      </c>
      <c r="H24" s="876">
        <f>'ARP Score'!$BH6/'ARP Score'!$G6*H6</f>
        <v>81.608999999999995</v>
      </c>
      <c r="I24" s="876">
        <f>'ARP Score'!$BH6/'ARP Score'!$G6*I6</f>
        <v>81.608999999999995</v>
      </c>
      <c r="J24" s="876">
        <f>'ARP Score'!$BH7/'ARP Score'!$G7*J6</f>
        <v>1.3759999999999999</v>
      </c>
      <c r="K24" s="876">
        <f>'ARP Score'!$BH7/'ARP Score'!$G7*K6</f>
        <v>1.3759999999999999</v>
      </c>
      <c r="L24" s="876">
        <f>'ARP Score'!$BH7/'ARP Score'!$G7*L6</f>
        <v>1.3759999999999999</v>
      </c>
      <c r="M24" s="876">
        <f>'ARP Score'!$BH7/'ARP Score'!$G7*M6</f>
        <v>1.3759999999999999</v>
      </c>
      <c r="N24" s="876">
        <f>'ARP Score'!$BH8/'ARP Score'!$G8*N6</f>
        <v>-0.87500000000000011</v>
      </c>
      <c r="O24" s="876">
        <f>'ARP Score'!$BH8/'ARP Score'!$G8*O6</f>
        <v>-0.87500000000000011</v>
      </c>
      <c r="P24" s="876">
        <f>'ARP Score'!$BH8/'ARP Score'!$G8*P6</f>
        <v>-0.87500000000000011</v>
      </c>
      <c r="Q24" s="876">
        <f>'ARP Score'!$BH8/'ARP Score'!$G8*Q6</f>
        <v>-0.87500000000000011</v>
      </c>
      <c r="R24" s="876"/>
      <c r="S24" s="876"/>
      <c r="T24" s="876"/>
      <c r="U24" s="876"/>
      <c r="V24" s="876"/>
      <c r="W24" s="876"/>
    </row>
    <row r="25" spans="1:23" x14ac:dyDescent="0.25">
      <c r="B25" s="477" t="s">
        <v>360</v>
      </c>
      <c r="C25" s="876">
        <f>SUM(C18:C24)</f>
        <v>0</v>
      </c>
      <c r="D25" s="876">
        <f t="shared" ref="D25:Q25" si="39">SUM(D18:D24)</f>
        <v>58.782959999999996</v>
      </c>
      <c r="E25" s="876">
        <f t="shared" si="39"/>
        <v>267.78904000000006</v>
      </c>
      <c r="F25" s="876">
        <f t="shared" si="39"/>
        <v>110.24799999999999</v>
      </c>
      <c r="G25" s="876">
        <f t="shared" si="39"/>
        <v>110.24799999999999</v>
      </c>
      <c r="H25" s="876">
        <f t="shared" si="39"/>
        <v>110.24799999999999</v>
      </c>
      <c r="I25" s="876">
        <f t="shared" si="39"/>
        <v>110.24799999999999</v>
      </c>
      <c r="J25" s="876">
        <f t="shared" si="39"/>
        <v>12.362</v>
      </c>
      <c r="K25" s="876">
        <f t="shared" si="39"/>
        <v>12.362</v>
      </c>
      <c r="L25" s="876">
        <f t="shared" si="39"/>
        <v>12.362</v>
      </c>
      <c r="M25" s="876">
        <f t="shared" si="39"/>
        <v>12.362</v>
      </c>
      <c r="N25" s="876">
        <f t="shared" si="39"/>
        <v>-0.67500000000000004</v>
      </c>
      <c r="O25" s="876">
        <f t="shared" si="39"/>
        <v>-0.67500000000000004</v>
      </c>
      <c r="P25" s="876">
        <f t="shared" si="39"/>
        <v>-0.67500000000000004</v>
      </c>
      <c r="Q25" s="876">
        <f t="shared" si="39"/>
        <v>-0.67500000000000004</v>
      </c>
      <c r="R25" s="876"/>
      <c r="S25" s="876"/>
      <c r="T25" s="876"/>
      <c r="U25" s="876"/>
      <c r="V25" s="876"/>
      <c r="W25" s="876"/>
    </row>
    <row r="26" spans="1:23" x14ac:dyDescent="0.25">
      <c r="D26" s="878">
        <f>D6-D25</f>
        <v>0</v>
      </c>
      <c r="E26" s="878">
        <f t="shared" ref="E26:M26" si="40">E6-E25</f>
        <v>0</v>
      </c>
      <c r="F26" s="878">
        <f t="shared" si="40"/>
        <v>0</v>
      </c>
      <c r="G26" s="878">
        <f t="shared" si="40"/>
        <v>0</v>
      </c>
      <c r="H26" s="878">
        <f t="shared" si="40"/>
        <v>0</v>
      </c>
      <c r="I26" s="878">
        <f t="shared" si="40"/>
        <v>0</v>
      </c>
      <c r="J26" s="878">
        <f t="shared" si="40"/>
        <v>0.36400000000000077</v>
      </c>
      <c r="K26" s="878">
        <f t="shared" si="40"/>
        <v>0.36400000000000077</v>
      </c>
      <c r="L26" s="878">
        <f t="shared" si="40"/>
        <v>0.36400000000000077</v>
      </c>
      <c r="M26" s="878">
        <f t="shared" si="40"/>
        <v>0.36400000000000077</v>
      </c>
    </row>
    <row r="27" spans="1:23" x14ac:dyDescent="0.25">
      <c r="B27" s="884" t="s">
        <v>846</v>
      </c>
      <c r="D27" s="124" t="s">
        <v>296</v>
      </c>
      <c r="E27" s="124" t="s">
        <v>180</v>
      </c>
      <c r="F27" s="124" t="s">
        <v>181</v>
      </c>
      <c r="G27" s="124" t="s">
        <v>182</v>
      </c>
      <c r="H27" s="124" t="s">
        <v>183</v>
      </c>
      <c r="I27" s="124" t="s">
        <v>184</v>
      </c>
      <c r="J27" s="124" t="s">
        <v>185</v>
      </c>
      <c r="K27" s="124" t="s">
        <v>186</v>
      </c>
      <c r="L27" s="124" t="s">
        <v>187</v>
      </c>
      <c r="M27" s="124" t="s">
        <v>188</v>
      </c>
      <c r="N27" s="124" t="s">
        <v>189</v>
      </c>
      <c r="O27" s="124" t="s">
        <v>190</v>
      </c>
      <c r="P27" s="124" t="s">
        <v>191</v>
      </c>
      <c r="Q27" s="124" t="s">
        <v>175</v>
      </c>
      <c r="R27" s="124" t="s">
        <v>176</v>
      </c>
      <c r="S27" s="124" t="s">
        <v>177</v>
      </c>
      <c r="T27" s="124" t="s">
        <v>837</v>
      </c>
      <c r="U27" s="124" t="s">
        <v>838</v>
      </c>
      <c r="V27" s="124" t="s">
        <v>839</v>
      </c>
    </row>
    <row r="28" spans="1:23" x14ac:dyDescent="0.25">
      <c r="B28" s="877"/>
      <c r="C28" s="878" t="s">
        <v>360</v>
      </c>
      <c r="D28" s="880">
        <f>SUM(D29:D43)</f>
        <v>5.8765000000000009</v>
      </c>
      <c r="E28" s="880">
        <f t="shared" ref="E28:V28" si="41">SUM(E29:E43)</f>
        <v>11.753000000000002</v>
      </c>
      <c r="F28" s="880">
        <f t="shared" si="41"/>
        <v>15.762320000000003</v>
      </c>
      <c r="G28" s="880">
        <f t="shared" si="41"/>
        <v>19.771640000000005</v>
      </c>
      <c r="H28" s="880">
        <f t="shared" si="41"/>
        <v>23.812229000000006</v>
      </c>
      <c r="I28" s="880">
        <f t="shared" si="41"/>
        <v>27.852818000000006</v>
      </c>
      <c r="J28" s="880">
        <f t="shared" si="41"/>
        <v>30.517977000000005</v>
      </c>
      <c r="K28" s="880">
        <f t="shared" si="41"/>
        <v>33.183136000000005</v>
      </c>
      <c r="L28" s="880">
        <f t="shared" si="41"/>
        <v>36.260924000000003</v>
      </c>
      <c r="M28" s="880">
        <f t="shared" si="41"/>
        <v>39.338711999999994</v>
      </c>
      <c r="N28" s="880">
        <f t="shared" si="41"/>
        <v>40.928439999999995</v>
      </c>
      <c r="O28" s="880">
        <f t="shared" si="41"/>
        <v>42.518167999999996</v>
      </c>
      <c r="P28" s="880">
        <f t="shared" si="41"/>
        <v>44.428388999999996</v>
      </c>
      <c r="Q28" s="880">
        <f t="shared" si="41"/>
        <v>46.338610000000003</v>
      </c>
      <c r="R28" s="880">
        <f t="shared" si="41"/>
        <v>47.279744500000007</v>
      </c>
      <c r="S28" s="880">
        <f t="shared" si="41"/>
        <v>46.283419000000009</v>
      </c>
      <c r="T28" s="880">
        <f t="shared" si="41"/>
        <v>45.578489500000011</v>
      </c>
      <c r="U28" s="880">
        <f t="shared" si="41"/>
        <v>45.454798000000011</v>
      </c>
      <c r="V28" s="880">
        <f t="shared" si="41"/>
        <v>45.360580000000013</v>
      </c>
    </row>
    <row r="29" spans="1:23" x14ac:dyDescent="0.25">
      <c r="A29" s="884">
        <v>2021</v>
      </c>
      <c r="B29" s="877" t="s">
        <v>847</v>
      </c>
      <c r="C29" s="878"/>
      <c r="D29" s="884">
        <f>($D$9+$D$10)*'ARP Timing'!B$16</f>
        <v>5.8765000000000009</v>
      </c>
      <c r="E29" s="884">
        <f>($D$9+$D$10)*'ARP Timing'!C$16</f>
        <v>5.8765000000000009</v>
      </c>
      <c r="F29" s="884">
        <f>($D$9+$D$10)*'ARP Timing'!D$16</f>
        <v>4.11355</v>
      </c>
      <c r="G29" s="884">
        <f>($D$9+$D$10)*'ARP Timing'!E$16</f>
        <v>4.11355</v>
      </c>
      <c r="H29" s="884">
        <f>($D$9+$D$10)*'ARP Timing'!F$16</f>
        <v>4.11355</v>
      </c>
      <c r="I29" s="884">
        <f>($D$9+$D$10)*'ARP Timing'!G$16</f>
        <v>4.11355</v>
      </c>
      <c r="J29" s="884">
        <f>($D$9+$D$10)*'ARP Timing'!H$16</f>
        <v>4.11355</v>
      </c>
      <c r="K29" s="884">
        <f>($D$9+$D$10)*'ARP Timing'!I$16</f>
        <v>4.11355</v>
      </c>
      <c r="L29" s="884">
        <f>($D$9+$D$10)*'ARP Timing'!J$16</f>
        <v>4.11355</v>
      </c>
      <c r="M29" s="884">
        <f>($D$9+$D$10)*'ARP Timing'!K$16</f>
        <v>4.11355</v>
      </c>
      <c r="N29" s="884">
        <f>($D$9+$D$10)*'ARP Timing'!L$16</f>
        <v>4.11355</v>
      </c>
      <c r="O29" s="884">
        <f>($D$9+$D$10)*'ARP Timing'!M$16</f>
        <v>4.11355</v>
      </c>
      <c r="P29" s="884">
        <f>($D$9+$D$10)*'ARP Timing'!N$16</f>
        <v>3.987625</v>
      </c>
      <c r="Q29" s="884">
        <f>($D$9+$D$10)*'ARP Timing'!O$16</f>
        <v>3.987625</v>
      </c>
      <c r="R29" s="884">
        <f>($D$9+$D$10)*'ARP Timing'!P$16</f>
        <v>3.987625</v>
      </c>
      <c r="S29" s="884">
        <f>($D$9+$D$10)*'ARP Timing'!Q$16</f>
        <v>3.987625</v>
      </c>
      <c r="T29" s="884">
        <f>($D$9+$D$10)*'ARP Timing'!R$16</f>
        <v>3.987625</v>
      </c>
      <c r="U29" s="884">
        <f>($D$9+$D$10)*'ARP Timing'!S$16</f>
        <v>3.987625</v>
      </c>
      <c r="V29" s="884">
        <f>($D$9+$D$10)*'ARP Timing'!T$16</f>
        <v>3.987625</v>
      </c>
    </row>
    <row r="30" spans="1:23" x14ac:dyDescent="0.25">
      <c r="B30" s="877" t="s">
        <v>379</v>
      </c>
      <c r="C30" s="878"/>
      <c r="E30" s="884">
        <f>($E$9+$E$10)*'ARP Timing'!B$16</f>
        <v>5.8765000000000009</v>
      </c>
      <c r="F30" s="884">
        <f>($E$9+$E$10)*'ARP Timing'!C$16</f>
        <v>5.8765000000000009</v>
      </c>
      <c r="G30" s="884">
        <f>($E$9+$E$10)*'ARP Timing'!D$16</f>
        <v>4.11355</v>
      </c>
      <c r="H30" s="884">
        <f>($E$9+$E$10)*'ARP Timing'!E$16</f>
        <v>4.11355</v>
      </c>
      <c r="I30" s="884">
        <f>($E$9+$E$10)*'ARP Timing'!F$16</f>
        <v>4.11355</v>
      </c>
      <c r="J30" s="884">
        <f>($E$9+$E$10)*'ARP Timing'!G$16</f>
        <v>4.11355</v>
      </c>
      <c r="K30" s="884">
        <f>($E$9+$E$10)*'ARP Timing'!H$16</f>
        <v>4.11355</v>
      </c>
      <c r="L30" s="884">
        <f>($E$9+$E$10)*'ARP Timing'!I$16</f>
        <v>4.11355</v>
      </c>
      <c r="M30" s="884">
        <f>($E$9+$E$10)*'ARP Timing'!J$16</f>
        <v>4.11355</v>
      </c>
      <c r="N30" s="884">
        <f>($E$9+$E$10)*'ARP Timing'!K$16</f>
        <v>4.11355</v>
      </c>
      <c r="O30" s="884">
        <f>($E$9+$E$10)*'ARP Timing'!L$16</f>
        <v>4.11355</v>
      </c>
      <c r="P30" s="884">
        <f>($E$9+$E$10)*'ARP Timing'!M$16</f>
        <v>4.11355</v>
      </c>
      <c r="Q30" s="884">
        <f>($E$9+$E$10)*'ARP Timing'!N$16</f>
        <v>3.987625</v>
      </c>
      <c r="R30" s="884">
        <f>($E$9+$E$10)*'ARP Timing'!O$16</f>
        <v>3.987625</v>
      </c>
      <c r="S30" s="884">
        <f>($E$9+$E$10)*'ARP Timing'!P$16</f>
        <v>3.987625</v>
      </c>
      <c r="T30" s="884">
        <f>($E$9+$E$10)*'ARP Timing'!Q$16</f>
        <v>3.987625</v>
      </c>
      <c r="U30" s="884">
        <f>($E$9+$E$10)*'ARP Timing'!R$16</f>
        <v>3.987625</v>
      </c>
      <c r="V30" s="884">
        <f>($E$9+$E$10)*'ARP Timing'!S$16</f>
        <v>3.987625</v>
      </c>
    </row>
    <row r="31" spans="1:23" x14ac:dyDescent="0.25">
      <c r="B31" s="877" t="s">
        <v>848</v>
      </c>
      <c r="C31" s="878"/>
      <c r="F31" s="884">
        <f>($F$9+$F$10)*'ARP Timing'!B$16</f>
        <v>5.7722700000000016</v>
      </c>
      <c r="G31" s="884">
        <f>($F$9+$F$10)*'ARP Timing'!C$16</f>
        <v>5.7722700000000016</v>
      </c>
      <c r="H31" s="884">
        <f>($F$9+$F$10)*'ARP Timing'!D$16</f>
        <v>4.0405890000000007</v>
      </c>
      <c r="I31" s="884">
        <f>($F$9+$F$10)*'ARP Timing'!E$16</f>
        <v>4.0405890000000007</v>
      </c>
      <c r="J31" s="884">
        <f>($F$9+$F$10)*'ARP Timing'!F$16</f>
        <v>4.0405890000000007</v>
      </c>
      <c r="K31" s="884">
        <f>($F$9+$F$10)*'ARP Timing'!G$16</f>
        <v>4.0405890000000007</v>
      </c>
      <c r="L31" s="884">
        <f>($F$9+$F$10)*'ARP Timing'!H$16</f>
        <v>4.0405890000000007</v>
      </c>
      <c r="M31" s="884">
        <f>($F$9+$F$10)*'ARP Timing'!I$16</f>
        <v>4.0405890000000007</v>
      </c>
      <c r="N31" s="884">
        <f>($F$9+$F$10)*'ARP Timing'!J$16</f>
        <v>4.0405890000000007</v>
      </c>
      <c r="O31" s="884">
        <f>($F$9+$F$10)*'ARP Timing'!K$16</f>
        <v>4.0405890000000007</v>
      </c>
      <c r="P31" s="884">
        <f>($F$9+$F$10)*'ARP Timing'!L$16</f>
        <v>4.0405890000000007</v>
      </c>
      <c r="Q31" s="884">
        <f>($F$9+$F$10)*'ARP Timing'!M$16</f>
        <v>4.0405890000000007</v>
      </c>
      <c r="R31" s="884">
        <f>($F$9+$F$10)*'ARP Timing'!N$16</f>
        <v>3.9168975000000006</v>
      </c>
      <c r="S31" s="884">
        <f>($F$9+$F$10)*'ARP Timing'!O$16</f>
        <v>3.9168975000000006</v>
      </c>
      <c r="T31" s="884">
        <f>($F$9+$F$10)*'ARP Timing'!P$16</f>
        <v>3.9168975000000006</v>
      </c>
      <c r="U31" s="884">
        <f>($F$9+$F$10)*'ARP Timing'!Q$16</f>
        <v>3.9168975000000006</v>
      </c>
      <c r="V31" s="884">
        <f>($F$9+$F$10)*'ARP Timing'!R$16</f>
        <v>3.9168975000000006</v>
      </c>
    </row>
    <row r="32" spans="1:23" x14ac:dyDescent="0.25">
      <c r="A32" s="884">
        <v>2022</v>
      </c>
      <c r="B32" s="877" t="s">
        <v>247</v>
      </c>
      <c r="C32" s="878"/>
      <c r="G32" s="884">
        <f>($G$9+$G$10)*'ARP Timing'!B$16</f>
        <v>5.7722700000000016</v>
      </c>
      <c r="H32" s="884">
        <f>($G$9+$G$10)*'ARP Timing'!C$16</f>
        <v>5.7722700000000016</v>
      </c>
      <c r="I32" s="884">
        <f>($G$9+$G$10)*'ARP Timing'!D$16</f>
        <v>4.0405890000000007</v>
      </c>
      <c r="J32" s="884">
        <f>($G$9+$G$10)*'ARP Timing'!E$16</f>
        <v>4.0405890000000007</v>
      </c>
      <c r="K32" s="884">
        <f>($G$9+$G$10)*'ARP Timing'!F$16</f>
        <v>4.0405890000000007</v>
      </c>
      <c r="L32" s="884">
        <f>($G$9+$G$10)*'ARP Timing'!G$16</f>
        <v>4.0405890000000007</v>
      </c>
      <c r="M32" s="884">
        <f>($G$9+$G$10)*'ARP Timing'!H$16</f>
        <v>4.0405890000000007</v>
      </c>
      <c r="N32" s="884">
        <f>($G$9+$G$10)*'ARP Timing'!I$16</f>
        <v>4.0405890000000007</v>
      </c>
      <c r="O32" s="884">
        <f>($G$9+$G$10)*'ARP Timing'!J$16</f>
        <v>4.0405890000000007</v>
      </c>
      <c r="P32" s="884">
        <f>($G$9+$G$10)*'ARP Timing'!K$16</f>
        <v>4.0405890000000007</v>
      </c>
      <c r="Q32" s="884">
        <f>($G$9+$G$10)*'ARP Timing'!L$16</f>
        <v>4.0405890000000007</v>
      </c>
      <c r="R32" s="884">
        <f>($G$9+$G$10)*'ARP Timing'!M$16</f>
        <v>4.0405890000000007</v>
      </c>
      <c r="S32" s="884">
        <f>($G$9+$G$10)*'ARP Timing'!N$16</f>
        <v>3.9168975000000006</v>
      </c>
      <c r="T32" s="884">
        <f>($G$9+$G$10)*'ARP Timing'!O$16</f>
        <v>3.9168975000000006</v>
      </c>
      <c r="U32" s="884">
        <f>($G$9+$G$10)*'ARP Timing'!P$16</f>
        <v>3.9168975000000006</v>
      </c>
      <c r="V32" s="884">
        <f>($G$9+$G$10)*'ARP Timing'!Q$16</f>
        <v>3.9168975000000006</v>
      </c>
    </row>
    <row r="33" spans="1:23" x14ac:dyDescent="0.25">
      <c r="B33" s="877" t="s">
        <v>248</v>
      </c>
      <c r="C33" s="878"/>
      <c r="H33" s="884">
        <f>($H$9+$H$10)*'ARP Timing'!B$16</f>
        <v>5.7722700000000016</v>
      </c>
      <c r="I33" s="884">
        <f>($H$9+$H$10)*'ARP Timing'!C$16</f>
        <v>5.7722700000000016</v>
      </c>
      <c r="J33" s="884">
        <f>($H$9+$H$10)*'ARP Timing'!D$16</f>
        <v>4.0405890000000007</v>
      </c>
      <c r="K33" s="884">
        <f>($H$9+$H$10)*'ARP Timing'!E$16</f>
        <v>4.0405890000000007</v>
      </c>
      <c r="L33" s="884">
        <f>($H$9+$H$10)*'ARP Timing'!F$16</f>
        <v>4.0405890000000007</v>
      </c>
      <c r="M33" s="884">
        <f>($H$9+$H$10)*'ARP Timing'!G$16</f>
        <v>4.0405890000000007</v>
      </c>
      <c r="N33" s="884">
        <f>($H$9+$H$10)*'ARP Timing'!H$16</f>
        <v>4.0405890000000007</v>
      </c>
      <c r="O33" s="884">
        <f>($H$9+$H$10)*'ARP Timing'!I$16</f>
        <v>4.0405890000000007</v>
      </c>
      <c r="P33" s="884">
        <f>($H$9+$H$10)*'ARP Timing'!J$16</f>
        <v>4.0405890000000007</v>
      </c>
      <c r="Q33" s="884">
        <f>($H$9+$H$10)*'ARP Timing'!K$16</f>
        <v>4.0405890000000007</v>
      </c>
      <c r="R33" s="884">
        <f>($H$9+$H$10)*'ARP Timing'!L$16</f>
        <v>4.0405890000000007</v>
      </c>
      <c r="S33" s="884">
        <f>($H$9+$H$10)*'ARP Timing'!M$16</f>
        <v>4.0405890000000007</v>
      </c>
      <c r="T33" s="884">
        <f>($H$9+$H$10)*'ARP Timing'!N$16</f>
        <v>3.9168975000000006</v>
      </c>
      <c r="U33" s="884">
        <f>($H$9+$H$10)*'ARP Timing'!O$16</f>
        <v>3.9168975000000006</v>
      </c>
      <c r="V33" s="884">
        <f>($H$9+$H$10)*'ARP Timing'!P$16</f>
        <v>3.9168975000000006</v>
      </c>
    </row>
    <row r="34" spans="1:23" x14ac:dyDescent="0.25">
      <c r="B34" s="877" t="s">
        <v>379</v>
      </c>
      <c r="C34" s="878"/>
      <c r="H34" s="878"/>
      <c r="I34" s="884">
        <f>($I$9+$I10)*'ARP Timing'!B$16</f>
        <v>5.7722700000000016</v>
      </c>
      <c r="J34" s="884">
        <f>($I$9+$I10)*'ARP Timing'!C$16</f>
        <v>5.7722700000000016</v>
      </c>
      <c r="K34" s="884">
        <f>($I$9+$I10)*'ARP Timing'!D$16</f>
        <v>4.0405890000000007</v>
      </c>
      <c r="L34" s="884">
        <f>($I$9+$I10)*'ARP Timing'!E$16</f>
        <v>4.0405890000000007</v>
      </c>
      <c r="M34" s="884">
        <f>($I$9+$I10)*'ARP Timing'!F$16</f>
        <v>4.0405890000000007</v>
      </c>
      <c r="N34" s="884">
        <f>($I$9+$I10)*'ARP Timing'!G$16</f>
        <v>4.0405890000000007</v>
      </c>
      <c r="O34" s="884">
        <f>($I$9+$I10)*'ARP Timing'!H$16</f>
        <v>4.0405890000000007</v>
      </c>
      <c r="P34" s="884">
        <f>($I$9+$I10)*'ARP Timing'!I$16</f>
        <v>4.0405890000000007</v>
      </c>
      <c r="Q34" s="884">
        <f>($I$9+$I10)*'ARP Timing'!J$16</f>
        <v>4.0405890000000007</v>
      </c>
      <c r="R34" s="884">
        <f>($I$9+$I10)*'ARP Timing'!K$16</f>
        <v>4.0405890000000007</v>
      </c>
      <c r="S34" s="884">
        <f>($I$9+$I10)*'ARP Timing'!L$16</f>
        <v>4.0405890000000007</v>
      </c>
      <c r="T34" s="884">
        <f>($I$9+$I10)*'ARP Timing'!M$16</f>
        <v>4.0405890000000007</v>
      </c>
      <c r="U34" s="884">
        <f>($I$9+$I10)*'ARP Timing'!N$16</f>
        <v>3.9168975000000006</v>
      </c>
      <c r="V34" s="884">
        <f>($I$9+$I10)*'ARP Timing'!O$16</f>
        <v>3.9168975000000006</v>
      </c>
    </row>
    <row r="35" spans="1:23" x14ac:dyDescent="0.25">
      <c r="B35" s="877" t="s">
        <v>848</v>
      </c>
      <c r="C35" s="878"/>
      <c r="H35" s="878"/>
      <c r="J35" s="884">
        <f>($J$9+$J$10)*'ARP Timing'!B$16</f>
        <v>4.3968400000000001</v>
      </c>
      <c r="K35" s="884">
        <f>($J$9+$J$10)*'ARP Timing'!C$16</f>
        <v>4.3968400000000001</v>
      </c>
      <c r="L35" s="884">
        <f>($J$9+$J$10)*'ARP Timing'!D$16</f>
        <v>3.077788</v>
      </c>
      <c r="M35" s="884">
        <f>($J$9+$J$10)*'ARP Timing'!E$16</f>
        <v>3.077788</v>
      </c>
      <c r="N35" s="884">
        <f>($J$9+$J$10)*'ARP Timing'!F$16</f>
        <v>3.077788</v>
      </c>
      <c r="O35" s="884">
        <f>($J$9+$J$10)*'ARP Timing'!G$16</f>
        <v>3.077788</v>
      </c>
      <c r="P35" s="884">
        <f>($J$9+$J$10)*'ARP Timing'!H$16</f>
        <v>3.077788</v>
      </c>
      <c r="Q35" s="884">
        <f>($J$9+$J$10)*'ARP Timing'!I$16</f>
        <v>3.077788</v>
      </c>
      <c r="R35" s="884">
        <f>($J$9+$J$10)*'ARP Timing'!J$16</f>
        <v>3.077788</v>
      </c>
      <c r="S35" s="884">
        <f>($J$9+$J$10)*'ARP Timing'!K$16</f>
        <v>3.077788</v>
      </c>
      <c r="T35" s="884">
        <f>($J$9+$J$10)*'ARP Timing'!L$16</f>
        <v>3.077788</v>
      </c>
      <c r="U35" s="884">
        <f>($J$9+$J$10)*'ARP Timing'!M$16</f>
        <v>3.077788</v>
      </c>
      <c r="V35" s="884">
        <f>($J$9+$J$10)*'ARP Timing'!N$16</f>
        <v>2.9835699999999998</v>
      </c>
    </row>
    <row r="36" spans="1:23" x14ac:dyDescent="0.25">
      <c r="A36" s="884">
        <v>2023</v>
      </c>
      <c r="B36" s="877" t="s">
        <v>247</v>
      </c>
      <c r="C36" s="878"/>
      <c r="H36" s="878"/>
      <c r="K36" s="884">
        <f>($K$9+$K$10)*'ARP Timing'!B$16</f>
        <v>4.3968400000000001</v>
      </c>
      <c r="L36" s="884">
        <f>($K$9+$K$10)*'ARP Timing'!C$16</f>
        <v>4.3968400000000001</v>
      </c>
      <c r="M36" s="884">
        <f>($K$9+$K$10)*'ARP Timing'!D$16</f>
        <v>3.077788</v>
      </c>
      <c r="N36" s="884">
        <f>($K$9+$K$10)*'ARP Timing'!E$16</f>
        <v>3.077788</v>
      </c>
      <c r="O36" s="884">
        <f>($K$9+$K$10)*'ARP Timing'!F$16</f>
        <v>3.077788</v>
      </c>
      <c r="P36" s="884">
        <f>($K$9+$K$10)*'ARP Timing'!G$16</f>
        <v>3.077788</v>
      </c>
      <c r="Q36" s="884">
        <f>($K$9+$K$10)*'ARP Timing'!H$16</f>
        <v>3.077788</v>
      </c>
      <c r="R36" s="884">
        <f>($K$9+$K$10)*'ARP Timing'!I$16</f>
        <v>3.077788</v>
      </c>
      <c r="S36" s="884">
        <f>($K$9+$K$10)*'ARP Timing'!J$16</f>
        <v>3.077788</v>
      </c>
      <c r="T36" s="884">
        <f>($K$9+$K$10)*'ARP Timing'!K$16</f>
        <v>3.077788</v>
      </c>
      <c r="U36" s="884">
        <f>($K$9+$K$10)*'ARP Timing'!L$16</f>
        <v>3.077788</v>
      </c>
      <c r="V36" s="884">
        <f>($K$9+$K$10)*'ARP Timing'!M$16</f>
        <v>3.077788</v>
      </c>
    </row>
    <row r="37" spans="1:23" x14ac:dyDescent="0.25">
      <c r="B37" s="877" t="s">
        <v>248</v>
      </c>
      <c r="C37" s="878"/>
      <c r="H37" s="878"/>
      <c r="L37" s="884">
        <f>($L$9+$L$10)*'ARP Timing'!B$16</f>
        <v>4.3968400000000001</v>
      </c>
      <c r="M37" s="884">
        <f>($L$9+$L$10)*'ARP Timing'!C$16</f>
        <v>4.3968400000000001</v>
      </c>
      <c r="N37" s="884">
        <f>($L$9+$L$10)*'ARP Timing'!D$16</f>
        <v>3.077788</v>
      </c>
      <c r="O37" s="884">
        <f>($L$9+$L$10)*'ARP Timing'!E$16</f>
        <v>3.077788</v>
      </c>
      <c r="P37" s="884">
        <f>($L$9+$L$10)*'ARP Timing'!F$16</f>
        <v>3.077788</v>
      </c>
      <c r="Q37" s="884">
        <f>($L$9+$L$10)*'ARP Timing'!G$16</f>
        <v>3.077788</v>
      </c>
      <c r="R37" s="884">
        <f>($L$9+$L$10)*'ARP Timing'!H$16</f>
        <v>3.077788</v>
      </c>
      <c r="S37" s="884">
        <f>($L$9+$L$10)*'ARP Timing'!I$16</f>
        <v>3.077788</v>
      </c>
      <c r="T37" s="884">
        <f>($L$9+$L$10)*'ARP Timing'!J$16</f>
        <v>3.077788</v>
      </c>
      <c r="U37" s="884">
        <f>($L$9+$L$10)*'ARP Timing'!K$16</f>
        <v>3.077788</v>
      </c>
      <c r="V37" s="884">
        <f>($L$9+$L$10)*'ARP Timing'!L$16</f>
        <v>3.077788</v>
      </c>
    </row>
    <row r="38" spans="1:23" x14ac:dyDescent="0.25">
      <c r="B38" s="877" t="s">
        <v>379</v>
      </c>
      <c r="C38" s="878"/>
      <c r="H38" s="878"/>
      <c r="M38" s="884">
        <f>($M$9+$M$10)*'ARP Timing'!B$16</f>
        <v>4.3968400000000001</v>
      </c>
      <c r="N38" s="884">
        <f>($M$9+$M$10)*'ARP Timing'!C$16</f>
        <v>4.3968400000000001</v>
      </c>
      <c r="O38" s="884">
        <f>($M$9+$M$10)*'ARP Timing'!D$16</f>
        <v>3.077788</v>
      </c>
      <c r="P38" s="884">
        <f>($M$9+$M$10)*'ARP Timing'!E$16</f>
        <v>3.077788</v>
      </c>
      <c r="Q38" s="884">
        <f>($M$9+$M$10)*'ARP Timing'!F$16</f>
        <v>3.077788</v>
      </c>
      <c r="R38" s="884">
        <f>($M$9+$M$10)*'ARP Timing'!G$16</f>
        <v>3.077788</v>
      </c>
      <c r="S38" s="884">
        <f>($M$9+$M$10)*'ARP Timing'!H$16</f>
        <v>3.077788</v>
      </c>
      <c r="T38" s="884">
        <f>($M$9+$M$10)*'ARP Timing'!I$16</f>
        <v>3.077788</v>
      </c>
      <c r="U38" s="884">
        <f>($M$9+$M$10)*'ARP Timing'!J$16</f>
        <v>3.077788</v>
      </c>
      <c r="V38" s="884">
        <f>($M$9+$M$10)*'ARP Timing'!K$16</f>
        <v>3.077788</v>
      </c>
    </row>
    <row r="39" spans="1:23" x14ac:dyDescent="0.25">
      <c r="B39" s="877" t="s">
        <v>848</v>
      </c>
      <c r="C39" s="878"/>
      <c r="H39" s="878"/>
      <c r="N39" s="884">
        <f>($N$9+$N$10)*'ARP Timing'!B$16</f>
        <v>2.9087800000000006</v>
      </c>
      <c r="O39" s="884">
        <f>($N$9+$N$10)*'ARP Timing'!C$16</f>
        <v>2.9087800000000006</v>
      </c>
      <c r="P39" s="884">
        <f>($N$9+$N$10)*'ARP Timing'!D$16</f>
        <v>2.036146</v>
      </c>
      <c r="Q39" s="884">
        <f>($N$9+$N$10)*'ARP Timing'!E$16</f>
        <v>2.036146</v>
      </c>
      <c r="R39" s="884">
        <f>($N$9+$N$10)*'ARP Timing'!F$16</f>
        <v>2.036146</v>
      </c>
      <c r="S39" s="884">
        <f>($N$9+$N$10)*'ARP Timing'!G$16</f>
        <v>2.036146</v>
      </c>
      <c r="T39" s="884">
        <f>($N$9+$N$10)*'ARP Timing'!H$16</f>
        <v>2.036146</v>
      </c>
      <c r="U39" s="884">
        <f>($N$9+$N$10)*'ARP Timing'!I$16</f>
        <v>2.036146</v>
      </c>
      <c r="V39" s="884">
        <f>($N$9+$N$10)*'ARP Timing'!J$16</f>
        <v>2.036146</v>
      </c>
    </row>
    <row r="40" spans="1:23" x14ac:dyDescent="0.25">
      <c r="A40" s="884">
        <v>2024</v>
      </c>
      <c r="B40" s="877" t="s">
        <v>247</v>
      </c>
      <c r="C40" s="878"/>
      <c r="H40" s="878"/>
      <c r="O40" s="884">
        <f>($O$9+$O$10)*'ARP Timing'!B$16</f>
        <v>2.9087800000000006</v>
      </c>
      <c r="P40" s="884">
        <f>($O$9+$O$10)*'ARP Timing'!C$16</f>
        <v>2.9087800000000006</v>
      </c>
      <c r="Q40" s="884">
        <f>($O$9+$O$10)*'ARP Timing'!D$16</f>
        <v>2.036146</v>
      </c>
      <c r="R40" s="884">
        <f>($O$9+$O$10)*'ARP Timing'!E$16</f>
        <v>2.036146</v>
      </c>
      <c r="S40" s="884">
        <f>($O$9+$O$10)*'ARP Timing'!F$16</f>
        <v>2.036146</v>
      </c>
      <c r="T40" s="884">
        <f>($O$9+$O$10)*'ARP Timing'!G$16</f>
        <v>2.036146</v>
      </c>
      <c r="U40" s="884">
        <f>($O$9+$O$10)*'ARP Timing'!H$16</f>
        <v>2.036146</v>
      </c>
      <c r="V40" s="884">
        <f>($O$9+$O$10)*'ARP Timing'!I$16</f>
        <v>2.036146</v>
      </c>
    </row>
    <row r="41" spans="1:23" x14ac:dyDescent="0.25">
      <c r="B41" s="877" t="s">
        <v>248</v>
      </c>
      <c r="C41" s="878"/>
      <c r="H41" s="878"/>
      <c r="P41" s="884">
        <f>($P$9+$P$10)*'ARP Timing'!B$16</f>
        <v>2.9087800000000006</v>
      </c>
      <c r="Q41" s="884">
        <f>($P$9+$P$10)*'ARP Timing'!C$16</f>
        <v>2.9087800000000006</v>
      </c>
      <c r="R41" s="884">
        <f>($P$9+$P$10)*'ARP Timing'!D$16</f>
        <v>2.036146</v>
      </c>
      <c r="S41" s="884">
        <f>($P$9+$P$10)*'ARP Timing'!E$16</f>
        <v>2.036146</v>
      </c>
      <c r="T41" s="884">
        <f>($P$9+$P$10)*'ARP Timing'!F$16</f>
        <v>2.036146</v>
      </c>
      <c r="U41" s="884">
        <f>($P$9+$P$10)*'ARP Timing'!G$16</f>
        <v>2.036146</v>
      </c>
      <c r="V41" s="884">
        <f>($P$9+$P$10)*'ARP Timing'!H$16</f>
        <v>2.036146</v>
      </c>
    </row>
    <row r="42" spans="1:23" x14ac:dyDescent="0.25">
      <c r="B42" s="877" t="s">
        <v>379</v>
      </c>
      <c r="C42" s="878"/>
      <c r="H42" s="878"/>
      <c r="Q42" s="884">
        <f>($Q$9+$Q$10)*'ARP Timing'!B$16</f>
        <v>2.9087800000000006</v>
      </c>
      <c r="R42" s="884">
        <f>($Q$9+$Q$10)*'ARP Timing'!C$16</f>
        <v>2.9087800000000006</v>
      </c>
      <c r="S42" s="884">
        <f>($Q$9+$Q$10)*'ARP Timing'!D$16</f>
        <v>2.036146</v>
      </c>
      <c r="T42" s="884">
        <f>($Q$9+$Q$10)*'ARP Timing'!E$16</f>
        <v>2.036146</v>
      </c>
      <c r="U42" s="884">
        <f>($Q$9+$Q$10)*'ARP Timing'!F$16</f>
        <v>2.036146</v>
      </c>
      <c r="V42" s="884">
        <f>($Q$9+$Q$10)*'ARP Timing'!G$16</f>
        <v>2.036146</v>
      </c>
    </row>
    <row r="43" spans="1:23" x14ac:dyDescent="0.25">
      <c r="B43" s="877" t="s">
        <v>848</v>
      </c>
      <c r="C43" s="878"/>
      <c r="H43" s="878"/>
      <c r="R43" s="884">
        <f>($R$9+$R$10)*'ARP Timing'!B$16</f>
        <v>1.9374600000000002</v>
      </c>
      <c r="S43" s="884">
        <f>($R$9+$R$10)*'ARP Timing'!C$16</f>
        <v>1.9374600000000002</v>
      </c>
      <c r="T43" s="884">
        <f>($R$9+$R$10)*'ARP Timing'!D$16</f>
        <v>1.356222</v>
      </c>
      <c r="U43" s="884">
        <f>($R$9+$R$10)*'ARP Timing'!E$16</f>
        <v>1.356222</v>
      </c>
      <c r="V43" s="884">
        <f>($R$9+$R$10)*'ARP Timing'!F$16</f>
        <v>1.356222</v>
      </c>
    </row>
    <row r="44" spans="1:23" x14ac:dyDescent="0.25">
      <c r="S44" s="884">
        <f>($S$9+$S$10)*'ARP Timing'!B$16</f>
        <v>1.9374600000000002</v>
      </c>
      <c r="T44" s="884">
        <f>($S$9+$S$10)*'ARP Timing'!C$16</f>
        <v>1.9374600000000002</v>
      </c>
      <c r="U44" s="884">
        <f>($S$9+$S$10)*'ARP Timing'!D$16</f>
        <v>1.356222</v>
      </c>
      <c r="V44" s="884">
        <f>($S$9+$S$10)*'ARP Timing'!E$16</f>
        <v>1.356222</v>
      </c>
    </row>
    <row r="46" spans="1:23" x14ac:dyDescent="0.25">
      <c r="B46" s="884" t="s">
        <v>849</v>
      </c>
      <c r="D46" s="124" t="s">
        <v>296</v>
      </c>
      <c r="E46" s="124" t="s">
        <v>180</v>
      </c>
      <c r="F46" s="124" t="s">
        <v>181</v>
      </c>
      <c r="G46" s="124" t="s">
        <v>182</v>
      </c>
      <c r="H46" s="124" t="s">
        <v>183</v>
      </c>
      <c r="I46" s="124" t="s">
        <v>184</v>
      </c>
      <c r="J46" s="124" t="s">
        <v>185</v>
      </c>
      <c r="K46" s="124" t="s">
        <v>186</v>
      </c>
      <c r="L46" s="124" t="s">
        <v>187</v>
      </c>
      <c r="M46" s="124" t="s">
        <v>188</v>
      </c>
      <c r="N46" s="124" t="s">
        <v>189</v>
      </c>
      <c r="O46" s="124" t="s">
        <v>190</v>
      </c>
      <c r="P46" s="124" t="s">
        <v>191</v>
      </c>
      <c r="Q46" s="124" t="s">
        <v>175</v>
      </c>
      <c r="R46" s="124" t="s">
        <v>176</v>
      </c>
      <c r="S46" s="124" t="s">
        <v>177</v>
      </c>
      <c r="T46" s="124" t="s">
        <v>837</v>
      </c>
      <c r="U46" s="124" t="s">
        <v>838</v>
      </c>
      <c r="V46" s="124" t="s">
        <v>839</v>
      </c>
    </row>
    <row r="47" spans="1:23" x14ac:dyDescent="0.25">
      <c r="B47" s="877"/>
      <c r="C47" s="878" t="s">
        <v>360</v>
      </c>
      <c r="D47" s="880">
        <f t="shared" ref="D47:U47" si="42">SUM(D48:D66)</f>
        <v>0</v>
      </c>
      <c r="E47" s="880">
        <f t="shared" si="42"/>
        <v>0</v>
      </c>
      <c r="F47" s="880">
        <f t="shared" si="42"/>
        <v>34.620851999999999</v>
      </c>
      <c r="G47" s="880">
        <f t="shared" si="42"/>
        <v>50.996274799999995</v>
      </c>
      <c r="H47" s="880">
        <f t="shared" si="42"/>
        <v>69.350031999999999</v>
      </c>
      <c r="I47" s="880">
        <f t="shared" si="42"/>
        <v>79.295867999999999</v>
      </c>
      <c r="J47" s="880">
        <f t="shared" si="42"/>
        <v>80.538927999999999</v>
      </c>
      <c r="K47" s="880">
        <f t="shared" si="42"/>
        <v>80.122543199999996</v>
      </c>
      <c r="L47" s="880">
        <f t="shared" si="42"/>
        <v>88.916719999999998</v>
      </c>
      <c r="M47" s="880">
        <f t="shared" si="42"/>
        <v>92.213943999999998</v>
      </c>
      <c r="N47" s="880">
        <f t="shared" si="42"/>
        <v>92.213943999999998</v>
      </c>
      <c r="O47" s="880">
        <f t="shared" si="42"/>
        <v>94.213943999999998</v>
      </c>
      <c r="P47" s="880">
        <f t="shared" si="42"/>
        <v>98.916719999999998</v>
      </c>
      <c r="Q47" s="880">
        <f t="shared" si="42"/>
        <v>98.916719999999998</v>
      </c>
      <c r="R47" s="880">
        <f t="shared" si="42"/>
        <v>99.081581199999988</v>
      </c>
      <c r="S47" s="880">
        <f t="shared" si="42"/>
        <v>93.146578000000005</v>
      </c>
      <c r="T47" s="880">
        <f t="shared" si="42"/>
        <v>86.552129999999991</v>
      </c>
      <c r="U47" s="880">
        <f t="shared" si="42"/>
        <v>86.552129999999991</v>
      </c>
      <c r="V47" s="880">
        <f>SUM(V48:V66)</f>
        <v>82.265738799999994</v>
      </c>
      <c r="W47" s="884">
        <f>SUM(G47:V47)/4</f>
        <v>343.32344900000004</v>
      </c>
    </row>
    <row r="48" spans="1:23" x14ac:dyDescent="0.25">
      <c r="A48" s="884">
        <v>2021</v>
      </c>
      <c r="B48" s="877" t="s">
        <v>847</v>
      </c>
      <c r="C48" s="878"/>
      <c r="D48" s="884">
        <f>($D$8)*'ARP Timing'!B17</f>
        <v>0</v>
      </c>
      <c r="E48" s="884">
        <f>($D$8)*'ARP Timing'!C17</f>
        <v>0</v>
      </c>
      <c r="F48" s="884">
        <f>($D$8)*'ARP Timing'!D17</f>
        <v>34.620851999999999</v>
      </c>
      <c r="G48" s="884">
        <f>($D$8)*'ARP Timing'!E17</f>
        <v>45.996274799999995</v>
      </c>
      <c r="H48" s="884">
        <f>($D$8)*'ARP Timing'!F17</f>
        <v>59.350031999999992</v>
      </c>
      <c r="I48" s="884">
        <f>($D$8)*'ARP Timing'!G17</f>
        <v>64.295867999999999</v>
      </c>
      <c r="J48" s="884">
        <f>($D$8)*'ARP Timing'!H17</f>
        <v>49.458359999999999</v>
      </c>
      <c r="K48" s="884">
        <f>($D$8)*'ARP Timing'!I17</f>
        <v>49.458359999999999</v>
      </c>
      <c r="L48" s="884">
        <f>($D$8)*'ARP Timing'!J17</f>
        <v>59.350031999999992</v>
      </c>
      <c r="M48" s="884">
        <f>($D$8)*'ARP Timing'!K17</f>
        <v>59.350031999999992</v>
      </c>
      <c r="N48" s="884">
        <f>($D$8)*'ARP Timing'!L17</f>
        <v>69.241703999999999</v>
      </c>
      <c r="O48" s="884">
        <f>($D$8)*'ARP Timing'!M17</f>
        <v>69.241703999999999</v>
      </c>
      <c r="P48" s="884">
        <f>($D$8)*'ARP Timing'!N17</f>
        <v>59.350031999999992</v>
      </c>
      <c r="Q48" s="884">
        <f>($D$8)*'ARP Timing'!O17</f>
        <v>59.350031999999992</v>
      </c>
      <c r="R48" s="884">
        <f>($D$8)*'ARP Timing'!P17</f>
        <v>52.920445199999989</v>
      </c>
      <c r="S48" s="884">
        <f>($D$8)*'ARP Timing'!Q17</f>
        <v>46.985441999999992</v>
      </c>
      <c r="T48" s="884">
        <f>($D$8)*'ARP Timing'!R17</f>
        <v>46.985441999999992</v>
      </c>
      <c r="U48" s="884">
        <f>($D$8)*'ARP Timing'!S17</f>
        <v>46.985441999999992</v>
      </c>
      <c r="V48" s="884">
        <f>($D$8)*'ARP Timing'!T17</f>
        <v>46.985441999999992</v>
      </c>
    </row>
    <row r="49" spans="1:22" x14ac:dyDescent="0.25">
      <c r="B49" s="877" t="s">
        <v>379</v>
      </c>
      <c r="C49" s="878"/>
      <c r="E49" s="884">
        <f>($E$8)*'ARP Timing'!B$17</f>
        <v>0</v>
      </c>
      <c r="F49" s="884">
        <f>($E$8)*'ARP Timing'!C$16</f>
        <v>0</v>
      </c>
      <c r="G49" s="884">
        <f>($E$8)*'ARP Timing'!D$16</f>
        <v>0</v>
      </c>
      <c r="H49" s="884">
        <f>($E$8)*'ARP Timing'!E$16</f>
        <v>0</v>
      </c>
      <c r="I49" s="884">
        <f>($E$8)*'ARP Timing'!F$16</f>
        <v>0</v>
      </c>
      <c r="J49" s="884">
        <f>($E$8)*'ARP Timing'!G$16</f>
        <v>0</v>
      </c>
      <c r="K49" s="884">
        <f>($E$8)*'ARP Timing'!H$16</f>
        <v>0</v>
      </c>
      <c r="L49" s="884">
        <f>($E$8)*'ARP Timing'!I$16</f>
        <v>0</v>
      </c>
      <c r="M49" s="884">
        <f>($E$8)*'ARP Timing'!J$16</f>
        <v>0</v>
      </c>
      <c r="N49" s="884">
        <f>($E$8)*'ARP Timing'!K$16</f>
        <v>0</v>
      </c>
      <c r="O49" s="884">
        <f>($E$8)*'ARP Timing'!L$16</f>
        <v>0</v>
      </c>
      <c r="P49" s="884">
        <f>($E$8)*'ARP Timing'!M$16</f>
        <v>0</v>
      </c>
      <c r="Q49" s="884">
        <f>($E$8)*'ARP Timing'!N$16</f>
        <v>0</v>
      </c>
      <c r="R49" s="884">
        <f>($E$8)*'ARP Timing'!O$16</f>
        <v>0</v>
      </c>
      <c r="S49" s="884">
        <f>($E$8)*'ARP Timing'!P$16</f>
        <v>0</v>
      </c>
      <c r="T49" s="884">
        <f>($E$8)*'ARP Timing'!Q$16</f>
        <v>0</v>
      </c>
      <c r="U49" s="884">
        <f>($E$8)*'ARP Timing'!R$16</f>
        <v>0</v>
      </c>
      <c r="V49" s="884">
        <f>($E$8)*'ARP Timing'!S$16</f>
        <v>0</v>
      </c>
    </row>
    <row r="50" spans="1:22" x14ac:dyDescent="0.25">
      <c r="B50" s="877" t="s">
        <v>848</v>
      </c>
      <c r="C50" s="878"/>
      <c r="F50" s="884">
        <f>($F$8)*'ARP Timing'!C$17</f>
        <v>0</v>
      </c>
      <c r="G50" s="884">
        <f>($F$8)*'ARP Timing'!D$17</f>
        <v>0</v>
      </c>
      <c r="H50" s="884">
        <f>($F$8)*'ARP Timing'!E$17</f>
        <v>0</v>
      </c>
      <c r="I50" s="884">
        <f>($F$8)*'ARP Timing'!F$17</f>
        <v>0</v>
      </c>
      <c r="J50" s="884">
        <f>($F$8)*'ARP Timing'!G$17</f>
        <v>0</v>
      </c>
      <c r="K50" s="884">
        <f>($F$8)*'ARP Timing'!H$17</f>
        <v>0</v>
      </c>
      <c r="L50" s="884">
        <f>($F$8)*'ARP Timing'!I$17</f>
        <v>0</v>
      </c>
      <c r="M50" s="884">
        <f>($F$8)*'ARP Timing'!J$17</f>
        <v>0</v>
      </c>
      <c r="N50" s="884">
        <f>($F$8)*'ARP Timing'!K$17</f>
        <v>0</v>
      </c>
      <c r="O50" s="884">
        <f>($F$8)*'ARP Timing'!L$17</f>
        <v>0</v>
      </c>
      <c r="P50" s="884">
        <f>($F$8)*'ARP Timing'!M$17</f>
        <v>0</v>
      </c>
      <c r="Q50" s="884">
        <f>($F$8)*'ARP Timing'!N$17</f>
        <v>0</v>
      </c>
      <c r="R50" s="884">
        <f>($F$8)*'ARP Timing'!O$17</f>
        <v>0</v>
      </c>
      <c r="S50" s="884">
        <f>($F$8)*'ARP Timing'!P$17</f>
        <v>0</v>
      </c>
      <c r="T50" s="884">
        <f>($F$8)*'ARP Timing'!Q$17</f>
        <v>0</v>
      </c>
      <c r="U50" s="884">
        <f>($F$8)*'ARP Timing'!R$17</f>
        <v>0</v>
      </c>
      <c r="V50" s="884">
        <f>($F$8)*'ARP Timing'!S$17</f>
        <v>0</v>
      </c>
    </row>
    <row r="51" spans="1:22" x14ac:dyDescent="0.25">
      <c r="A51" s="884">
        <v>2022</v>
      </c>
      <c r="B51" s="877" t="s">
        <v>247</v>
      </c>
      <c r="C51" s="878"/>
      <c r="G51" s="884">
        <f>($G$8)*'ARP Timing'!D$17</f>
        <v>0</v>
      </c>
      <c r="H51" s="884">
        <f>($G$8)*'ARP Timing'!E$17</f>
        <v>0</v>
      </c>
      <c r="I51" s="884">
        <f>($G$8)*'ARP Timing'!F$17</f>
        <v>0</v>
      </c>
      <c r="J51" s="884">
        <f>($G$8)*'ARP Timing'!G$17</f>
        <v>0</v>
      </c>
      <c r="K51" s="884">
        <f>($G$8)*'ARP Timing'!H$17</f>
        <v>0</v>
      </c>
      <c r="L51" s="884">
        <f>($G$8)*'ARP Timing'!I$17</f>
        <v>0</v>
      </c>
      <c r="M51" s="884">
        <f>($G$8)*'ARP Timing'!J$17</f>
        <v>0</v>
      </c>
      <c r="N51" s="884">
        <f>($G$8)*'ARP Timing'!K$17</f>
        <v>0</v>
      </c>
      <c r="O51" s="884">
        <f>($G$8)*'ARP Timing'!L$17</f>
        <v>0</v>
      </c>
      <c r="P51" s="884">
        <f>($G$8)*'ARP Timing'!M$17</f>
        <v>0</v>
      </c>
      <c r="Q51" s="884">
        <f>($G$8)*'ARP Timing'!N$17</f>
        <v>0</v>
      </c>
      <c r="R51" s="884">
        <f>($G$8)*'ARP Timing'!O$17</f>
        <v>0</v>
      </c>
      <c r="S51" s="884">
        <f>($G$8)*'ARP Timing'!P$17</f>
        <v>0</v>
      </c>
      <c r="T51" s="884">
        <f>($G$8)*'ARP Timing'!Q$17</f>
        <v>0</v>
      </c>
      <c r="U51" s="884">
        <f>($G$8)*'ARP Timing'!R$17</f>
        <v>0</v>
      </c>
      <c r="V51" s="884">
        <f>($G$8)*'ARP Timing'!S$17</f>
        <v>0</v>
      </c>
    </row>
    <row r="52" spans="1:22" x14ac:dyDescent="0.25">
      <c r="B52" s="877" t="s">
        <v>248</v>
      </c>
      <c r="C52" s="878"/>
      <c r="H52" s="884">
        <f>($H$8)*'ARP Timing'!B$17</f>
        <v>0</v>
      </c>
      <c r="I52" s="884">
        <f>($H$8)*'ARP Timing'!C$17</f>
        <v>0</v>
      </c>
      <c r="J52" s="884">
        <f>($H$8)*'ARP Timing'!D$17</f>
        <v>23.080568000000003</v>
      </c>
      <c r="K52" s="884">
        <f>($H$8)*'ARP Timing'!E$17</f>
        <v>30.6641832</v>
      </c>
      <c r="L52" s="884">
        <f>($H$8)*'ARP Timing'!F$17</f>
        <v>39.566687999999999</v>
      </c>
      <c r="M52" s="884">
        <f>($H$8)*'ARP Timing'!G$17</f>
        <v>42.863911999999999</v>
      </c>
      <c r="N52" s="884">
        <f>($H$8)*'ARP Timing'!H$17</f>
        <v>32.972239999999999</v>
      </c>
      <c r="O52" s="884">
        <f>($H$8)*'ARP Timing'!I$17</f>
        <v>32.972239999999999</v>
      </c>
      <c r="P52" s="884">
        <f>($H$8)*'ARP Timing'!J$17</f>
        <v>39.566687999999999</v>
      </c>
      <c r="Q52" s="884">
        <f>($H$8)*'ARP Timing'!K$17</f>
        <v>39.566687999999999</v>
      </c>
      <c r="R52" s="884">
        <f>($H$8)*'ARP Timing'!L$17</f>
        <v>46.161136000000006</v>
      </c>
      <c r="S52" s="884">
        <f>($H$8)*'ARP Timing'!M$17</f>
        <v>46.161136000000006</v>
      </c>
      <c r="T52" s="884">
        <f>($H$8)*'ARP Timing'!N$17</f>
        <v>39.566687999999999</v>
      </c>
      <c r="U52" s="884">
        <f>($H$8)*'ARP Timing'!O$17</f>
        <v>39.566687999999999</v>
      </c>
      <c r="V52" s="884">
        <f>($H$8)*'ARP Timing'!P$17</f>
        <v>35.280296800000002</v>
      </c>
    </row>
    <row r="53" spans="1:22" x14ac:dyDescent="0.25">
      <c r="B53" s="877" t="s">
        <v>379</v>
      </c>
      <c r="C53" s="878"/>
      <c r="H53" s="878"/>
      <c r="I53" s="884">
        <f>($I$8)*'ARP Timing'!B$17</f>
        <v>0</v>
      </c>
      <c r="J53" s="884">
        <f>($I$8)*'ARP Timing'!C$17</f>
        <v>0</v>
      </c>
      <c r="K53" s="884">
        <f>($I$8)*'ARP Timing'!D$17</f>
        <v>0</v>
      </c>
      <c r="L53" s="884">
        <f>($I$8)*'ARP Timing'!E$17</f>
        <v>0</v>
      </c>
      <c r="M53" s="884">
        <f>($I$8)*'ARP Timing'!F$17</f>
        <v>0</v>
      </c>
      <c r="N53" s="884">
        <f>($I$8)*'ARP Timing'!G$17</f>
        <v>0</v>
      </c>
      <c r="O53" s="884">
        <f>($I$8)*'ARP Timing'!H$17</f>
        <v>0</v>
      </c>
      <c r="P53" s="884">
        <f>($I$8)*'ARP Timing'!I$17</f>
        <v>0</v>
      </c>
      <c r="Q53" s="884">
        <f>($I$8)*'ARP Timing'!J$17</f>
        <v>0</v>
      </c>
      <c r="R53" s="884">
        <f>($I$8)*'ARP Timing'!K$17</f>
        <v>0</v>
      </c>
      <c r="S53" s="884">
        <f>($I$8)*'ARP Timing'!L$17</f>
        <v>0</v>
      </c>
      <c r="T53" s="884">
        <f>($I$8)*'ARP Timing'!M$17</f>
        <v>0</v>
      </c>
      <c r="U53" s="884">
        <f>($I$8)*'ARP Timing'!N$17</f>
        <v>0</v>
      </c>
      <c r="V53" s="884">
        <f>($I$8)*'ARP Timing'!O$17</f>
        <v>0</v>
      </c>
    </row>
    <row r="54" spans="1:22" x14ac:dyDescent="0.25">
      <c r="B54" s="877" t="s">
        <v>848</v>
      </c>
      <c r="C54" s="878"/>
      <c r="H54" s="878"/>
    </row>
    <row r="55" spans="1:22" x14ac:dyDescent="0.25">
      <c r="A55" s="884">
        <v>2023</v>
      </c>
      <c r="B55" s="877" t="s">
        <v>247</v>
      </c>
      <c r="C55" s="878"/>
      <c r="H55" s="878"/>
    </row>
    <row r="56" spans="1:22" x14ac:dyDescent="0.25">
      <c r="B56" s="877" t="s">
        <v>248</v>
      </c>
      <c r="C56" s="878"/>
      <c r="H56" s="878"/>
    </row>
    <row r="57" spans="1:22" x14ac:dyDescent="0.25">
      <c r="B57" s="877" t="s">
        <v>379</v>
      </c>
      <c r="C57" s="878"/>
      <c r="H57" s="878"/>
    </row>
    <row r="58" spans="1:22" x14ac:dyDescent="0.25">
      <c r="B58" s="877" t="s">
        <v>848</v>
      </c>
      <c r="C58" s="878"/>
      <c r="H58" s="878"/>
    </row>
    <row r="59" spans="1:22" x14ac:dyDescent="0.25">
      <c r="A59" s="884">
        <v>2024</v>
      </c>
      <c r="B59" s="877" t="s">
        <v>247</v>
      </c>
      <c r="C59" s="878"/>
      <c r="H59" s="878"/>
    </row>
    <row r="60" spans="1:22" x14ac:dyDescent="0.25">
      <c r="B60" s="877" t="s">
        <v>248</v>
      </c>
      <c r="C60" s="878"/>
      <c r="H60" s="878"/>
    </row>
    <row r="61" spans="1:22" x14ac:dyDescent="0.25">
      <c r="B61" s="877" t="s">
        <v>379</v>
      </c>
      <c r="C61" s="878"/>
      <c r="H61" s="878"/>
    </row>
    <row r="62" spans="1:22" x14ac:dyDescent="0.25">
      <c r="B62" s="877" t="s">
        <v>848</v>
      </c>
      <c r="C62" s="878"/>
      <c r="H62" s="878"/>
    </row>
    <row r="63" spans="1:22" x14ac:dyDescent="0.25">
      <c r="A63" t="s">
        <v>985</v>
      </c>
      <c r="B63" s="877"/>
      <c r="C63" s="878"/>
      <c r="G63">
        <v>5</v>
      </c>
      <c r="H63" s="878">
        <v>10</v>
      </c>
      <c r="I63">
        <v>15</v>
      </c>
      <c r="J63">
        <v>8</v>
      </c>
      <c r="K63">
        <v>0</v>
      </c>
      <c r="L63">
        <v>-10</v>
      </c>
      <c r="M63">
        <v>-10</v>
      </c>
      <c r="N63">
        <v>-10</v>
      </c>
      <c r="O63">
        <v>-8</v>
      </c>
    </row>
    <row r="64" spans="1:22" x14ac:dyDescent="0.25">
      <c r="B64" s="877"/>
      <c r="C64" s="878"/>
      <c r="H64" s="878"/>
    </row>
    <row r="65" spans="2:24" x14ac:dyDescent="0.25">
      <c r="B65" s="877"/>
      <c r="C65" s="878"/>
      <c r="H65" s="878"/>
    </row>
    <row r="66" spans="2:24" x14ac:dyDescent="0.25">
      <c r="B66" s="877"/>
      <c r="C66" s="878"/>
      <c r="H66" s="878"/>
    </row>
    <row r="67" spans="2:24" x14ac:dyDescent="0.25">
      <c r="B67" s="877"/>
      <c r="C67" s="878"/>
      <c r="H67" s="878"/>
    </row>
    <row r="68" spans="2:24" x14ac:dyDescent="0.25">
      <c r="B68" s="877"/>
      <c r="C68" s="878"/>
      <c r="H68" s="878"/>
    </row>
    <row r="69" spans="2:24" x14ac:dyDescent="0.25">
      <c r="B69" s="877"/>
      <c r="C69" s="878"/>
      <c r="H69" s="878"/>
    </row>
    <row r="70" spans="2:24" x14ac:dyDescent="0.25">
      <c r="B70" s="877"/>
      <c r="C70" s="878"/>
      <c r="H70" s="878"/>
    </row>
    <row r="71" spans="2:24" x14ac:dyDescent="0.25">
      <c r="B71" s="877"/>
      <c r="C71" s="878"/>
      <c r="H71" s="878"/>
    </row>
    <row r="72" spans="2:24" x14ac:dyDescent="0.25">
      <c r="B72" s="877"/>
      <c r="C72" s="878"/>
      <c r="H72" s="878"/>
    </row>
    <row r="73" spans="2:24" x14ac:dyDescent="0.25">
      <c r="B73" s="877" t="s">
        <v>850</v>
      </c>
      <c r="C73" s="875">
        <v>2021</v>
      </c>
      <c r="D73" s="875">
        <v>2022</v>
      </c>
      <c r="E73" s="875">
        <v>2023</v>
      </c>
      <c r="F73" s="875">
        <v>2024</v>
      </c>
      <c r="G73" s="875">
        <v>2025</v>
      </c>
      <c r="H73" s="878"/>
    </row>
    <row r="74" spans="2:24" x14ac:dyDescent="0.25">
      <c r="B74" s="877" t="s">
        <v>747</v>
      </c>
      <c r="C74" s="881">
        <f t="shared" ref="C74:C85" si="43">SUM(C4:E4)/4</f>
        <v>0.77600000000001046</v>
      </c>
      <c r="D74" s="881">
        <f t="shared" ref="D74:D85" si="44">SUM(F4:I4)/4</f>
        <v>19.719000000000005</v>
      </c>
      <c r="E74" s="881">
        <f t="shared" ref="E74:E85" si="45">SUM(J4:M4)/4</f>
        <v>1.4159999999999999</v>
      </c>
      <c r="F74" s="881">
        <f t="shared" ref="F74:F85" si="46">SUM(N4:Q4)/4</f>
        <v>1.4790000000000001</v>
      </c>
      <c r="G74" s="881">
        <f t="shared" ref="G74:G85" si="47">SUM(R4:U4)/4</f>
        <v>1.63</v>
      </c>
    </row>
    <row r="75" spans="2:24" x14ac:dyDescent="0.25">
      <c r="B75" s="877" t="s">
        <v>748</v>
      </c>
      <c r="C75" s="881">
        <f t="shared" si="43"/>
        <v>19.722000000000016</v>
      </c>
      <c r="D75" s="881">
        <f t="shared" si="44"/>
        <v>52.756999999999998</v>
      </c>
      <c r="E75" s="881">
        <f t="shared" si="45"/>
        <v>12</v>
      </c>
      <c r="F75" s="881">
        <f t="shared" si="46"/>
        <v>4.2219999999999995</v>
      </c>
      <c r="G75" s="881">
        <f t="shared" si="47"/>
        <v>2.3719999999999999</v>
      </c>
      <c r="H75" s="878"/>
    </row>
    <row r="76" spans="2:24" x14ac:dyDescent="0.25">
      <c r="B76" s="877" t="s">
        <v>52</v>
      </c>
      <c r="C76" s="881">
        <f t="shared" si="43"/>
        <v>81.643000000000001</v>
      </c>
      <c r="D76" s="881">
        <f t="shared" si="44"/>
        <v>110.24799999999999</v>
      </c>
      <c r="E76" s="881">
        <f t="shared" si="45"/>
        <v>12.726000000000001</v>
      </c>
      <c r="F76" s="881">
        <f t="shared" si="46"/>
        <v>1.365</v>
      </c>
      <c r="G76" s="881">
        <f t="shared" si="47"/>
        <v>-0.90100000000000025</v>
      </c>
      <c r="H76" s="878"/>
      <c r="O76" s="877"/>
      <c r="P76" s="877"/>
      <c r="Q76" s="877"/>
      <c r="R76" s="877"/>
      <c r="S76" s="882"/>
      <c r="T76" s="882"/>
      <c r="U76" s="882"/>
      <c r="V76" s="14"/>
      <c r="W76" s="877"/>
      <c r="X76" s="877"/>
    </row>
    <row r="77" spans="2:24" x14ac:dyDescent="0.25">
      <c r="B77" s="877" t="s">
        <v>131</v>
      </c>
      <c r="C77" s="881">
        <f t="shared" si="43"/>
        <v>7.798</v>
      </c>
      <c r="D77" s="881">
        <f t="shared" si="44"/>
        <v>7.9489999999999998</v>
      </c>
      <c r="E77" s="881">
        <f t="shared" si="45"/>
        <v>4.7519999999999998</v>
      </c>
      <c r="F77" s="881">
        <f t="shared" si="46"/>
        <v>4.637999999999999</v>
      </c>
      <c r="G77" s="881">
        <f t="shared" si="47"/>
        <v>1.8800000000000001</v>
      </c>
      <c r="H77" s="878"/>
    </row>
    <row r="78" spans="2:24" x14ac:dyDescent="0.25">
      <c r="B78" s="879" t="s">
        <v>396</v>
      </c>
      <c r="C78" s="881">
        <f t="shared" si="43"/>
        <v>247.29179999999997</v>
      </c>
      <c r="D78" s="881">
        <f t="shared" si="44"/>
        <v>164.8612</v>
      </c>
      <c r="E78" s="881">
        <f t="shared" si="45"/>
        <v>0</v>
      </c>
      <c r="F78" s="881">
        <f t="shared" si="46"/>
        <v>0</v>
      </c>
      <c r="G78" s="881">
        <f t="shared" si="47"/>
        <v>0</v>
      </c>
      <c r="H78" s="878"/>
      <c r="R78" s="848"/>
      <c r="S78" s="848"/>
    </row>
    <row r="79" spans="2:24" x14ac:dyDescent="0.25">
      <c r="B79" s="879" t="s">
        <v>150</v>
      </c>
      <c r="C79" s="881">
        <f t="shared" si="43"/>
        <v>12.347</v>
      </c>
      <c r="D79" s="881">
        <f t="shared" si="44"/>
        <v>46.79</v>
      </c>
      <c r="E79" s="881">
        <f t="shared" si="45"/>
        <v>38.595999999999997</v>
      </c>
      <c r="F79" s="881">
        <f t="shared" si="46"/>
        <v>31.911000000000001</v>
      </c>
      <c r="G79" s="881">
        <f t="shared" si="47"/>
        <v>23.099</v>
      </c>
      <c r="H79" s="878"/>
      <c r="R79" s="848"/>
      <c r="S79" s="848"/>
    </row>
    <row r="80" spans="2:24" x14ac:dyDescent="0.25">
      <c r="B80" s="879" t="s">
        <v>412</v>
      </c>
      <c r="C80" s="881">
        <f t="shared" si="43"/>
        <v>29.628</v>
      </c>
      <c r="D80" s="881">
        <f t="shared" si="44"/>
        <v>35.671000000000006</v>
      </c>
      <c r="E80" s="881">
        <f t="shared" si="45"/>
        <v>24.216000000000001</v>
      </c>
      <c r="F80" s="881">
        <f t="shared" si="46"/>
        <v>9.6430000000000007</v>
      </c>
      <c r="G80" s="881">
        <f t="shared" si="47"/>
        <v>4.5789999999999997</v>
      </c>
      <c r="H80" s="878"/>
      <c r="R80" s="848"/>
      <c r="S80" s="848"/>
    </row>
    <row r="81" spans="2:19" x14ac:dyDescent="0.25">
      <c r="B81" s="14" t="s">
        <v>159</v>
      </c>
      <c r="C81" s="881">
        <f t="shared" si="43"/>
        <v>25.75</v>
      </c>
      <c r="D81" s="881">
        <f t="shared" si="44"/>
        <v>0</v>
      </c>
      <c r="E81" s="881">
        <f t="shared" si="45"/>
        <v>0</v>
      </c>
      <c r="F81" s="881">
        <f t="shared" si="46"/>
        <v>0</v>
      </c>
      <c r="G81" s="881">
        <f t="shared" si="47"/>
        <v>0</v>
      </c>
      <c r="H81" s="878"/>
      <c r="R81" s="848"/>
      <c r="S81" s="848"/>
    </row>
    <row r="82" spans="2:19" x14ac:dyDescent="0.25">
      <c r="B82" s="877" t="s">
        <v>109</v>
      </c>
      <c r="C82" s="881">
        <f t="shared" si="43"/>
        <v>31.939</v>
      </c>
      <c r="D82" s="881">
        <f t="shared" si="44"/>
        <v>56.413000000000004</v>
      </c>
      <c r="E82" s="881">
        <f t="shared" si="45"/>
        <v>15.652999999999999</v>
      </c>
      <c r="F82" s="881">
        <f t="shared" si="46"/>
        <v>3.9320000000000004</v>
      </c>
      <c r="G82" s="881">
        <f t="shared" si="47"/>
        <v>-0.74299999999999988</v>
      </c>
      <c r="R82" s="848"/>
      <c r="S82" s="848"/>
    </row>
    <row r="83" spans="2:19" x14ac:dyDescent="0.25">
      <c r="B83" s="884" t="s">
        <v>841</v>
      </c>
      <c r="C83" s="881">
        <f t="shared" si="43"/>
        <v>1.02</v>
      </c>
      <c r="D83" s="881">
        <f t="shared" si="44"/>
        <v>1.5299999999999998</v>
      </c>
      <c r="E83" s="881">
        <f t="shared" si="45"/>
        <v>0</v>
      </c>
      <c r="F83" s="881">
        <f t="shared" si="46"/>
        <v>0</v>
      </c>
      <c r="G83" s="881">
        <f t="shared" si="47"/>
        <v>0</v>
      </c>
      <c r="R83" s="848"/>
      <c r="S83" s="848"/>
    </row>
    <row r="84" spans="2:19" x14ac:dyDescent="0.25">
      <c r="B84" s="884" t="s">
        <v>842</v>
      </c>
      <c r="C84" s="881">
        <f t="shared" si="43"/>
        <v>0.67999999999999994</v>
      </c>
      <c r="D84" s="881">
        <f t="shared" si="44"/>
        <v>1.02</v>
      </c>
      <c r="E84" s="881">
        <f t="shared" si="45"/>
        <v>0</v>
      </c>
      <c r="F84" s="881">
        <f t="shared" si="46"/>
        <v>0</v>
      </c>
      <c r="G84" s="881">
        <f t="shared" si="47"/>
        <v>0</v>
      </c>
      <c r="R84" s="848"/>
      <c r="S84" s="848"/>
    </row>
    <row r="85" spans="2:19" x14ac:dyDescent="0.25">
      <c r="B85" s="884" t="s">
        <v>535</v>
      </c>
      <c r="C85" s="881">
        <f t="shared" si="43"/>
        <v>1.6999999999999997</v>
      </c>
      <c r="D85" s="881">
        <f t="shared" si="44"/>
        <v>2.5499999999999998</v>
      </c>
      <c r="E85" s="881">
        <f t="shared" si="45"/>
        <v>0</v>
      </c>
      <c r="F85" s="881">
        <f t="shared" si="46"/>
        <v>0</v>
      </c>
      <c r="G85" s="881">
        <f t="shared" si="47"/>
        <v>0</v>
      </c>
      <c r="R85" s="848"/>
      <c r="S85" s="848"/>
    </row>
    <row r="86" spans="2:19" x14ac:dyDescent="0.25">
      <c r="C86" s="875">
        <v>2021</v>
      </c>
      <c r="D86" s="875">
        <v>2022</v>
      </c>
      <c r="E86" s="875">
        <v>2023</v>
      </c>
      <c r="F86" s="875">
        <v>2024</v>
      </c>
      <c r="G86" s="875">
        <v>2025</v>
      </c>
      <c r="R86" s="848"/>
      <c r="S86" s="848"/>
    </row>
    <row r="87" spans="2:19" x14ac:dyDescent="0.25">
      <c r="B87" s="884" t="s">
        <v>851</v>
      </c>
      <c r="C87" s="880">
        <f>SUM(C83:C85)</f>
        <v>3.3999999999999995</v>
      </c>
      <c r="D87" s="880">
        <f t="shared" ref="D87:G87" si="48">SUM(D83:D85)</f>
        <v>5.0999999999999996</v>
      </c>
      <c r="E87" s="880">
        <f t="shared" si="48"/>
        <v>0</v>
      </c>
      <c r="F87" s="880">
        <f t="shared" si="48"/>
        <v>0</v>
      </c>
      <c r="G87" s="880">
        <f t="shared" si="48"/>
        <v>0</v>
      </c>
      <c r="R87" s="848"/>
      <c r="S87" s="848"/>
    </row>
    <row r="90" spans="2:19" x14ac:dyDescent="0.25">
      <c r="B90" s="884" t="s">
        <v>747</v>
      </c>
      <c r="C90" s="881">
        <v>26.636000000000024</v>
      </c>
      <c r="D90" s="881">
        <v>98.978999999999999</v>
      </c>
      <c r="E90" s="881">
        <v>2.1159999999999997</v>
      </c>
      <c r="F90" s="881">
        <v>2.1789999999999998</v>
      </c>
      <c r="G90" s="881">
        <v>2.33</v>
      </c>
      <c r="H90" s="881"/>
      <c r="I90" s="881"/>
      <c r="J90" s="881"/>
      <c r="K90" s="881"/>
      <c r="L90" s="881"/>
      <c r="M90" s="881"/>
    </row>
    <row r="91" spans="2:19" x14ac:dyDescent="0.25">
      <c r="B91" s="884" t="s">
        <v>748</v>
      </c>
      <c r="C91" s="881">
        <v>47.722000000000016</v>
      </c>
      <c r="D91" s="881">
        <v>52.756999999999998</v>
      </c>
      <c r="E91" s="881">
        <v>12</v>
      </c>
      <c r="F91" s="881">
        <v>4.2219999999999995</v>
      </c>
      <c r="G91" s="881">
        <v>2.3719999999999999</v>
      </c>
      <c r="H91" s="881"/>
      <c r="I91" s="881"/>
      <c r="J91" s="881"/>
      <c r="K91" s="881"/>
      <c r="L91" s="881"/>
      <c r="M91" s="881"/>
    </row>
    <row r="92" spans="2:19" x14ac:dyDescent="0.25">
      <c r="B92" s="884" t="s">
        <v>52</v>
      </c>
      <c r="C92" s="881">
        <v>81.842999999999989</v>
      </c>
      <c r="D92" s="881">
        <v>110.24799999999999</v>
      </c>
      <c r="E92" s="881">
        <v>12.726000000000001</v>
      </c>
      <c r="F92" s="881">
        <v>1.365</v>
      </c>
      <c r="G92" s="881">
        <v>-0.90100000000000025</v>
      </c>
      <c r="H92" s="881"/>
      <c r="I92" s="881"/>
      <c r="J92" s="881"/>
      <c r="K92" s="881"/>
      <c r="L92" s="881"/>
      <c r="M92" s="881"/>
    </row>
    <row r="93" spans="2:19" x14ac:dyDescent="0.25">
      <c r="B93" s="884" t="s">
        <v>131</v>
      </c>
      <c r="C93" s="881">
        <v>7.798</v>
      </c>
      <c r="D93" s="881">
        <v>7.9489999999999998</v>
      </c>
      <c r="E93" s="881">
        <v>4.7519999999999998</v>
      </c>
      <c r="F93" s="881">
        <v>4.637999999999999</v>
      </c>
      <c r="G93" s="881">
        <v>1.8800000000000001</v>
      </c>
      <c r="H93" s="881"/>
      <c r="I93" s="881"/>
      <c r="J93" s="881"/>
      <c r="K93" s="881"/>
      <c r="L93" s="881"/>
      <c r="M93" s="881"/>
    </row>
    <row r="94" spans="2:19" x14ac:dyDescent="0.25">
      <c r="B94" s="884" t="s">
        <v>396</v>
      </c>
      <c r="C94" s="881">
        <v>283.95749999999998</v>
      </c>
      <c r="D94" s="881">
        <v>77.092500000000001</v>
      </c>
      <c r="E94" s="881">
        <v>1</v>
      </c>
      <c r="F94" s="881">
        <v>0</v>
      </c>
      <c r="G94" s="881">
        <v>0</v>
      </c>
      <c r="H94" s="881"/>
      <c r="I94" s="881"/>
      <c r="J94" s="881"/>
      <c r="K94" s="881"/>
      <c r="L94" s="881"/>
      <c r="M94" s="881"/>
    </row>
    <row r="95" spans="2:19" x14ac:dyDescent="0.25">
      <c r="B95" s="884" t="s">
        <v>150</v>
      </c>
      <c r="C95" s="881">
        <v>12.347</v>
      </c>
      <c r="D95" s="881">
        <v>46.79</v>
      </c>
      <c r="E95" s="881">
        <v>38.595999999999997</v>
      </c>
      <c r="F95" s="881">
        <v>31.911000000000001</v>
      </c>
      <c r="G95" s="881">
        <v>23.099</v>
      </c>
      <c r="H95" s="881"/>
      <c r="I95" s="881"/>
      <c r="J95" s="881"/>
      <c r="K95" s="881"/>
      <c r="L95" s="881"/>
      <c r="M95" s="881"/>
    </row>
    <row r="96" spans="2:19" x14ac:dyDescent="0.25">
      <c r="B96" s="884" t="s">
        <v>412</v>
      </c>
      <c r="C96" s="881">
        <v>2.286</v>
      </c>
      <c r="D96" s="881">
        <v>4.6049999999999995</v>
      </c>
      <c r="E96" s="881">
        <v>1.349</v>
      </c>
      <c r="F96" s="881">
        <v>0.441</v>
      </c>
      <c r="G96" s="881">
        <v>0.313</v>
      </c>
      <c r="H96" s="881"/>
      <c r="I96" s="881"/>
      <c r="J96" s="881"/>
      <c r="K96" s="881"/>
      <c r="L96" s="881"/>
      <c r="M96" s="881"/>
    </row>
    <row r="97" spans="2:13" x14ac:dyDescent="0.25">
      <c r="B97" s="884" t="s">
        <v>159</v>
      </c>
      <c r="C97" s="881">
        <v>25.75</v>
      </c>
      <c r="D97" s="881">
        <v>0</v>
      </c>
      <c r="E97" s="881">
        <v>0</v>
      </c>
      <c r="F97" s="881">
        <v>0</v>
      </c>
      <c r="G97" s="881">
        <v>0</v>
      </c>
      <c r="H97" s="881"/>
      <c r="I97" s="881"/>
      <c r="J97" s="881"/>
      <c r="K97" s="881"/>
      <c r="L97" s="881"/>
      <c r="M97" s="881"/>
    </row>
    <row r="98" spans="2:13" x14ac:dyDescent="0.25">
      <c r="B98" s="884" t="s">
        <v>109</v>
      </c>
      <c r="C98" s="881">
        <v>60.441000000000003</v>
      </c>
      <c r="D98" s="881">
        <v>91.678999999999988</v>
      </c>
      <c r="E98" s="881">
        <v>41.220000000000006</v>
      </c>
      <c r="F98" s="881">
        <v>14.004000000000003</v>
      </c>
      <c r="G98" s="881">
        <v>3.8530000000000006</v>
      </c>
      <c r="H98" s="881"/>
      <c r="I98" s="881"/>
      <c r="J98" s="881"/>
      <c r="K98" s="881"/>
      <c r="L98" s="881"/>
      <c r="M98" s="881"/>
    </row>
    <row r="99" spans="2:13" x14ac:dyDescent="0.25">
      <c r="C99" s="875">
        <v>3.4</v>
      </c>
      <c r="D99" s="875">
        <v>5.0999999999999996</v>
      </c>
      <c r="E99" s="875">
        <v>0</v>
      </c>
      <c r="F99" s="875">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61" zoomScaleNormal="129" workbookViewId="0">
      <pane ySplit="1" topLeftCell="A5" activePane="bottomLeft" state="frozen"/>
      <selection pane="bottomLeft" activeCell="E17" sqref="E17"/>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900" t="s">
        <v>37</v>
      </c>
      <c r="B2" s="901"/>
      <c r="C2" s="901"/>
      <c r="D2" s="902"/>
      <c r="E2" s="30"/>
      <c r="F2" s="30"/>
    </row>
    <row r="3" spans="1:6" ht="148.15" customHeight="1" x14ac:dyDescent="0.25">
      <c r="A3" s="18" t="s">
        <v>938</v>
      </c>
      <c r="B3" s="14" t="s">
        <v>937</v>
      </c>
      <c r="C3" s="14" t="s">
        <v>936</v>
      </c>
      <c r="D3" s="22" t="s">
        <v>954</v>
      </c>
    </row>
    <row r="4" spans="1:6" ht="148.15" customHeight="1" x14ac:dyDescent="0.25">
      <c r="A4" s="18" t="s">
        <v>79</v>
      </c>
      <c r="B4" s="14" t="s">
        <v>40</v>
      </c>
      <c r="C4" s="14" t="s">
        <v>41</v>
      </c>
      <c r="D4" s="22" t="s">
        <v>954</v>
      </c>
      <c r="E4" s="14"/>
      <c r="F4" s="14"/>
    </row>
    <row r="5" spans="1:6" ht="61.5" customHeight="1" x14ac:dyDescent="0.25">
      <c r="A5" s="18" t="s">
        <v>73</v>
      </c>
      <c r="B5" s="14" t="s">
        <v>74</v>
      </c>
      <c r="C5" s="32" t="s">
        <v>44</v>
      </c>
      <c r="D5" s="22" t="s">
        <v>954</v>
      </c>
    </row>
    <row r="6" spans="1:6" ht="78" customHeight="1" x14ac:dyDescent="0.25">
      <c r="A6" s="18" t="s">
        <v>45</v>
      </c>
      <c r="B6" s="14" t="s">
        <v>46</v>
      </c>
      <c r="C6" s="14" t="s">
        <v>959</v>
      </c>
      <c r="D6" s="22" t="s">
        <v>954</v>
      </c>
      <c r="E6" s="14"/>
      <c r="F6" s="14"/>
    </row>
    <row r="7" spans="1:6" ht="50.65" customHeight="1" x14ac:dyDescent="0.25">
      <c r="A7" s="18" t="s">
        <v>895</v>
      </c>
      <c r="B7" s="14" t="s">
        <v>907</v>
      </c>
      <c r="C7" s="14" t="s">
        <v>973</v>
      </c>
      <c r="D7" s="22" t="s">
        <v>954</v>
      </c>
      <c r="E7" s="15"/>
      <c r="F7" s="14"/>
    </row>
    <row r="8" spans="1:6" ht="29.65" customHeight="1" x14ac:dyDescent="0.25">
      <c r="A8" s="18" t="s">
        <v>75</v>
      </c>
      <c r="B8" s="14" t="s">
        <v>76</v>
      </c>
      <c r="C8" s="14" t="s">
        <v>77</v>
      </c>
      <c r="D8" s="22"/>
      <c r="E8" s="15"/>
      <c r="F8" s="14"/>
    </row>
    <row r="9" spans="1:6" ht="48.4" customHeight="1" x14ac:dyDescent="0.25">
      <c r="A9" s="18" t="s">
        <v>47</v>
      </c>
      <c r="B9" s="14" t="s">
        <v>48</v>
      </c>
      <c r="C9" s="14" t="s">
        <v>929</v>
      </c>
      <c r="D9" s="22"/>
      <c r="E9" s="15"/>
      <c r="F9" s="14"/>
    </row>
    <row r="10" spans="1:6" ht="22.5" customHeight="1" x14ac:dyDescent="0.25">
      <c r="A10" s="900" t="s">
        <v>930</v>
      </c>
      <c r="B10" s="901"/>
      <c r="C10" s="901"/>
      <c r="D10" s="902"/>
      <c r="E10" s="15"/>
      <c r="F10" s="14"/>
    </row>
    <row r="11" spans="1:6" ht="22.5" customHeight="1" x14ac:dyDescent="0.25">
      <c r="A11" s="19" t="s">
        <v>75</v>
      </c>
      <c r="B11" s="913" t="s">
        <v>940</v>
      </c>
      <c r="C11" s="914"/>
      <c r="D11" s="31"/>
      <c r="E11" s="15"/>
      <c r="F11" s="14"/>
    </row>
    <row r="12" spans="1:6" ht="33" customHeight="1" x14ac:dyDescent="0.25">
      <c r="A12" s="19" t="s">
        <v>939</v>
      </c>
      <c r="B12" s="906" t="s">
        <v>941</v>
      </c>
      <c r="C12" s="906"/>
      <c r="D12" s="22"/>
      <c r="E12" s="14"/>
      <c r="F12" s="14"/>
    </row>
    <row r="13" spans="1:6" ht="39.4" customHeight="1" x14ac:dyDescent="0.25">
      <c r="A13" s="17" t="s">
        <v>931</v>
      </c>
      <c r="B13" s="906" t="s">
        <v>942</v>
      </c>
      <c r="C13" s="906"/>
      <c r="D13" s="22"/>
    </row>
    <row r="14" spans="1:6" ht="38.65" customHeight="1" x14ac:dyDescent="0.25">
      <c r="A14" s="17" t="s">
        <v>933</v>
      </c>
      <c r="B14" s="906" t="s">
        <v>934</v>
      </c>
      <c r="C14" s="906"/>
      <c r="D14" s="22"/>
    </row>
    <row r="15" spans="1:6" ht="19.899999999999999" customHeight="1" x14ac:dyDescent="0.25">
      <c r="A15" s="903" t="s">
        <v>59</v>
      </c>
      <c r="B15" s="904"/>
      <c r="C15" s="904"/>
      <c r="D15" s="905"/>
    </row>
    <row r="16" spans="1:6" ht="24.4" customHeight="1" x14ac:dyDescent="0.25">
      <c r="A16" s="907" t="s">
        <v>903</v>
      </c>
      <c r="B16" s="908"/>
      <c r="C16" s="909"/>
      <c r="D16" s="22"/>
    </row>
    <row r="17" spans="1:7" ht="101.65" customHeight="1" x14ac:dyDescent="0.25">
      <c r="A17" s="33" t="s">
        <v>60</v>
      </c>
      <c r="B17" s="34" t="s">
        <v>960</v>
      </c>
      <c r="C17" s="34" t="s">
        <v>967</v>
      </c>
      <c r="D17" s="35"/>
      <c r="E17" s="34"/>
      <c r="F17" s="34"/>
      <c r="G17" s="34"/>
    </row>
    <row r="18" spans="1:7" ht="100.9" customHeight="1" x14ac:dyDescent="0.25">
      <c r="A18" s="33" t="s">
        <v>61</v>
      </c>
      <c r="B18" s="34" t="s">
        <v>961</v>
      </c>
      <c r="C18" s="34" t="s">
        <v>962</v>
      </c>
      <c r="D18" s="35"/>
      <c r="E18" s="34"/>
      <c r="F18" s="34"/>
      <c r="G18" s="34"/>
    </row>
    <row r="19" spans="1:7" ht="57.6" customHeight="1" x14ac:dyDescent="0.25">
      <c r="A19" s="33" t="s">
        <v>963</v>
      </c>
      <c r="B19" s="34" t="s">
        <v>964</v>
      </c>
      <c r="C19" s="34" t="s">
        <v>965</v>
      </c>
      <c r="D19" s="35"/>
      <c r="E19" s="34"/>
      <c r="F19" s="34"/>
      <c r="G19" s="34"/>
    </row>
    <row r="20" spans="1:7" ht="37.5" customHeight="1" x14ac:dyDescent="0.25">
      <c r="A20" s="910" t="s">
        <v>902</v>
      </c>
      <c r="B20" s="911"/>
      <c r="C20" s="912"/>
      <c r="D20" s="22"/>
    </row>
    <row r="21" spans="1:7" x14ac:dyDescent="0.25">
      <c r="A21" s="903" t="s">
        <v>62</v>
      </c>
      <c r="B21" s="904"/>
      <c r="C21" s="904"/>
      <c r="D21" s="905"/>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949</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abSelected="1" zoomScaleNormal="100" workbookViewId="0">
      <selection activeCell="K3" sqref="K3"/>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966</v>
      </c>
      <c r="B2" s="43" t="s">
        <v>1325</v>
      </c>
      <c r="C2" s="43" t="s">
        <v>1326</v>
      </c>
      <c r="D2" s="39" t="s">
        <v>954</v>
      </c>
    </row>
    <row r="3" spans="1:4" ht="63.75" customHeight="1" x14ac:dyDescent="0.25">
      <c r="A3" s="18" t="s">
        <v>79</v>
      </c>
      <c r="B3" s="38" t="s">
        <v>40</v>
      </c>
      <c r="C3" s="38" t="s">
        <v>41</v>
      </c>
      <c r="D3" s="40" t="s">
        <v>954</v>
      </c>
    </row>
    <row r="4" spans="1:4" ht="137.25" customHeight="1" x14ac:dyDescent="0.25">
      <c r="A4" s="48" t="s">
        <v>80</v>
      </c>
      <c r="B4" s="38" t="s">
        <v>1324</v>
      </c>
      <c r="C4" s="14" t="s">
        <v>968</v>
      </c>
      <c r="D4" s="40"/>
    </row>
    <row r="5" spans="1:4" ht="29.25" customHeight="1" x14ac:dyDescent="0.25">
      <c r="A5" s="48" t="s">
        <v>81</v>
      </c>
      <c r="B5" s="49" t="s">
        <v>82</v>
      </c>
      <c r="C5" s="36" t="s">
        <v>83</v>
      </c>
      <c r="D5" s="40"/>
    </row>
    <row r="6" spans="1:4" ht="43.15" customHeight="1" x14ac:dyDescent="0.25">
      <c r="A6" s="20" t="s">
        <v>84</v>
      </c>
      <c r="B6" s="44" t="s">
        <v>970</v>
      </c>
      <c r="C6" s="37" t="s">
        <v>969</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B89"/>
  <sheetViews>
    <sheetView zoomScale="88" workbookViewId="0">
      <pane xSplit="1" ySplit="1" topLeftCell="GD29" activePane="bottomRight" state="frozen"/>
      <selection pane="topRight" activeCell="B1" sqref="B1"/>
      <selection pane="bottomLeft" activeCell="A2" sqref="A2"/>
      <selection pane="bottomRight" activeCell="A35" sqref="A35:XFD35"/>
    </sheetView>
  </sheetViews>
  <sheetFormatPr defaultColWidth="11.42578125" defaultRowHeight="15" x14ac:dyDescent="0.25"/>
  <cols>
    <col min="1" max="210" width="11.7109375" customWidth="1"/>
  </cols>
  <sheetData>
    <row r="1" spans="1:210" x14ac:dyDescent="0.25">
      <c r="A1" s="886" t="s">
        <v>1025</v>
      </c>
      <c r="B1" s="886" t="s">
        <v>1026</v>
      </c>
      <c r="C1" s="886" t="s">
        <v>1027</v>
      </c>
      <c r="D1" s="886" t="s">
        <v>1028</v>
      </c>
      <c r="E1" s="886" t="s">
        <v>1029</v>
      </c>
      <c r="F1" s="886" t="s">
        <v>1030</v>
      </c>
      <c r="G1" s="886" t="s">
        <v>1031</v>
      </c>
      <c r="H1" s="886" t="s">
        <v>1032</v>
      </c>
      <c r="I1" s="886" t="s">
        <v>1033</v>
      </c>
      <c r="J1" s="886" t="s">
        <v>1034</v>
      </c>
      <c r="K1" s="886" t="s">
        <v>1035</v>
      </c>
      <c r="L1" s="886" t="s">
        <v>1036</v>
      </c>
      <c r="M1" s="886" t="s">
        <v>1037</v>
      </c>
      <c r="N1" s="886" t="s">
        <v>1038</v>
      </c>
      <c r="O1" s="886" t="s">
        <v>1039</v>
      </c>
      <c r="P1" s="886" t="s">
        <v>1040</v>
      </c>
      <c r="Q1" s="886" t="s">
        <v>1041</v>
      </c>
      <c r="R1" s="886" t="s">
        <v>1042</v>
      </c>
      <c r="S1" s="886" t="s">
        <v>1043</v>
      </c>
      <c r="T1" s="886" t="s">
        <v>1044</v>
      </c>
      <c r="U1" s="886" t="s">
        <v>1045</v>
      </c>
      <c r="V1" s="886" t="s">
        <v>1046</v>
      </c>
      <c r="W1" s="886" t="s">
        <v>1047</v>
      </c>
      <c r="X1" s="886" t="s">
        <v>1048</v>
      </c>
      <c r="Y1" s="886" t="s">
        <v>1049</v>
      </c>
      <c r="Z1" s="886" t="s">
        <v>1050</v>
      </c>
      <c r="AA1" s="886" t="s">
        <v>1051</v>
      </c>
      <c r="AB1" s="886" t="s">
        <v>1052</v>
      </c>
      <c r="AC1" s="886" t="s">
        <v>1053</v>
      </c>
      <c r="AD1" s="886" t="s">
        <v>1054</v>
      </c>
      <c r="AE1" s="886" t="s">
        <v>1055</v>
      </c>
      <c r="AF1" s="886" t="s">
        <v>1056</v>
      </c>
      <c r="AG1" s="886" t="s">
        <v>1057</v>
      </c>
      <c r="AH1" s="886" t="s">
        <v>1058</v>
      </c>
      <c r="AI1" s="886" t="s">
        <v>1059</v>
      </c>
      <c r="AJ1" s="886" t="s">
        <v>1060</v>
      </c>
      <c r="AK1" s="886" t="s">
        <v>1061</v>
      </c>
      <c r="AL1" s="886" t="s">
        <v>1062</v>
      </c>
      <c r="AM1" s="886" t="s">
        <v>1063</v>
      </c>
      <c r="AN1" s="886" t="s">
        <v>1064</v>
      </c>
      <c r="AO1" s="886" t="s">
        <v>1065</v>
      </c>
      <c r="AP1" s="886" t="s">
        <v>1066</v>
      </c>
      <c r="AQ1" s="886" t="s">
        <v>1067</v>
      </c>
      <c r="AR1" s="886" t="s">
        <v>1068</v>
      </c>
      <c r="AS1" s="886" t="s">
        <v>1069</v>
      </c>
      <c r="AT1" s="886" t="s">
        <v>1070</v>
      </c>
      <c r="AU1" s="886" t="s">
        <v>1071</v>
      </c>
      <c r="AV1" s="886" t="s">
        <v>1072</v>
      </c>
      <c r="AW1" s="886" t="s">
        <v>1073</v>
      </c>
      <c r="AX1" s="886" t="s">
        <v>1074</v>
      </c>
      <c r="AY1" s="886" t="s">
        <v>1075</v>
      </c>
      <c r="AZ1" s="886" t="s">
        <v>1076</v>
      </c>
      <c r="BA1" s="886" t="s">
        <v>1077</v>
      </c>
      <c r="BB1" s="886" t="s">
        <v>1078</v>
      </c>
      <c r="BC1" s="886" t="s">
        <v>1079</v>
      </c>
      <c r="BD1" s="886" t="s">
        <v>1080</v>
      </c>
      <c r="BE1" s="886" t="s">
        <v>1081</v>
      </c>
      <c r="BF1" s="886" t="s">
        <v>1082</v>
      </c>
      <c r="BG1" s="886" t="s">
        <v>1083</v>
      </c>
      <c r="BH1" s="886" t="s">
        <v>1084</v>
      </c>
      <c r="BI1" s="886" t="s">
        <v>1085</v>
      </c>
      <c r="BJ1" s="886" t="s">
        <v>1086</v>
      </c>
      <c r="BK1" s="886" t="s">
        <v>1087</v>
      </c>
      <c r="BL1" s="886" t="s">
        <v>1088</v>
      </c>
      <c r="BM1" s="886" t="s">
        <v>1089</v>
      </c>
      <c r="BN1" s="886" t="s">
        <v>1090</v>
      </c>
      <c r="BO1" s="886" t="s">
        <v>1091</v>
      </c>
      <c r="BP1" s="886" t="s">
        <v>1092</v>
      </c>
      <c r="BQ1" s="886" t="s">
        <v>1093</v>
      </c>
      <c r="BR1" s="886" t="s">
        <v>1094</v>
      </c>
      <c r="BS1" s="886" t="s">
        <v>1095</v>
      </c>
      <c r="BT1" s="886" t="s">
        <v>1096</v>
      </c>
      <c r="BU1" s="886" t="s">
        <v>1097</v>
      </c>
      <c r="BV1" s="886" t="s">
        <v>1098</v>
      </c>
      <c r="BW1" s="886" t="s">
        <v>1099</v>
      </c>
      <c r="BX1" s="886" t="s">
        <v>1100</v>
      </c>
      <c r="BY1" s="886" t="s">
        <v>1101</v>
      </c>
      <c r="BZ1" s="886" t="s">
        <v>1102</v>
      </c>
      <c r="CA1" s="886" t="s">
        <v>1103</v>
      </c>
      <c r="CB1" s="886" t="s">
        <v>1104</v>
      </c>
      <c r="CC1" s="886" t="s">
        <v>1105</v>
      </c>
      <c r="CD1" s="886" t="s">
        <v>1106</v>
      </c>
      <c r="CE1" s="886" t="s">
        <v>1107</v>
      </c>
      <c r="CF1" s="886" t="s">
        <v>1108</v>
      </c>
      <c r="CG1" s="886" t="s">
        <v>1109</v>
      </c>
      <c r="CH1" s="886" t="s">
        <v>1110</v>
      </c>
      <c r="CI1" s="886" t="s">
        <v>1111</v>
      </c>
      <c r="CJ1" s="886" t="s">
        <v>1112</v>
      </c>
      <c r="CK1" s="886" t="s">
        <v>1113</v>
      </c>
      <c r="CL1" s="886" t="s">
        <v>1114</v>
      </c>
      <c r="CM1" s="886" t="s">
        <v>1115</v>
      </c>
      <c r="CN1" s="886" t="s">
        <v>1116</v>
      </c>
      <c r="CO1" s="886" t="s">
        <v>1117</v>
      </c>
      <c r="CP1" s="886" t="s">
        <v>1118</v>
      </c>
      <c r="CQ1" s="886" t="s">
        <v>1119</v>
      </c>
      <c r="CR1" s="886" t="s">
        <v>1120</v>
      </c>
      <c r="CS1" s="886" t="s">
        <v>1121</v>
      </c>
      <c r="CT1" s="886" t="s">
        <v>1122</v>
      </c>
      <c r="CU1" s="886" t="s">
        <v>1123</v>
      </c>
      <c r="CV1" s="886" t="s">
        <v>1124</v>
      </c>
      <c r="CW1" s="886" t="s">
        <v>1125</v>
      </c>
      <c r="CX1" s="886" t="s">
        <v>1126</v>
      </c>
      <c r="CY1" s="886" t="s">
        <v>1127</v>
      </c>
      <c r="CZ1" s="886" t="s">
        <v>1128</v>
      </c>
      <c r="DA1" s="886" t="s">
        <v>1129</v>
      </c>
      <c r="DB1" s="886" t="s">
        <v>1130</v>
      </c>
      <c r="DC1" s="886" t="s">
        <v>1131</v>
      </c>
      <c r="DD1" s="886" t="s">
        <v>1132</v>
      </c>
      <c r="DE1" s="886" t="s">
        <v>1133</v>
      </c>
      <c r="DF1" s="886" t="s">
        <v>1134</v>
      </c>
      <c r="DG1" s="886" t="s">
        <v>1135</v>
      </c>
      <c r="DH1" s="886" t="s">
        <v>1136</v>
      </c>
      <c r="DI1" s="886" t="s">
        <v>1137</v>
      </c>
      <c r="DJ1" s="886" t="s">
        <v>1138</v>
      </c>
      <c r="DK1" s="886" t="s">
        <v>1139</v>
      </c>
      <c r="DL1" s="886" t="s">
        <v>1140</v>
      </c>
      <c r="DM1" s="886" t="s">
        <v>1141</v>
      </c>
      <c r="DN1" s="886" t="s">
        <v>1142</v>
      </c>
      <c r="DO1" s="886" t="s">
        <v>1143</v>
      </c>
      <c r="DP1" s="886" t="s">
        <v>1144</v>
      </c>
      <c r="DQ1" s="886" t="s">
        <v>1145</v>
      </c>
      <c r="DR1" s="886" t="s">
        <v>1146</v>
      </c>
      <c r="DS1" s="886" t="s">
        <v>1147</v>
      </c>
      <c r="DT1" s="886" t="s">
        <v>1148</v>
      </c>
      <c r="DU1" s="886" t="s">
        <v>1149</v>
      </c>
      <c r="DV1" s="886" t="s">
        <v>1150</v>
      </c>
      <c r="DW1" s="886" t="s">
        <v>1151</v>
      </c>
      <c r="DX1" s="886" t="s">
        <v>1152</v>
      </c>
      <c r="DY1" s="886" t="s">
        <v>1153</v>
      </c>
      <c r="DZ1" s="886" t="s">
        <v>1154</v>
      </c>
      <c r="EA1" s="886" t="s">
        <v>1155</v>
      </c>
      <c r="EB1" s="886" t="s">
        <v>1156</v>
      </c>
      <c r="EC1" s="886" t="s">
        <v>1157</v>
      </c>
      <c r="ED1" s="886" t="s">
        <v>1158</v>
      </c>
      <c r="EE1" s="886" t="s">
        <v>1159</v>
      </c>
      <c r="EF1" s="886" t="s">
        <v>1160</v>
      </c>
      <c r="EG1" s="886" t="s">
        <v>1161</v>
      </c>
      <c r="EH1" s="886" t="s">
        <v>1162</v>
      </c>
      <c r="EI1" s="886" t="s">
        <v>1163</v>
      </c>
      <c r="EJ1" s="886" t="s">
        <v>1164</v>
      </c>
      <c r="EK1" s="886" t="s">
        <v>1165</v>
      </c>
      <c r="EL1" s="886" t="s">
        <v>1166</v>
      </c>
      <c r="EM1" s="886" t="s">
        <v>1167</v>
      </c>
      <c r="EN1" s="886" t="s">
        <v>1168</v>
      </c>
      <c r="EO1" s="886" t="s">
        <v>1169</v>
      </c>
      <c r="EP1" s="886" t="s">
        <v>1170</v>
      </c>
      <c r="EQ1" s="886" t="s">
        <v>1171</v>
      </c>
      <c r="ER1" s="886" t="s">
        <v>1172</v>
      </c>
      <c r="ES1" s="886" t="s">
        <v>1173</v>
      </c>
      <c r="ET1" s="886" t="s">
        <v>1174</v>
      </c>
      <c r="EU1" s="886" t="s">
        <v>1175</v>
      </c>
      <c r="EV1" s="886" t="s">
        <v>1176</v>
      </c>
      <c r="EW1" s="886" t="s">
        <v>1177</v>
      </c>
      <c r="EX1" s="886" t="s">
        <v>1178</v>
      </c>
      <c r="EY1" s="886" t="s">
        <v>1179</v>
      </c>
      <c r="EZ1" s="886" t="s">
        <v>1180</v>
      </c>
      <c r="FA1" s="886" t="s">
        <v>1181</v>
      </c>
      <c r="FB1" s="886" t="s">
        <v>1182</v>
      </c>
      <c r="FC1" s="886" t="s">
        <v>1183</v>
      </c>
      <c r="FD1" s="886" t="s">
        <v>1184</v>
      </c>
      <c r="FE1" s="886" t="s">
        <v>1185</v>
      </c>
      <c r="FF1" s="886" t="s">
        <v>1186</v>
      </c>
      <c r="FG1" s="886" t="s">
        <v>1187</v>
      </c>
      <c r="FH1" s="886" t="s">
        <v>1188</v>
      </c>
      <c r="FI1" s="886" t="s">
        <v>1189</v>
      </c>
      <c r="FJ1" s="886" t="s">
        <v>1190</v>
      </c>
      <c r="FK1" s="886" t="s">
        <v>1191</v>
      </c>
      <c r="FL1" s="886" t="s">
        <v>1192</v>
      </c>
      <c r="FM1" s="886" t="s">
        <v>1193</v>
      </c>
      <c r="FN1" s="886" t="s">
        <v>1194</v>
      </c>
      <c r="FO1" s="886" t="s">
        <v>1195</v>
      </c>
      <c r="FP1" s="886" t="s">
        <v>1196</v>
      </c>
      <c r="FQ1" s="886" t="s">
        <v>1197</v>
      </c>
      <c r="FR1" s="886" t="s">
        <v>1198</v>
      </c>
      <c r="FS1" s="886" t="s">
        <v>1199</v>
      </c>
      <c r="FT1" s="886" t="s">
        <v>1200</v>
      </c>
      <c r="FU1" s="886" t="s">
        <v>1201</v>
      </c>
      <c r="FV1" s="886" t="s">
        <v>1202</v>
      </c>
      <c r="FW1" s="886" t="s">
        <v>1203</v>
      </c>
      <c r="FX1" s="886" t="s">
        <v>1204</v>
      </c>
      <c r="FY1" s="886" t="s">
        <v>1205</v>
      </c>
      <c r="FZ1" s="886" t="s">
        <v>1206</v>
      </c>
      <c r="GA1" s="886" t="s">
        <v>1207</v>
      </c>
      <c r="GB1" s="886" t="s">
        <v>1208</v>
      </c>
      <c r="GC1" s="886" t="s">
        <v>1209</v>
      </c>
      <c r="GD1" s="886" t="s">
        <v>1210</v>
      </c>
      <c r="GE1" s="886" t="s">
        <v>1211</v>
      </c>
      <c r="GF1" s="886" t="s">
        <v>1212</v>
      </c>
      <c r="GG1" s="886" t="s">
        <v>1213</v>
      </c>
      <c r="GH1" s="886" t="s">
        <v>1214</v>
      </c>
      <c r="GI1" s="886" t="s">
        <v>1215</v>
      </c>
      <c r="GJ1" s="886" t="s">
        <v>1216</v>
      </c>
      <c r="GK1" s="886" t="s">
        <v>1217</v>
      </c>
      <c r="GL1" s="886" t="s">
        <v>1218</v>
      </c>
      <c r="GM1" s="886" t="s">
        <v>1219</v>
      </c>
      <c r="GN1" s="886" t="s">
        <v>1220</v>
      </c>
      <c r="GO1" s="886" t="s">
        <v>1221</v>
      </c>
      <c r="GP1" s="886" t="s">
        <v>1222</v>
      </c>
      <c r="GQ1" s="886" t="s">
        <v>1223</v>
      </c>
      <c r="GR1" s="886" t="s">
        <v>1224</v>
      </c>
      <c r="GS1" s="886" t="s">
        <v>1225</v>
      </c>
      <c r="GT1" s="886" t="s">
        <v>1226</v>
      </c>
      <c r="GU1" s="886" t="s">
        <v>1227</v>
      </c>
      <c r="GV1" s="886" t="s">
        <v>1228</v>
      </c>
      <c r="GW1" s="886" t="s">
        <v>1229</v>
      </c>
      <c r="GX1" s="886" t="s">
        <v>1230</v>
      </c>
      <c r="GY1" s="886" t="s">
        <v>1231</v>
      </c>
      <c r="GZ1" s="886" t="s">
        <v>1232</v>
      </c>
      <c r="HA1" s="886" t="s">
        <v>1233</v>
      </c>
      <c r="HB1" s="886" t="s">
        <v>1234</v>
      </c>
    </row>
    <row r="2" spans="1:210" x14ac:dyDescent="0.25">
      <c r="A2" s="36" t="s">
        <v>1235</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24384.3</v>
      </c>
    </row>
    <row r="3" spans="1:210" x14ac:dyDescent="0.25">
      <c r="A3" s="36" t="s">
        <v>1236</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19731.099999999999</v>
      </c>
    </row>
    <row r="4" spans="1:210" x14ac:dyDescent="0.25">
      <c r="A4" s="36" t="s">
        <v>1237</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123.705</v>
      </c>
    </row>
    <row r="5" spans="1:210" x14ac:dyDescent="0.25">
      <c r="A5" s="36" t="s">
        <v>1238</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16719.7</v>
      </c>
    </row>
    <row r="6" spans="1:210" x14ac:dyDescent="0.25">
      <c r="A6" s="36" t="s">
        <v>1239</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13924.8</v>
      </c>
    </row>
    <row r="7" spans="1:210" x14ac:dyDescent="0.25">
      <c r="A7" s="36" t="s">
        <v>1240</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120.092</v>
      </c>
    </row>
    <row r="8" spans="1:210" x14ac:dyDescent="0.25">
      <c r="A8" s="36" t="s">
        <v>1241</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120.419</v>
      </c>
    </row>
    <row r="9" spans="1:210" x14ac:dyDescent="0.25">
      <c r="A9" s="36" t="s">
        <v>1242</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129.54</v>
      </c>
    </row>
    <row r="10" spans="1:210" x14ac:dyDescent="0.25">
      <c r="A10" s="36" t="s">
        <v>1243</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128.96700000000001</v>
      </c>
    </row>
    <row r="11" spans="1:210" x14ac:dyDescent="0.25">
      <c r="A11" s="36" t="s">
        <v>1244</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132.26499999999999</v>
      </c>
    </row>
    <row r="12" spans="1:210" x14ac:dyDescent="0.25">
      <c r="A12" s="36" t="s">
        <v>1245</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row>
    <row r="13" spans="1:210" x14ac:dyDescent="0.25">
      <c r="A13" s="36" t="s">
        <v>1246</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791.3</v>
      </c>
    </row>
    <row r="14" spans="1:210" x14ac:dyDescent="0.25">
      <c r="A14" s="36" t="s">
        <v>1247</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row>
    <row r="15" spans="1:210" x14ac:dyDescent="0.25">
      <c r="A15" s="36" t="s">
        <v>1248</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3829.2</v>
      </c>
    </row>
    <row r="16" spans="1:210" x14ac:dyDescent="0.25">
      <c r="A16" s="36" t="s">
        <v>1249</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row>
    <row r="17" spans="1:210" x14ac:dyDescent="0.25">
      <c r="A17" s="36" t="s">
        <v>1250</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3010.7</v>
      </c>
    </row>
    <row r="18" spans="1:210" x14ac:dyDescent="0.25">
      <c r="A18" s="36" t="s">
        <v>1251</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1734.3</v>
      </c>
    </row>
    <row r="19" spans="1:210" x14ac:dyDescent="0.25">
      <c r="A19" s="36" t="s">
        <v>1252</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438.9</v>
      </c>
    </row>
    <row r="20" spans="1:210" x14ac:dyDescent="0.25">
      <c r="A20" s="36" t="s">
        <v>1253</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4200.6000000000004</v>
      </c>
    </row>
    <row r="21" spans="1:210" x14ac:dyDescent="0.25">
      <c r="A21" s="36" t="s">
        <v>1254</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1705</v>
      </c>
    </row>
    <row r="22" spans="1:210" x14ac:dyDescent="0.25">
      <c r="A22" s="36" t="s">
        <v>1255</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120.072</v>
      </c>
    </row>
    <row r="23" spans="1:210" x14ac:dyDescent="0.25">
      <c r="A23" s="36" t="s">
        <v>1256</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1570</v>
      </c>
    </row>
    <row r="24" spans="1:210" x14ac:dyDescent="0.25">
      <c r="A24" s="36" t="s">
        <v>1257</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2630.6</v>
      </c>
    </row>
    <row r="25" spans="1:210" x14ac:dyDescent="0.25">
      <c r="A25" s="36" t="s">
        <v>1258</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1303.8</v>
      </c>
    </row>
    <row r="26" spans="1:210" x14ac:dyDescent="0.25">
      <c r="A26" s="36" t="s">
        <v>1259</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2030.7</v>
      </c>
    </row>
    <row r="27" spans="1:210" x14ac:dyDescent="0.25">
      <c r="A27" s="36" t="s">
        <v>1260</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2339</v>
      </c>
    </row>
    <row r="28" spans="1:210" x14ac:dyDescent="0.25">
      <c r="A28" s="36" t="s">
        <v>1261</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row>
    <row r="29" spans="1:210" x14ac:dyDescent="0.25">
      <c r="A29" s="36" t="s">
        <v>1262</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283.39999999999998</v>
      </c>
    </row>
    <row r="30" spans="1:210" x14ac:dyDescent="0.25">
      <c r="A30" s="36" t="s">
        <v>1263</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1682</v>
      </c>
    </row>
    <row r="31" spans="1:210" x14ac:dyDescent="0.25">
      <c r="A31" s="36" t="s">
        <v>1264</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2880.7</v>
      </c>
    </row>
    <row r="32" spans="1:210" x14ac:dyDescent="0.25">
      <c r="A32" s="36" t="s">
        <v>1265</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row>
    <row r="33" spans="1:210" x14ac:dyDescent="0.25">
      <c r="A33" s="36" t="s">
        <v>1266</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671.7</v>
      </c>
    </row>
    <row r="34" spans="1:210" x14ac:dyDescent="0.25">
      <c r="A34" s="36" t="s">
        <v>1267</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1541.1</v>
      </c>
    </row>
    <row r="35" spans="1:210" x14ac:dyDescent="0.25">
      <c r="A35" s="36" t="s">
        <v>1268</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155.4</v>
      </c>
    </row>
    <row r="36" spans="1:210" x14ac:dyDescent="0.25">
      <c r="A36" s="36" t="s">
        <v>1269</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row>
    <row r="37" spans="1:210" x14ac:dyDescent="0.25">
      <c r="A37" s="36" t="s">
        <v>1270</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948.5</v>
      </c>
    </row>
    <row r="38" spans="1:210" x14ac:dyDescent="0.25">
      <c r="A38" s="36" t="s">
        <v>1271</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3532.3</v>
      </c>
    </row>
    <row r="39" spans="1:210" x14ac:dyDescent="0.25">
      <c r="A39" s="36" t="s">
        <v>1272</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row>
    <row r="40" spans="1:210" x14ac:dyDescent="0.25">
      <c r="A40" s="36" t="s">
        <v>1273</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row>
    <row r="41" spans="1:210" x14ac:dyDescent="0.25">
      <c r="A41" s="36" t="s">
        <v>1274</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row>
    <row r="42" spans="1:210" x14ac:dyDescent="0.25">
      <c r="A42" s="36" t="s">
        <v>1275</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row>
    <row r="43" spans="1:210" x14ac:dyDescent="0.25">
      <c r="A43" s="36" t="s">
        <v>1276</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row>
    <row r="44" spans="1:210" x14ac:dyDescent="0.25">
      <c r="A44" s="36" t="s">
        <v>1277</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row>
    <row r="45" spans="1:210" x14ac:dyDescent="0.25">
      <c r="A45" s="36" t="s">
        <v>1278</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row>
    <row r="46" spans="1:210" x14ac:dyDescent="0.25">
      <c r="A46" s="36" t="s">
        <v>1279</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row>
    <row r="47" spans="1:210" x14ac:dyDescent="0.25">
      <c r="A47" s="36" t="s">
        <v>1280</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row>
    <row r="48" spans="1:210" x14ac:dyDescent="0.25">
      <c r="A48" s="36" t="s">
        <v>1281</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row>
    <row r="49" spans="1:210" x14ac:dyDescent="0.25">
      <c r="A49" s="36" t="s">
        <v>1282</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row>
    <row r="50" spans="1:210" x14ac:dyDescent="0.25">
      <c r="A50" s="36" t="s">
        <v>1283</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row>
    <row r="51" spans="1:210" x14ac:dyDescent="0.25">
      <c r="A51" s="36" t="s">
        <v>1284</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row>
    <row r="52" spans="1:210" x14ac:dyDescent="0.25">
      <c r="A52" s="36" t="s">
        <v>1285</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row>
    <row r="53" spans="1:210" x14ac:dyDescent="0.25">
      <c r="A53" s="36" t="s">
        <v>1286</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row>
    <row r="54" spans="1:210" x14ac:dyDescent="0.25">
      <c r="A54" s="36" t="s">
        <v>1287</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row>
    <row r="55" spans="1:210" x14ac:dyDescent="0.25">
      <c r="A55" s="36" t="s">
        <v>1288</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row>
    <row r="56" spans="1:210" x14ac:dyDescent="0.25">
      <c r="A56" s="36" t="s">
        <v>1289</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row>
    <row r="57" spans="1:210" x14ac:dyDescent="0.25">
      <c r="A57" s="36" t="s">
        <v>1290</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row>
    <row r="58" spans="1:210" x14ac:dyDescent="0.25">
      <c r="A58" s="36" t="s">
        <v>1291</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row>
    <row r="59" spans="1:210" x14ac:dyDescent="0.25">
      <c r="A59" s="36" t="s">
        <v>1292</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row>
    <row r="60" spans="1:210" x14ac:dyDescent="0.25">
      <c r="A60" s="36" t="s">
        <v>1293</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row>
    <row r="61" spans="1:210" x14ac:dyDescent="0.25">
      <c r="A61" s="36" t="s">
        <v>1294</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row>
    <row r="62" spans="1:210" x14ac:dyDescent="0.25">
      <c r="A62" s="36" t="s">
        <v>1295</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row>
    <row r="63" spans="1:210" x14ac:dyDescent="0.25">
      <c r="A63" s="36" t="s">
        <v>1296</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row>
    <row r="64" spans="1:210" x14ac:dyDescent="0.25">
      <c r="A64" s="36" t="s">
        <v>1297</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row>
    <row r="65" spans="1:210" x14ac:dyDescent="0.25">
      <c r="A65" s="36" t="s">
        <v>1298</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row>
    <row r="66" spans="1:210" x14ac:dyDescent="0.25">
      <c r="A66" s="36" t="s">
        <v>1299</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134.93600000000001</v>
      </c>
    </row>
    <row r="67" spans="1:210" x14ac:dyDescent="0.25">
      <c r="A67" s="36" t="s">
        <v>1300</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row>
    <row r="68" spans="1:210" x14ac:dyDescent="0.25">
      <c r="A68" s="36" t="s">
        <v>1301</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row>
    <row r="69" spans="1:210" x14ac:dyDescent="0.25">
      <c r="A69" s="36" t="s">
        <v>1302</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row>
    <row r="70" spans="1:210" x14ac:dyDescent="0.25">
      <c r="A70" s="36" t="s">
        <v>1303</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row>
    <row r="71" spans="1:210" x14ac:dyDescent="0.25">
      <c r="A71" s="36" t="s">
        <v>1304</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row>
    <row r="72" spans="1:210" x14ac:dyDescent="0.25">
      <c r="A72" s="36" t="s">
        <v>1305</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5210.3333333333303</v>
      </c>
    </row>
    <row r="73" spans="1:210" x14ac:dyDescent="0.25">
      <c r="A73" s="36" t="s">
        <v>1306</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14073</v>
      </c>
    </row>
    <row r="74" spans="1:210" x14ac:dyDescent="0.25">
      <c r="A74" s="36" t="s">
        <v>1307</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260300</v>
      </c>
      <c r="GA74" s="36">
        <v>273597.33333333302</v>
      </c>
      <c r="GB74" s="36">
        <v>278438.66666666698</v>
      </c>
      <c r="GC74" s="36">
        <v>269445</v>
      </c>
      <c r="GD74" s="36">
        <v>278949.33333333302</v>
      </c>
      <c r="GE74" s="36">
        <v>274095</v>
      </c>
      <c r="GF74" s="36">
        <v>271667</v>
      </c>
      <c r="GG74" s="36">
        <v>276420.33333333302</v>
      </c>
      <c r="GH74" s="36">
        <v>272574.33333333302</v>
      </c>
      <c r="GI74" s="36">
        <v>274286.33333333302</v>
      </c>
      <c r="GJ74" s="36">
        <v>274862.66666666698</v>
      </c>
      <c r="GK74" s="36">
        <v>280795.33333333302</v>
      </c>
      <c r="GL74" s="36">
        <v>282163</v>
      </c>
      <c r="GM74" s="36">
        <v>291235.66666666698</v>
      </c>
      <c r="GN74" s="36">
        <v>292706.66666666698</v>
      </c>
      <c r="GO74" s="36">
        <v>285420</v>
      </c>
      <c r="GP74" s="36">
        <v>304217</v>
      </c>
      <c r="GQ74" s="36">
        <v>321543</v>
      </c>
      <c r="GR74" s="36">
        <v>322016</v>
      </c>
      <c r="GS74" s="36">
        <v>324071.66666666698</v>
      </c>
      <c r="GT74" s="36">
        <v>341494</v>
      </c>
      <c r="GU74" s="36">
        <v>335548.33333333302</v>
      </c>
      <c r="GV74" s="36">
        <v>323099.33333333302</v>
      </c>
      <c r="GW74" s="36">
        <v>328325</v>
      </c>
      <c r="GX74" s="36">
        <v>322875.33333333302</v>
      </c>
      <c r="GY74" s="36">
        <v>318491.33333333302</v>
      </c>
      <c r="GZ74" s="36">
        <v>321889.66666666698</v>
      </c>
      <c r="HA74" s="36">
        <v>325180.33333333302</v>
      </c>
      <c r="HB74">
        <v>323361.66666666698</v>
      </c>
    </row>
    <row r="75" spans="1:210" x14ac:dyDescent="0.25">
      <c r="A75" s="36" t="s">
        <v>1308</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1.9566310341133E-2</v>
      </c>
    </row>
    <row r="76" spans="1:210" x14ac:dyDescent="0.25">
      <c r="A76" s="36" t="s">
        <v>1309</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1.70306823282322E-2</v>
      </c>
    </row>
    <row r="77" spans="1:210" x14ac:dyDescent="0.25">
      <c r="A77" s="36" t="s">
        <v>1310</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1.82477739914257E-2</v>
      </c>
    </row>
    <row r="78" spans="1:210" x14ac:dyDescent="0.25">
      <c r="A78" s="36" t="s">
        <v>1311</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2.6555404987756499E-2</v>
      </c>
    </row>
    <row r="79" spans="1:210" x14ac:dyDescent="0.25">
      <c r="A79" s="36" t="s">
        <v>1312</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2.5892516227567799E-2</v>
      </c>
    </row>
    <row r="80" spans="1:210" x14ac:dyDescent="0.25">
      <c r="A80" s="36" t="s">
        <v>1313</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2.9708288892867699E-2</v>
      </c>
    </row>
    <row r="81" spans="1:210" x14ac:dyDescent="0.25">
      <c r="A81" s="36" t="s">
        <v>1314</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11096.1</v>
      </c>
    </row>
    <row r="82" spans="1:210" x14ac:dyDescent="0.25">
      <c r="A82" s="36" t="s">
        <v>1315</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1877</v>
      </c>
    </row>
    <row r="83" spans="1:210" x14ac:dyDescent="0.25">
      <c r="A83" s="36" t="s">
        <v>1316</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row>
    <row r="84" spans="1:210" x14ac:dyDescent="0.25">
      <c r="A84" s="36" t="s">
        <v>1317</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3008.6</v>
      </c>
    </row>
    <row r="85" spans="1:210" x14ac:dyDescent="0.25">
      <c r="A85" s="36" t="s">
        <v>1318</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2358.8000000000002</v>
      </c>
    </row>
    <row r="86" spans="1:210" x14ac:dyDescent="0.25">
      <c r="A86" s="36" t="s">
        <v>1319</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c r="GY86" s="36">
        <v>21.4</v>
      </c>
      <c r="GZ86" s="36">
        <v>57</v>
      </c>
      <c r="HA86" s="36">
        <v>35.5</v>
      </c>
      <c r="HB86" s="36">
        <v>0</v>
      </c>
    </row>
    <row r="87" spans="1:210" x14ac:dyDescent="0.25">
      <c r="A87" s="36" t="s">
        <v>1320</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row>
    <row r="88" spans="1:210" x14ac:dyDescent="0.25">
      <c r="A88" s="36" t="s">
        <v>1321</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1199022</v>
      </c>
    </row>
    <row r="89" spans="1:210" x14ac:dyDescent="0.25">
      <c r="A89" s="36" t="s">
        <v>1322</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952</v>
      </c>
      <c r="E2" s="61" t="s">
        <v>1323</v>
      </c>
      <c r="F2" s="61"/>
      <c r="H2" s="62"/>
    </row>
    <row r="3" spans="1:11" x14ac:dyDescent="0.25">
      <c r="B3" s="55" t="s">
        <v>91</v>
      </c>
      <c r="C3" s="55" t="str">
        <f>'Haver Pivoted'!A2</f>
        <v>gdp</v>
      </c>
      <c r="D3">
        <v>24382.7</v>
      </c>
      <c r="E3" s="55">
        <f>'Haver Pivoted'!HB2</f>
        <v>24384.3</v>
      </c>
      <c r="F3" s="55">
        <f>E3-D3</f>
        <v>1.5999999999985448</v>
      </c>
      <c r="G3" s="63">
        <f>F3/D3</f>
        <v>6.5620296357603739E-5</v>
      </c>
      <c r="H3" s="64"/>
    </row>
    <row r="4" spans="1:11" x14ac:dyDescent="0.25">
      <c r="B4" s="55" t="s">
        <v>92</v>
      </c>
      <c r="C4" s="55" t="str">
        <f>'Haver Pivoted'!A3</f>
        <v>gdph</v>
      </c>
      <c r="D4">
        <v>19735.900000000001</v>
      </c>
      <c r="E4" s="55">
        <f>'Haver Pivoted'!HB3</f>
        <v>19731.099999999999</v>
      </c>
      <c r="F4" s="55">
        <f t="shared" ref="F4:F67" si="0">E4-D4</f>
        <v>-4.8000000000029104</v>
      </c>
      <c r="G4" s="63">
        <f t="shared" ref="G4:G67" si="1">F4/D4</f>
        <v>-2.4321160930096473E-4</v>
      </c>
      <c r="H4" s="64"/>
    </row>
    <row r="5" spans="1:11" x14ac:dyDescent="0.25">
      <c r="B5" s="55" t="s">
        <v>93</v>
      </c>
      <c r="C5" s="55" t="str">
        <f>'Haver Pivoted'!A4</f>
        <v>jgdp</v>
      </c>
      <c r="D5">
        <v>123.67700000000001</v>
      </c>
      <c r="E5" s="55">
        <f>'Haver Pivoted'!HB4</f>
        <v>123.705</v>
      </c>
      <c r="F5" s="55">
        <f t="shared" si="0"/>
        <v>2.7999999999991587E-2</v>
      </c>
      <c r="G5" s="63">
        <f t="shared" si="1"/>
        <v>2.2639617713876941E-4</v>
      </c>
      <c r="H5" s="65"/>
    </row>
    <row r="6" spans="1:11" x14ac:dyDescent="0.25">
      <c r="B6" s="55" t="s">
        <v>94</v>
      </c>
      <c r="C6" s="55" t="str">
        <f>'Haver Pivoted'!A5</f>
        <v>c</v>
      </c>
      <c r="D6">
        <v>16705.099999999999</v>
      </c>
      <c r="E6" s="55">
        <f>'Haver Pivoted'!HB5</f>
        <v>16719.7</v>
      </c>
      <c r="F6" s="55">
        <f t="shared" si="0"/>
        <v>14.600000000002183</v>
      </c>
      <c r="G6" s="63">
        <f t="shared" si="1"/>
        <v>8.739845915320581E-4</v>
      </c>
    </row>
    <row r="7" spans="1:11" x14ac:dyDescent="0.25">
      <c r="B7" s="55" t="s">
        <v>95</v>
      </c>
      <c r="C7" s="55" t="str">
        <f>'Haver Pivoted'!A6</f>
        <v>ch</v>
      </c>
      <c r="D7">
        <v>13911.5</v>
      </c>
      <c r="E7" s="55">
        <f>'Haver Pivoted'!HB6</f>
        <v>13924.8</v>
      </c>
      <c r="F7" s="55">
        <f t="shared" si="0"/>
        <v>13.299999999999272</v>
      </c>
      <c r="G7" s="63">
        <f t="shared" si="1"/>
        <v>9.5604356108250528E-4</v>
      </c>
      <c r="K7" s="65"/>
    </row>
    <row r="8" spans="1:11" x14ac:dyDescent="0.25">
      <c r="B8" s="55" t="s">
        <v>96</v>
      </c>
      <c r="C8" s="55" t="str">
        <f>'Haver Pivoted'!A7</f>
        <v>jc</v>
      </c>
      <c r="D8">
        <v>120.101</v>
      </c>
      <c r="E8" s="55">
        <f>'Haver Pivoted'!HB7</f>
        <v>120.092</v>
      </c>
      <c r="F8" s="55">
        <f t="shared" si="0"/>
        <v>-9.0000000000003411E-3</v>
      </c>
      <c r="G8" s="63">
        <f t="shared" si="1"/>
        <v>-7.493692808553086E-5</v>
      </c>
    </row>
    <row r="9" spans="1:11" x14ac:dyDescent="0.25">
      <c r="B9" s="55" t="s">
        <v>97</v>
      </c>
      <c r="C9" s="55" t="str">
        <f>'Haver Pivoted'!A8</f>
        <v>jgf</v>
      </c>
      <c r="D9">
        <v>120.29</v>
      </c>
      <c r="E9" s="55">
        <f>'Haver Pivoted'!HB8</f>
        <v>120.419</v>
      </c>
      <c r="F9" s="55">
        <f t="shared" si="0"/>
        <v>0.12899999999999068</v>
      </c>
      <c r="G9" s="63">
        <f t="shared" si="1"/>
        <v>1.0724083464958905E-3</v>
      </c>
    </row>
    <row r="10" spans="1:11" x14ac:dyDescent="0.25">
      <c r="B10" s="55" t="s">
        <v>98</v>
      </c>
      <c r="C10" s="55" t="str">
        <f>'Haver Pivoted'!A9</f>
        <v>jgs</v>
      </c>
      <c r="D10">
        <v>129.32900000000001</v>
      </c>
      <c r="E10" s="55">
        <f>'Haver Pivoted'!HB9</f>
        <v>129.54</v>
      </c>
      <c r="F10" s="55">
        <f t="shared" si="0"/>
        <v>0.21099999999998431</v>
      </c>
      <c r="G10" s="63">
        <f t="shared" si="1"/>
        <v>1.6314979625604799E-3</v>
      </c>
    </row>
    <row r="11" spans="1:11" x14ac:dyDescent="0.25">
      <c r="B11" s="55" t="s">
        <v>99</v>
      </c>
      <c r="C11" s="55" t="str">
        <f>'Haver Pivoted'!A10</f>
        <v>jgse</v>
      </c>
      <c r="D11">
        <v>128.727</v>
      </c>
      <c r="E11" s="55">
        <f>'Haver Pivoted'!HB10</f>
        <v>128.96700000000001</v>
      </c>
      <c r="F11" s="55">
        <f t="shared" si="0"/>
        <v>0.24000000000000909</v>
      </c>
      <c r="G11" s="63">
        <f t="shared" si="1"/>
        <v>1.86441072968382E-3</v>
      </c>
    </row>
    <row r="12" spans="1:11" x14ac:dyDescent="0.25">
      <c r="B12" s="55" t="s">
        <v>100</v>
      </c>
      <c r="C12" s="55" t="str">
        <f>'Haver Pivoted'!A11</f>
        <v>jgsi</v>
      </c>
      <c r="D12">
        <v>132.19900000000001</v>
      </c>
      <c r="E12" s="55">
        <f>'Haver Pivoted'!HB11</f>
        <v>132.26499999999999</v>
      </c>
      <c r="F12" s="55">
        <f t="shared" si="0"/>
        <v>6.5999999999974079E-2</v>
      </c>
      <c r="G12" s="63">
        <f t="shared" si="1"/>
        <v>4.9924734680272973E-4</v>
      </c>
    </row>
    <row r="13" spans="1:11" x14ac:dyDescent="0.25">
      <c r="A13" s="55" t="s">
        <v>55</v>
      </c>
      <c r="B13" s="55" t="s">
        <v>55</v>
      </c>
      <c r="C13" s="55" t="str">
        <f>'Haver Pivoted'!A12</f>
        <v>yptmr</v>
      </c>
      <c r="D13">
        <v>875</v>
      </c>
      <c r="E13" s="55">
        <f>'Haver Pivoted'!HB12</f>
        <v>862.1</v>
      </c>
      <c r="F13" s="55">
        <f t="shared" si="0"/>
        <v>-12.899999999999977</v>
      </c>
      <c r="G13" s="63">
        <f t="shared" si="1"/>
        <v>-1.4742857142857117E-2</v>
      </c>
      <c r="I13" s="66"/>
    </row>
    <row r="14" spans="1:11" x14ac:dyDescent="0.25">
      <c r="A14" s="55" t="s">
        <v>54</v>
      </c>
      <c r="B14" s="55" t="s">
        <v>101</v>
      </c>
      <c r="C14" s="55" t="str">
        <f>'Haver Pivoted'!A13</f>
        <v>yptmd</v>
      </c>
      <c r="D14">
        <v>810.4</v>
      </c>
      <c r="E14" s="55">
        <f>'Haver Pivoted'!HB13</f>
        <v>791.3</v>
      </c>
      <c r="F14" s="55">
        <f t="shared" si="0"/>
        <v>-19.100000000000023</v>
      </c>
      <c r="G14" s="63">
        <f t="shared" si="1"/>
        <v>-2.3568608094768045E-2</v>
      </c>
    </row>
    <row r="15" spans="1:11" x14ac:dyDescent="0.25">
      <c r="A15" s="55" t="s">
        <v>53</v>
      </c>
      <c r="B15" s="55" t="s">
        <v>102</v>
      </c>
      <c r="C15" s="55" t="str">
        <f>'Haver Pivoted'!A14</f>
        <v>yptu</v>
      </c>
      <c r="D15">
        <v>25.1</v>
      </c>
      <c r="E15" s="55">
        <f>'Haver Pivoted'!HB14</f>
        <v>25.1</v>
      </c>
      <c r="F15" s="55">
        <f t="shared" si="0"/>
        <v>0</v>
      </c>
      <c r="G15" s="63">
        <f t="shared" si="1"/>
        <v>0</v>
      </c>
    </row>
    <row r="16" spans="1:11" x14ac:dyDescent="0.25">
      <c r="B16" s="55" t="s">
        <v>57</v>
      </c>
      <c r="C16" s="55" t="str">
        <f>'Haver Pivoted'!A15</f>
        <v>gtfp</v>
      </c>
      <c r="D16">
        <v>3856.7</v>
      </c>
      <c r="E16" s="55">
        <f>'Haver Pivoted'!HB15</f>
        <v>3829.2</v>
      </c>
      <c r="F16" s="55">
        <f t="shared" si="0"/>
        <v>-27.5</v>
      </c>
      <c r="G16" s="63">
        <f t="shared" si="1"/>
        <v>-7.1304483107319733E-3</v>
      </c>
    </row>
    <row r="17" spans="1:7" x14ac:dyDescent="0.25">
      <c r="B17" s="55" t="s">
        <v>103</v>
      </c>
      <c r="C17" s="55" t="str">
        <f>'Haver Pivoted'!A16</f>
        <v>ypog</v>
      </c>
      <c r="D17">
        <v>118.2</v>
      </c>
      <c r="E17" s="55">
        <f>'Haver Pivoted'!HB16</f>
        <v>118.2</v>
      </c>
      <c r="F17" s="55">
        <f t="shared" si="0"/>
        <v>0</v>
      </c>
      <c r="G17" s="63">
        <f t="shared" si="1"/>
        <v>0</v>
      </c>
    </row>
    <row r="18" spans="1:7" x14ac:dyDescent="0.25">
      <c r="B18" s="55" t="s">
        <v>104</v>
      </c>
      <c r="C18" s="55" t="str">
        <f>'Haver Pivoted'!A17</f>
        <v>yptx</v>
      </c>
      <c r="D18">
        <v>2796.2</v>
      </c>
      <c r="E18" s="55">
        <f>'Haver Pivoted'!HB17</f>
        <v>3010.7</v>
      </c>
      <c r="F18" s="55">
        <f t="shared" si="0"/>
        <v>214.5</v>
      </c>
      <c r="G18" s="63">
        <f t="shared" si="1"/>
        <v>7.6711250983477586E-2</v>
      </c>
    </row>
    <row r="19" spans="1:7" x14ac:dyDescent="0.25">
      <c r="B19" s="55" t="s">
        <v>105</v>
      </c>
      <c r="C19" s="55" t="str">
        <f>'Haver Pivoted'!A18</f>
        <v>ytpi</v>
      </c>
      <c r="D19">
        <v>1734.1</v>
      </c>
      <c r="E19" s="55">
        <f>'Haver Pivoted'!HB18</f>
        <v>1734.3</v>
      </c>
      <c r="F19" s="55">
        <f t="shared" si="0"/>
        <v>0.20000000000004547</v>
      </c>
      <c r="G19" s="63">
        <f t="shared" si="1"/>
        <v>1.153336024450986E-4</v>
      </c>
    </row>
    <row r="20" spans="1:7" x14ac:dyDescent="0.25">
      <c r="B20" s="55" t="s">
        <v>106</v>
      </c>
      <c r="C20" s="55" t="str">
        <f>'Haver Pivoted'!A19</f>
        <v>yctlg</v>
      </c>
      <c r="D20">
        <v>0</v>
      </c>
      <c r="E20" s="55">
        <f>'Haver Pivoted'!HB19</f>
        <v>438.9</v>
      </c>
      <c r="F20" s="55">
        <f t="shared" si="0"/>
        <v>438.9</v>
      </c>
      <c r="G20" s="63" t="e">
        <f t="shared" si="1"/>
        <v>#DIV/0!</v>
      </c>
    </row>
    <row r="21" spans="1:7" x14ac:dyDescent="0.25">
      <c r="B21" s="55" t="s">
        <v>107</v>
      </c>
      <c r="C21" s="55" t="str">
        <f>'Haver Pivoted'!A20</f>
        <v>g</v>
      </c>
      <c r="D21">
        <v>4194.3999999999996</v>
      </c>
      <c r="E21" s="55">
        <f>'Haver Pivoted'!HB20</f>
        <v>4200.6000000000004</v>
      </c>
      <c r="F21" s="55">
        <f t="shared" si="0"/>
        <v>6.2000000000007276</v>
      </c>
      <c r="G21" s="63">
        <f t="shared" si="1"/>
        <v>1.478161358001318E-3</v>
      </c>
    </row>
    <row r="22" spans="1:7" x14ac:dyDescent="0.25">
      <c r="B22" s="55" t="s">
        <v>108</v>
      </c>
      <c r="C22" s="55" t="str">
        <f>'Haver Pivoted'!A21</f>
        <v>grcsi</v>
      </c>
      <c r="D22">
        <v>1692.6</v>
      </c>
      <c r="E22" s="55">
        <f>'Haver Pivoted'!HB21</f>
        <v>1705</v>
      </c>
      <c r="F22" s="55">
        <f t="shared" si="0"/>
        <v>12.400000000000091</v>
      </c>
      <c r="G22" s="63">
        <f t="shared" si="1"/>
        <v>7.3260073260073798E-3</v>
      </c>
    </row>
    <row r="23" spans="1:7" x14ac:dyDescent="0.25">
      <c r="B23" s="55" t="s">
        <v>96</v>
      </c>
      <c r="C23" s="55" t="str">
        <f>'Haver Pivoted'!A22</f>
        <v>dc</v>
      </c>
      <c r="D23">
        <v>120.081</v>
      </c>
      <c r="E23" s="55">
        <f>'Haver Pivoted'!HB22</f>
        <v>120.072</v>
      </c>
      <c r="F23" s="55">
        <f t="shared" si="0"/>
        <v>-9.0000000000003411E-3</v>
      </c>
      <c r="G23" s="63">
        <f t="shared" si="1"/>
        <v>-7.4949409148827384E-5</v>
      </c>
    </row>
    <row r="24" spans="1:7" x14ac:dyDescent="0.25">
      <c r="A24" s="55" t="s">
        <v>109</v>
      </c>
      <c r="B24" s="55" t="s">
        <v>110</v>
      </c>
      <c r="C24" s="55" t="str">
        <f>'Haver Pivoted'!A23</f>
        <v>gf</v>
      </c>
      <c r="D24">
        <v>1568.9</v>
      </c>
      <c r="E24" s="55">
        <f>'Haver Pivoted'!HB23</f>
        <v>1570</v>
      </c>
      <c r="F24" s="55">
        <f t="shared" si="0"/>
        <v>1.0999999999999091</v>
      </c>
      <c r="G24" s="63">
        <f t="shared" si="1"/>
        <v>7.0112817897884441E-4</v>
      </c>
    </row>
    <row r="25" spans="1:7" x14ac:dyDescent="0.25">
      <c r="A25" s="55" t="s">
        <v>109</v>
      </c>
      <c r="B25" s="55" t="s">
        <v>111</v>
      </c>
      <c r="C25" s="55" t="str">
        <f>'Haver Pivoted'!A24</f>
        <v>gs</v>
      </c>
      <c r="D25">
        <v>2625.5</v>
      </c>
      <c r="E25" s="55">
        <f>'Haver Pivoted'!HB24</f>
        <v>2630.6</v>
      </c>
      <c r="F25" s="55">
        <f t="shared" si="0"/>
        <v>5.0999999999999091</v>
      </c>
      <c r="G25" s="63">
        <f t="shared" si="1"/>
        <v>1.9424871453056214E-3</v>
      </c>
    </row>
    <row r="26" spans="1:7" x14ac:dyDescent="0.25">
      <c r="B26" s="55" t="s">
        <v>112</v>
      </c>
      <c r="C26" s="55" t="str">
        <f>'Haver Pivoted'!A25</f>
        <v>gfh</v>
      </c>
      <c r="D26">
        <v>1304.3</v>
      </c>
      <c r="E26" s="55">
        <f>'Haver Pivoted'!HB25</f>
        <v>1303.8</v>
      </c>
      <c r="F26" s="55">
        <f t="shared" si="0"/>
        <v>-0.5</v>
      </c>
      <c r="G26" s="63">
        <f t="shared" si="1"/>
        <v>-3.8334738940427816E-4</v>
      </c>
    </row>
    <row r="27" spans="1:7" x14ac:dyDescent="0.25">
      <c r="B27" s="55" t="s">
        <v>113</v>
      </c>
      <c r="C27" s="55" t="str">
        <f>'Haver Pivoted'!A26</f>
        <v>gsh</v>
      </c>
      <c r="D27">
        <v>2030.1</v>
      </c>
      <c r="E27" s="55">
        <f>'Haver Pivoted'!HB26</f>
        <v>2030.7</v>
      </c>
      <c r="F27" s="55">
        <f t="shared" si="0"/>
        <v>0.60000000000013642</v>
      </c>
      <c r="G27" s="63">
        <f t="shared" si="1"/>
        <v>2.955519432540941E-4</v>
      </c>
    </row>
    <row r="28" spans="1:7" x14ac:dyDescent="0.25">
      <c r="A28" s="55" t="s">
        <v>58</v>
      </c>
      <c r="B28" s="55" t="s">
        <v>114</v>
      </c>
      <c r="C28" s="55" t="s">
        <v>115</v>
      </c>
      <c r="D28">
        <v>2130.9</v>
      </c>
      <c r="E28" s="55">
        <f>'Haver Pivoted'!HB27</f>
        <v>2339</v>
      </c>
      <c r="F28" s="55">
        <f t="shared" si="0"/>
        <v>208.09999999999991</v>
      </c>
      <c r="G28" s="63">
        <f t="shared" si="1"/>
        <v>9.7658266460181095E-2</v>
      </c>
    </row>
    <row r="29" spans="1:7" x14ac:dyDescent="0.25">
      <c r="A29" s="55" t="s">
        <v>58</v>
      </c>
      <c r="B29" s="55" t="s">
        <v>116</v>
      </c>
      <c r="C29" s="55" t="s">
        <v>117</v>
      </c>
      <c r="D29">
        <v>193.2</v>
      </c>
      <c r="E29" s="55">
        <f>'Haver Pivoted'!HB28</f>
        <v>193.2</v>
      </c>
      <c r="F29" s="55">
        <f t="shared" si="0"/>
        <v>0</v>
      </c>
      <c r="G29" s="63">
        <f t="shared" si="1"/>
        <v>0</v>
      </c>
    </row>
    <row r="30" spans="1:7" x14ac:dyDescent="0.25">
      <c r="A30" s="55" t="s">
        <v>58</v>
      </c>
      <c r="B30" s="55" t="s">
        <v>118</v>
      </c>
      <c r="C30" s="55" t="s">
        <v>119</v>
      </c>
      <c r="D30">
        <v>0</v>
      </c>
      <c r="E30" s="55">
        <f>'Haver Pivoted'!HB29</f>
        <v>283.39999999999998</v>
      </c>
      <c r="F30" s="55">
        <f t="shared" si="0"/>
        <v>283.39999999999998</v>
      </c>
      <c r="G30" s="63" t="e">
        <f t="shared" si="1"/>
        <v>#DIV/0!</v>
      </c>
    </row>
    <row r="31" spans="1:7" x14ac:dyDescent="0.25">
      <c r="A31" s="55" t="s">
        <v>58</v>
      </c>
      <c r="B31" s="55" t="s">
        <v>120</v>
      </c>
      <c r="C31" s="55" t="s">
        <v>121</v>
      </c>
      <c r="D31">
        <v>1669.7</v>
      </c>
      <c r="E31" s="55">
        <f>'Haver Pivoted'!HB30</f>
        <v>1682</v>
      </c>
      <c r="F31" s="55">
        <f t="shared" si="0"/>
        <v>12.299999999999955</v>
      </c>
      <c r="G31" s="63">
        <f t="shared" si="1"/>
        <v>7.3665928011019668E-3</v>
      </c>
    </row>
    <row r="32" spans="1:7" x14ac:dyDescent="0.25">
      <c r="A32" s="55" t="s">
        <v>122</v>
      </c>
      <c r="B32" s="55" t="s">
        <v>123</v>
      </c>
      <c r="C32" s="55" t="str">
        <f>'Haver Pivoted'!A31</f>
        <v>gftfp</v>
      </c>
      <c r="D32">
        <v>2889.1</v>
      </c>
      <c r="E32" s="55">
        <f>'Haver Pivoted'!HB31</f>
        <v>2880.7</v>
      </c>
      <c r="F32" s="55">
        <f t="shared" si="0"/>
        <v>-8.4000000000000909</v>
      </c>
      <c r="G32" s="63">
        <f t="shared" si="1"/>
        <v>-2.9074798380118692E-3</v>
      </c>
    </row>
    <row r="33" spans="1:10" x14ac:dyDescent="0.25">
      <c r="A33" s="55" t="s">
        <v>51</v>
      </c>
      <c r="B33" s="54" t="s">
        <v>124</v>
      </c>
      <c r="C33" s="55" t="str">
        <f>'Haver Pivoted'!A32</f>
        <v>gfeg</v>
      </c>
      <c r="D33">
        <v>916.3</v>
      </c>
      <c r="E33" s="55">
        <f>'Haver Pivoted'!HB32</f>
        <v>916.3</v>
      </c>
      <c r="F33" s="55">
        <f t="shared" si="0"/>
        <v>0</v>
      </c>
      <c r="G33" s="63">
        <f t="shared" si="1"/>
        <v>0</v>
      </c>
    </row>
    <row r="34" spans="1:10" x14ac:dyDescent="0.25">
      <c r="A34" s="55" t="s">
        <v>58</v>
      </c>
      <c r="B34" s="55" t="s">
        <v>125</v>
      </c>
      <c r="C34" s="55" t="str">
        <f>'Haver Pivoted'!A33</f>
        <v>gsrpt</v>
      </c>
      <c r="D34">
        <v>665.3</v>
      </c>
      <c r="E34" s="55">
        <f>'Haver Pivoted'!HB33</f>
        <v>671.7</v>
      </c>
      <c r="F34" s="55">
        <f t="shared" si="0"/>
        <v>6.4000000000000909</v>
      </c>
      <c r="G34" s="63">
        <f t="shared" si="1"/>
        <v>9.6197204268752314E-3</v>
      </c>
    </row>
    <row r="35" spans="1:10" x14ac:dyDescent="0.25">
      <c r="A35" s="55" t="s">
        <v>58</v>
      </c>
      <c r="B35" s="55" t="s">
        <v>126</v>
      </c>
      <c r="C35" s="55" t="str">
        <f>'Haver Pivoted'!A34</f>
        <v>gsrpri</v>
      </c>
      <c r="D35">
        <v>1540.9</v>
      </c>
      <c r="E35" s="55">
        <f>'Haver Pivoted'!HB34</f>
        <v>1541.1</v>
      </c>
      <c r="F35" s="55">
        <f t="shared" si="0"/>
        <v>0.1999999999998181</v>
      </c>
      <c r="G35" s="63">
        <f t="shared" si="1"/>
        <v>1.2979427607230716E-4</v>
      </c>
    </row>
    <row r="36" spans="1:10" x14ac:dyDescent="0.25">
      <c r="A36" s="55" t="s">
        <v>58</v>
      </c>
      <c r="B36" s="55" t="s">
        <v>127</v>
      </c>
      <c r="C36" s="55" t="str">
        <f>'Haver Pivoted'!A35</f>
        <v>gsrcp</v>
      </c>
      <c r="D36">
        <v>0</v>
      </c>
      <c r="E36" s="55">
        <f>'Haver Pivoted'!HB35</f>
        <v>155.4</v>
      </c>
      <c r="F36" s="55">
        <f t="shared" si="0"/>
        <v>155.4</v>
      </c>
      <c r="G36" s="63" t="e">
        <f t="shared" si="1"/>
        <v>#DIV/0!</v>
      </c>
    </row>
    <row r="37" spans="1:10" x14ac:dyDescent="0.25">
      <c r="A37" s="55" t="s">
        <v>58</v>
      </c>
      <c r="B37" s="55" t="s">
        <v>128</v>
      </c>
      <c r="C37" s="55" t="str">
        <f>'Haver Pivoted'!A36</f>
        <v>gsrs</v>
      </c>
      <c r="D37">
        <v>22.9</v>
      </c>
      <c r="E37" s="55">
        <f>'Haver Pivoted'!HB36</f>
        <v>22.9</v>
      </c>
      <c r="F37" s="55">
        <f t="shared" si="0"/>
        <v>0</v>
      </c>
      <c r="G37" s="63">
        <f t="shared" si="1"/>
        <v>0</v>
      </c>
    </row>
    <row r="38" spans="1:10" x14ac:dyDescent="0.25">
      <c r="A38" s="55" t="s">
        <v>57</v>
      </c>
      <c r="B38" s="55" t="s">
        <v>129</v>
      </c>
      <c r="C38" s="55" t="str">
        <f>'Haver Pivoted'!A37</f>
        <v>gstfp</v>
      </c>
      <c r="D38">
        <v>967.6</v>
      </c>
      <c r="E38" s="55">
        <f>'Haver Pivoted'!HB37</f>
        <v>948.5</v>
      </c>
      <c r="F38" s="55">
        <f t="shared" si="0"/>
        <v>-19.100000000000023</v>
      </c>
      <c r="G38" s="63">
        <f t="shared" si="1"/>
        <v>-1.9739561802397707E-2</v>
      </c>
    </row>
    <row r="39" spans="1:10" x14ac:dyDescent="0.25">
      <c r="B39" s="55" t="s">
        <v>130</v>
      </c>
      <c r="C39" s="55" t="str">
        <f>'Haver Pivoted'!A38</f>
        <v>gset</v>
      </c>
      <c r="D39">
        <v>3546.5</v>
      </c>
      <c r="E39" s="55">
        <f>'Haver Pivoted'!HB38</f>
        <v>3532.3</v>
      </c>
      <c r="F39" s="55">
        <f t="shared" si="0"/>
        <v>-14.199999999999818</v>
      </c>
      <c r="G39" s="63">
        <f t="shared" si="1"/>
        <v>-4.0039475539263552E-3</v>
      </c>
    </row>
    <row r="40" spans="1:10" x14ac:dyDescent="0.25">
      <c r="B40" s="55" t="s">
        <v>131</v>
      </c>
      <c r="C40" s="55" t="str">
        <f>'Haver Pivoted'!A39</f>
        <v>gfeghhx</v>
      </c>
      <c r="D40">
        <v>623.37099999999998</v>
      </c>
      <c r="E40" s="55">
        <f>'Haver Pivoted'!HB39</f>
        <v>623.37099999999998</v>
      </c>
      <c r="F40" s="55">
        <f t="shared" si="0"/>
        <v>0</v>
      </c>
      <c r="G40" s="63">
        <f t="shared" si="1"/>
        <v>0</v>
      </c>
    </row>
    <row r="41" spans="1:10" x14ac:dyDescent="0.25">
      <c r="A41" s="55" t="s">
        <v>132</v>
      </c>
      <c r="B41" s="55" t="s">
        <v>133</v>
      </c>
      <c r="C41" s="55" t="str">
        <f>'Haver Pivoted'!A40</f>
        <v>gfeghdx</v>
      </c>
      <c r="D41">
        <v>578.14700000000005</v>
      </c>
      <c r="E41" s="55">
        <f>'Haver Pivoted'!HB40</f>
        <v>578.14700000000005</v>
      </c>
      <c r="F41" s="55">
        <f t="shared" si="0"/>
        <v>0</v>
      </c>
      <c r="G41" s="63">
        <f t="shared" si="1"/>
        <v>0</v>
      </c>
    </row>
    <row r="42" spans="1:10" x14ac:dyDescent="0.25">
      <c r="A42" s="55" t="s">
        <v>51</v>
      </c>
      <c r="B42" s="55" t="s">
        <v>134</v>
      </c>
      <c r="C42" s="55" t="str">
        <f>'Haver Pivoted'!A41</f>
        <v>gfeigx</v>
      </c>
      <c r="D42">
        <v>76.546000000000006</v>
      </c>
      <c r="E42" s="55">
        <f>'Haver Pivoted'!HB41</f>
        <v>76.48</v>
      </c>
      <c r="F42" s="55">
        <f t="shared" si="0"/>
        <v>-6.6000000000002501E-2</v>
      </c>
      <c r="G42" s="63">
        <f t="shared" si="1"/>
        <v>-8.6222663496462906E-4</v>
      </c>
    </row>
    <row r="43" spans="1:10" x14ac:dyDescent="0.25">
      <c r="B43" s="55" t="s">
        <v>135</v>
      </c>
      <c r="C43" s="55" t="str">
        <f>'Haver Pivoted'!A42</f>
        <v>gfsub</v>
      </c>
      <c r="D43">
        <v>146.4</v>
      </c>
      <c r="E43" s="55">
        <f>'Haver Pivoted'!HB42</f>
        <v>149.4</v>
      </c>
      <c r="F43" s="55">
        <f t="shared" si="0"/>
        <v>3</v>
      </c>
      <c r="G43" s="63">
        <f t="shared" si="1"/>
        <v>2.0491803278688523E-2</v>
      </c>
      <c r="I43" s="67"/>
      <c r="J43" s="64"/>
    </row>
    <row r="44" spans="1:10" x14ac:dyDescent="0.25">
      <c r="B44" s="55" t="s">
        <v>136</v>
      </c>
      <c r="C44" s="55" t="str">
        <f>'Haver Pivoted'!A43</f>
        <v>gssub</v>
      </c>
      <c r="D44">
        <v>0.7</v>
      </c>
      <c r="E44" s="55">
        <f>'Haver Pivoted'!HB43</f>
        <v>0.7</v>
      </c>
      <c r="F44" s="55">
        <f t="shared" si="0"/>
        <v>0</v>
      </c>
      <c r="G44" s="63">
        <f t="shared" si="1"/>
        <v>0</v>
      </c>
      <c r="I44" s="56"/>
      <c r="J44" s="64"/>
    </row>
    <row r="45" spans="1:10" x14ac:dyDescent="0.25">
      <c r="B45" s="55" t="s">
        <v>52</v>
      </c>
      <c r="C45" s="55" t="str">
        <f>'Haver Pivoted'!A44</f>
        <v>gsub</v>
      </c>
      <c r="D45">
        <v>147</v>
      </c>
      <c r="E45" s="55">
        <f>'Haver Pivoted'!HB44</f>
        <v>150.1</v>
      </c>
      <c r="F45" s="55">
        <f t="shared" si="0"/>
        <v>3.0999999999999943</v>
      </c>
      <c r="G45" s="63">
        <f t="shared" si="1"/>
        <v>2.108843537414962E-2</v>
      </c>
      <c r="I45" s="56"/>
      <c r="J45" s="65"/>
    </row>
    <row r="46" spans="1:10" x14ac:dyDescent="0.25">
      <c r="A46" s="55" t="s">
        <v>56</v>
      </c>
      <c r="B46" s="55" t="s">
        <v>56</v>
      </c>
      <c r="C46" s="55" t="str">
        <f>'Haver Pivoted'!A45</f>
        <v>gftfpe</v>
      </c>
      <c r="D46">
        <v>0</v>
      </c>
      <c r="E46" s="55">
        <f>'Haver Pivoted'!HB45</f>
        <v>0</v>
      </c>
      <c r="F46" s="55">
        <f t="shared" si="0"/>
        <v>0</v>
      </c>
      <c r="G46" s="63" t="e">
        <f t="shared" si="1"/>
        <v>#DIV/0!</v>
      </c>
      <c r="I46" s="56"/>
      <c r="J46" s="65"/>
    </row>
    <row r="47" spans="1:10" x14ac:dyDescent="0.25">
      <c r="B47" s="55" t="s">
        <v>137</v>
      </c>
      <c r="C47" s="55" t="str">
        <f>'Haver Pivoted'!A46</f>
        <v>gftfpr</v>
      </c>
      <c r="D47">
        <v>15</v>
      </c>
      <c r="E47" s="55">
        <f>'Haver Pivoted'!HB46</f>
        <v>14.8</v>
      </c>
      <c r="F47" s="55">
        <f t="shared" si="0"/>
        <v>-0.19999999999999929</v>
      </c>
      <c r="G47" s="63">
        <f t="shared" si="1"/>
        <v>-1.3333333333333286E-2</v>
      </c>
      <c r="I47" s="56"/>
      <c r="J47" s="65"/>
    </row>
    <row r="48" spans="1:10" x14ac:dyDescent="0.25">
      <c r="A48" s="55" t="s">
        <v>50</v>
      </c>
      <c r="B48" s="55" t="s">
        <v>138</v>
      </c>
      <c r="C48" s="55" t="str">
        <f>'Haver Pivoted'!A47</f>
        <v>gftfpp</v>
      </c>
      <c r="D48">
        <v>0</v>
      </c>
      <c r="E48" s="55">
        <f>'Haver Pivoted'!HB47</f>
        <v>0</v>
      </c>
      <c r="F48" s="55">
        <f t="shared" si="0"/>
        <v>0</v>
      </c>
      <c r="G48" s="63" t="e">
        <f t="shared" si="1"/>
        <v>#DIV/0!</v>
      </c>
      <c r="J48" s="65"/>
    </row>
    <row r="49" spans="1:9" x14ac:dyDescent="0.25">
      <c r="A49" s="55" t="s">
        <v>49</v>
      </c>
      <c r="B49" s="55" t="s">
        <v>139</v>
      </c>
      <c r="C49" s="55" t="str">
        <f>'Haver Pivoted'!A48</f>
        <v>gftfpv</v>
      </c>
      <c r="D49">
        <v>53.7</v>
      </c>
      <c r="E49" s="55">
        <f>'Haver Pivoted'!HB48</f>
        <v>53.7</v>
      </c>
      <c r="F49" s="55">
        <f t="shared" si="0"/>
        <v>0</v>
      </c>
      <c r="G49" s="63">
        <f t="shared" si="1"/>
        <v>0</v>
      </c>
      <c r="H49" s="57"/>
      <c r="I49" s="57"/>
    </row>
    <row r="50" spans="1:9" x14ac:dyDescent="0.25">
      <c r="A50" s="55" t="s">
        <v>140</v>
      </c>
      <c r="B50" s="52" t="s">
        <v>141</v>
      </c>
      <c r="C50" s="55" t="str">
        <f>'Haver Pivoted'!A49</f>
        <v>gfsubp</v>
      </c>
      <c r="D50">
        <v>0</v>
      </c>
      <c r="E50" s="55">
        <f>'Haver Pivoted'!HB49</f>
        <v>0</v>
      </c>
      <c r="F50" s="55">
        <f t="shared" si="0"/>
        <v>0</v>
      </c>
      <c r="G50" s="63" t="e">
        <f t="shared" si="1"/>
        <v>#DIV/0!</v>
      </c>
      <c r="H50" s="70"/>
      <c r="I50" s="71"/>
    </row>
    <row r="51" spans="1:9" x14ac:dyDescent="0.25">
      <c r="A51" s="55" t="s">
        <v>52</v>
      </c>
      <c r="B51" s="52" t="s">
        <v>142</v>
      </c>
      <c r="C51" s="55" t="str">
        <f>'Haver Pivoted'!A50</f>
        <v>gfsubg</v>
      </c>
      <c r="D51">
        <v>0.3</v>
      </c>
      <c r="E51" s="55">
        <f>'Haver Pivoted'!HB50</f>
        <v>0.3</v>
      </c>
      <c r="F51" s="55">
        <f t="shared" si="0"/>
        <v>0</v>
      </c>
      <c r="G51" s="63">
        <f t="shared" si="1"/>
        <v>0</v>
      </c>
      <c r="H51" s="69"/>
      <c r="I51" s="68"/>
    </row>
    <row r="52" spans="1:9" x14ac:dyDescent="0.25">
      <c r="A52" s="55" t="s">
        <v>52</v>
      </c>
      <c r="B52" s="52" t="s">
        <v>143</v>
      </c>
      <c r="C52" s="55" t="str">
        <f>'Haver Pivoted'!A51</f>
        <v>gfsube</v>
      </c>
      <c r="D52">
        <v>0</v>
      </c>
      <c r="E52" s="55">
        <f>'Haver Pivoted'!HB51</f>
        <v>0</v>
      </c>
      <c r="F52" s="55">
        <f t="shared" si="0"/>
        <v>0</v>
      </c>
      <c r="G52" s="63" t="e">
        <f t="shared" si="1"/>
        <v>#DIV/0!</v>
      </c>
      <c r="H52" s="51"/>
      <c r="I52" s="71"/>
    </row>
    <row r="53" spans="1:9" x14ac:dyDescent="0.25">
      <c r="A53" s="55" t="s">
        <v>52</v>
      </c>
      <c r="B53" s="52" t="s">
        <v>144</v>
      </c>
      <c r="C53" s="55" t="str">
        <f>'Haver Pivoted'!A52</f>
        <v>gfsubs</v>
      </c>
      <c r="D53">
        <v>19.5</v>
      </c>
      <c r="E53" s="55">
        <f>'Haver Pivoted'!HB52</f>
        <v>18.600000000000001</v>
      </c>
      <c r="F53" s="55">
        <f t="shared" si="0"/>
        <v>-0.89999999999999858</v>
      </c>
      <c r="G53" s="63">
        <f t="shared" si="1"/>
        <v>-4.615384615384608E-2</v>
      </c>
      <c r="H53" s="51"/>
      <c r="I53" s="71"/>
    </row>
    <row r="54" spans="1:9" x14ac:dyDescent="0.25">
      <c r="A54" s="55" t="s">
        <v>52</v>
      </c>
      <c r="B54" s="52" t="s">
        <v>145</v>
      </c>
      <c r="C54" s="55" t="str">
        <f>'Haver Pivoted'!A53</f>
        <v>gfsubf</v>
      </c>
      <c r="D54">
        <v>0.6</v>
      </c>
      <c r="E54" s="55">
        <f>'Haver Pivoted'!HB53</f>
        <v>0.6</v>
      </c>
      <c r="F54" s="55">
        <f t="shared" si="0"/>
        <v>0</v>
      </c>
      <c r="G54" s="63">
        <f t="shared" si="1"/>
        <v>0</v>
      </c>
      <c r="H54" s="70"/>
      <c r="I54" s="71"/>
    </row>
    <row r="55" spans="1:9" x14ac:dyDescent="0.25">
      <c r="A55" s="55" t="s">
        <v>146</v>
      </c>
      <c r="B55" s="52" t="s">
        <v>147</v>
      </c>
      <c r="C55" s="55" t="str">
        <f>'Haver Pivoted'!A54</f>
        <v>gfsubv</v>
      </c>
      <c r="D55">
        <v>32.200000000000003</v>
      </c>
      <c r="E55" s="55">
        <f>'Haver Pivoted'!HB54</f>
        <v>32.200000000000003</v>
      </c>
      <c r="F55" s="55">
        <f t="shared" si="0"/>
        <v>0</v>
      </c>
      <c r="G55" s="63">
        <f t="shared" si="1"/>
        <v>0</v>
      </c>
    </row>
    <row r="56" spans="1:9" x14ac:dyDescent="0.25">
      <c r="A56" s="55" t="s">
        <v>52</v>
      </c>
      <c r="B56" s="52" t="s">
        <v>148</v>
      </c>
      <c r="C56" s="55" t="str">
        <f>'Haver Pivoted'!A55</f>
        <v>gfsubk</v>
      </c>
      <c r="D56">
        <v>0</v>
      </c>
      <c r="E56" s="55">
        <f>'Haver Pivoted'!HB55</f>
        <v>0</v>
      </c>
      <c r="F56" s="55">
        <f t="shared" si="0"/>
        <v>0</v>
      </c>
      <c r="G56" s="63" t="e">
        <f t="shared" si="1"/>
        <v>#DIV/0!</v>
      </c>
      <c r="H56" s="70"/>
      <c r="I56" s="71"/>
    </row>
    <row r="57" spans="1:9" x14ac:dyDescent="0.25">
      <c r="A57" s="55" t="s">
        <v>51</v>
      </c>
      <c r="B57" s="54" t="s">
        <v>149</v>
      </c>
      <c r="C57" s="55" t="str">
        <f>'Haver Pivoted'!A56</f>
        <v>gfegc</v>
      </c>
      <c r="D57">
        <v>0.6</v>
      </c>
      <c r="E57" s="55">
        <f>'Haver Pivoted'!HB56</f>
        <v>0.6</v>
      </c>
      <c r="F57" s="55">
        <f t="shared" si="0"/>
        <v>0</v>
      </c>
      <c r="G57" s="63"/>
      <c r="H57" s="70"/>
      <c r="I57" s="71"/>
    </row>
    <row r="58" spans="1:9" x14ac:dyDescent="0.25">
      <c r="A58" s="55" t="s">
        <v>51</v>
      </c>
      <c r="B58" s="54" t="s">
        <v>150</v>
      </c>
      <c r="C58" s="55" t="str">
        <f>'Haver Pivoted'!A57</f>
        <v>gfege</v>
      </c>
      <c r="D58">
        <v>72.400000000000006</v>
      </c>
      <c r="E58" s="55">
        <f>'Haver Pivoted'!HB57</f>
        <v>72.400000000000006</v>
      </c>
      <c r="F58" s="55">
        <f t="shared" si="0"/>
        <v>0</v>
      </c>
      <c r="G58" s="63">
        <f t="shared" si="1"/>
        <v>0</v>
      </c>
      <c r="H58" s="70"/>
      <c r="I58" s="71"/>
    </row>
    <row r="59" spans="1:9" x14ac:dyDescent="0.25">
      <c r="A59" s="55" t="s">
        <v>151</v>
      </c>
      <c r="B59" s="54" t="s">
        <v>152</v>
      </c>
      <c r="C59" s="55" t="str">
        <f>'Haver Pivoted'!A58</f>
        <v>gfegv</v>
      </c>
      <c r="D59">
        <v>21.5</v>
      </c>
      <c r="E59" s="55">
        <f>'Haver Pivoted'!HB58</f>
        <v>21.5</v>
      </c>
      <c r="F59" s="55">
        <f t="shared" si="0"/>
        <v>0</v>
      </c>
      <c r="G59" s="63">
        <f t="shared" si="1"/>
        <v>0</v>
      </c>
    </row>
    <row r="60" spans="1:9" x14ac:dyDescent="0.25">
      <c r="A60" s="55" t="s">
        <v>53</v>
      </c>
      <c r="B60" s="55" t="s">
        <v>153</v>
      </c>
      <c r="C60" s="55" t="str">
        <f>'Haver Pivoted'!A59</f>
        <v>yptue</v>
      </c>
      <c r="D60">
        <v>1</v>
      </c>
      <c r="E60" s="55">
        <f>'Haver Pivoted'!HB59</f>
        <v>1</v>
      </c>
      <c r="F60" s="55">
        <f t="shared" si="0"/>
        <v>0</v>
      </c>
      <c r="G60" s="63">
        <f t="shared" si="1"/>
        <v>0</v>
      </c>
    </row>
    <row r="61" spans="1:9" x14ac:dyDescent="0.25">
      <c r="A61" s="55" t="s">
        <v>53</v>
      </c>
      <c r="B61" s="55" t="s">
        <v>154</v>
      </c>
      <c r="C61" s="55" t="str">
        <f>'Haver Pivoted'!A60</f>
        <v>yptup</v>
      </c>
      <c r="D61">
        <v>0.9</v>
      </c>
      <c r="E61" s="55">
        <f>'Haver Pivoted'!HB60</f>
        <v>0.9</v>
      </c>
      <c r="F61" s="55">
        <f t="shared" si="0"/>
        <v>0</v>
      </c>
      <c r="G61" s="63">
        <f t="shared" si="1"/>
        <v>0</v>
      </c>
    </row>
    <row r="62" spans="1:9" x14ac:dyDescent="0.25">
      <c r="A62" s="55" t="s">
        <v>53</v>
      </c>
      <c r="B62" s="55" t="s">
        <v>155</v>
      </c>
      <c r="C62" s="55" t="str">
        <f>'Haver Pivoted'!A61</f>
        <v>yptuc</v>
      </c>
      <c r="D62">
        <v>0</v>
      </c>
      <c r="E62" s="55">
        <f>'Haver Pivoted'!HB61</f>
        <v>0</v>
      </c>
      <c r="F62" s="55">
        <f t="shared" si="0"/>
        <v>0</v>
      </c>
      <c r="G62" s="63" t="e">
        <f t="shared" si="1"/>
        <v>#DIV/0!</v>
      </c>
    </row>
    <row r="63" spans="1:9" x14ac:dyDescent="0.25">
      <c r="B63" s="55" t="s">
        <v>156</v>
      </c>
      <c r="C63" s="55" t="str">
        <f>'Haver Pivoted'!A62</f>
        <v>gftfpu</v>
      </c>
      <c r="D63">
        <v>2.5</v>
      </c>
      <c r="E63" s="55">
        <f>'Haver Pivoted'!HB62</f>
        <v>2.6</v>
      </c>
      <c r="F63" s="55">
        <f t="shared" si="0"/>
        <v>0.10000000000000009</v>
      </c>
      <c r="G63" s="63">
        <f t="shared" si="1"/>
        <v>4.0000000000000036E-2</v>
      </c>
      <c r="H63" s="54"/>
      <c r="I63" s="54"/>
    </row>
    <row r="64" spans="1:9" x14ac:dyDescent="0.25">
      <c r="A64" s="55" t="s">
        <v>53</v>
      </c>
      <c r="B64" s="58" t="s">
        <v>157</v>
      </c>
      <c r="C64" s="55" t="str">
        <f>'Haver Pivoted'!A63</f>
        <v>yptub</v>
      </c>
      <c r="D64">
        <v>0.7</v>
      </c>
      <c r="E64" s="55">
        <f>'Haver Pivoted'!HB63</f>
        <v>0.7</v>
      </c>
      <c r="F64" s="55">
        <f t="shared" si="0"/>
        <v>0</v>
      </c>
      <c r="G64" s="63">
        <f t="shared" si="1"/>
        <v>0</v>
      </c>
      <c r="H64" s="54"/>
      <c r="I64" s="54"/>
    </row>
    <row r="65" spans="1:9" x14ac:dyDescent="0.25">
      <c r="A65" s="55" t="s">
        <v>53</v>
      </c>
      <c r="B65" s="55" t="s">
        <v>158</v>
      </c>
      <c r="C65" s="55" t="str">
        <f>'Haver Pivoted'!A64</f>
        <v>yptol</v>
      </c>
      <c r="D65">
        <v>0</v>
      </c>
      <c r="E65" s="55">
        <f>'Haver Pivoted'!HB64</f>
        <v>0</v>
      </c>
      <c r="F65" s="55">
        <f t="shared" si="0"/>
        <v>0</v>
      </c>
      <c r="G65" s="63" t="e">
        <f t="shared" si="1"/>
        <v>#DIV/0!</v>
      </c>
      <c r="H65" s="54"/>
      <c r="I65" s="54"/>
    </row>
    <row r="66" spans="1:9" x14ac:dyDescent="0.25">
      <c r="B66" s="55" t="s">
        <v>159</v>
      </c>
      <c r="C66" s="55" t="str">
        <f>'Haver Pivoted'!A65</f>
        <v>gfctp</v>
      </c>
      <c r="D66">
        <v>91.2</v>
      </c>
      <c r="E66" s="55">
        <f>'Haver Pivoted'!HB65</f>
        <v>93.7</v>
      </c>
      <c r="F66" s="55">
        <f t="shared" si="0"/>
        <v>2.5</v>
      </c>
      <c r="G66" s="63">
        <f t="shared" si="1"/>
        <v>2.7412280701754384E-2</v>
      </c>
      <c r="H66" s="59"/>
      <c r="I66" s="59"/>
    </row>
    <row r="67" spans="1:9" x14ac:dyDescent="0.25">
      <c r="A67" s="55" t="s">
        <v>57</v>
      </c>
      <c r="B67" s="53" t="s">
        <v>160</v>
      </c>
      <c r="C67" s="55" t="str">
        <f>'Haver Pivoted'!A66</f>
        <v>gftffx</v>
      </c>
      <c r="D67">
        <v>132.01900000000001</v>
      </c>
      <c r="E67" s="55">
        <f>'Haver Pivoted'!HB66</f>
        <v>134.93600000000001</v>
      </c>
      <c r="F67" s="55">
        <f t="shared" si="0"/>
        <v>2.9170000000000016</v>
      </c>
      <c r="G67" s="63">
        <f t="shared" si="1"/>
        <v>2.209530446375144E-2</v>
      </c>
      <c r="H67" s="59"/>
      <c r="I67" s="59"/>
    </row>
    <row r="68" spans="1:9" x14ac:dyDescent="0.25">
      <c r="B68" s="55" t="s">
        <v>161</v>
      </c>
      <c r="C68" s="55" t="str">
        <f>'Haver Pivoted'!A67</f>
        <v>cpiu</v>
      </c>
      <c r="D68">
        <v>284.607666666667</v>
      </c>
      <c r="E68" s="55">
        <f>'Haver Pivoted'!HB67</f>
        <v>284.607666666667</v>
      </c>
      <c r="F68" s="55">
        <f t="shared" ref="F68:F81" si="2">E68-D68</f>
        <v>0</v>
      </c>
      <c r="G68" s="63">
        <f t="shared" ref="G68:G81" si="3">F68/D68</f>
        <v>0</v>
      </c>
      <c r="H68" s="59"/>
      <c r="I68" s="59"/>
    </row>
    <row r="69" spans="1:9" x14ac:dyDescent="0.25">
      <c r="C69" s="55" t="str">
        <f>'Haver Pivoted'!A68</f>
        <v>pcw</v>
      </c>
      <c r="D69">
        <v>280.10300000000001</v>
      </c>
      <c r="E69" s="55">
        <f>'Haver Pivoted'!HB68</f>
        <v>280.10300000000001</v>
      </c>
      <c r="F69" s="55">
        <f t="shared" si="2"/>
        <v>0</v>
      </c>
      <c r="G69" s="63">
        <f t="shared" si="3"/>
        <v>0</v>
      </c>
    </row>
    <row r="70" spans="1:9" x14ac:dyDescent="0.25">
      <c r="B70" s="55" t="s">
        <v>162</v>
      </c>
      <c r="C70" s="55" t="str">
        <f>'Haver Pivoted'!A69</f>
        <v>gdppothq</v>
      </c>
      <c r="D70">
        <v>20003.7</v>
      </c>
      <c r="E70" s="55">
        <f>'Haver Pivoted'!HB69</f>
        <v>20005.5</v>
      </c>
      <c r="F70" s="55">
        <f t="shared" si="2"/>
        <v>1.7999999999992724</v>
      </c>
      <c r="G70" s="63">
        <f t="shared" si="3"/>
        <v>8.9983353079643887E-5</v>
      </c>
    </row>
    <row r="71" spans="1:9" x14ac:dyDescent="0.25">
      <c r="B71" s="55" t="s">
        <v>163</v>
      </c>
      <c r="C71" s="55" t="str">
        <f>'Haver Pivoted'!A70</f>
        <v>gdppotq</v>
      </c>
      <c r="D71">
        <v>23698</v>
      </c>
      <c r="E71" s="55">
        <f>'Haver Pivoted'!HB70</f>
        <v>24577</v>
      </c>
      <c r="F71" s="55">
        <f t="shared" si="2"/>
        <v>879</v>
      </c>
      <c r="G71" s="63">
        <f t="shared" si="3"/>
        <v>3.7091737699383912E-2</v>
      </c>
    </row>
    <row r="72" spans="1:9" x14ac:dyDescent="0.25">
      <c r="B72" s="55" t="s">
        <v>164</v>
      </c>
      <c r="C72" s="55" t="str">
        <f>'Haver Pivoted'!A71</f>
        <v>recessq</v>
      </c>
      <c r="D72">
        <v>-1</v>
      </c>
      <c r="E72" s="55">
        <f>'Haver Pivoted'!HB71</f>
        <v>-1</v>
      </c>
      <c r="F72" s="55">
        <f t="shared" si="2"/>
        <v>0</v>
      </c>
      <c r="G72" s="63">
        <f t="shared" si="3"/>
        <v>0</v>
      </c>
    </row>
    <row r="73" spans="1:9" x14ac:dyDescent="0.25">
      <c r="A73" s="55" t="s">
        <v>165</v>
      </c>
      <c r="B73" s="55" t="s">
        <v>166</v>
      </c>
      <c r="C73" s="55" t="str">
        <f>'Haver Pivoted'!A72</f>
        <v>lasgova</v>
      </c>
      <c r="D73">
        <v>5206.3333333333303</v>
      </c>
      <c r="E73" s="55">
        <f>'Haver Pivoted'!HB72</f>
        <v>5210.3333333333303</v>
      </c>
      <c r="F73" s="55">
        <f t="shared" si="2"/>
        <v>4</v>
      </c>
      <c r="G73" s="63">
        <f t="shared" si="3"/>
        <v>7.6829502528971173E-4</v>
      </c>
    </row>
    <row r="74" spans="1:9" x14ac:dyDescent="0.25">
      <c r="A74" s="55" t="s">
        <v>165</v>
      </c>
      <c r="B74" s="55" t="s">
        <v>167</v>
      </c>
      <c r="C74" s="55" t="str">
        <f>'Haver Pivoted'!A73</f>
        <v>lalgova</v>
      </c>
      <c r="D74">
        <v>14075.666666666701</v>
      </c>
      <c r="E74" s="55">
        <f>'Haver Pivoted'!HB73</f>
        <v>14073</v>
      </c>
      <c r="F74" s="55">
        <f t="shared" si="2"/>
        <v>-2.6666666667006211</v>
      </c>
      <c r="G74" s="63">
        <f t="shared" si="3"/>
        <v>-1.8945224619560576E-4</v>
      </c>
    </row>
    <row r="75" spans="1:9" x14ac:dyDescent="0.25">
      <c r="A75" s="55" t="s">
        <v>165</v>
      </c>
      <c r="B75" s="55" t="s">
        <v>168</v>
      </c>
      <c r="C75" s="55" t="str">
        <f>'Haver Pivoted'!A74</f>
        <v>cpgs</v>
      </c>
      <c r="D75" s="55">
        <v>0</v>
      </c>
      <c r="E75" s="55">
        <f>'Haver Pivoted'!HB74</f>
        <v>323361.66666666698</v>
      </c>
      <c r="F75" s="55">
        <f t="shared" si="2"/>
        <v>323361.66666666698</v>
      </c>
      <c r="G75" s="63" t="e">
        <f t="shared" si="3"/>
        <v>#DIV/0!</v>
      </c>
    </row>
    <row r="76" spans="1:9" x14ac:dyDescent="0.25">
      <c r="B76" s="55" t="s">
        <v>169</v>
      </c>
      <c r="C76" s="55" t="str">
        <f>'Haver Pivoted'!A75</f>
        <v>jgdp_growth</v>
      </c>
      <c r="D76" s="55">
        <v>1.9335536672408601E-2</v>
      </c>
      <c r="E76" s="55">
        <f>'Haver Pivoted'!HB75</f>
        <v>1.9566310341133E-2</v>
      </c>
      <c r="F76" s="50">
        <f t="shared" si="2"/>
        <v>2.3077366872439886E-4</v>
      </c>
      <c r="G76" s="63">
        <f t="shared" si="3"/>
        <v>1.1935208866155133E-2</v>
      </c>
    </row>
    <row r="77" spans="1:9" x14ac:dyDescent="0.25">
      <c r="B77" s="55" t="s">
        <v>170</v>
      </c>
      <c r="C77" s="55" t="str">
        <f>'Haver Pivoted'!A76</f>
        <v>jc_growth</v>
      </c>
      <c r="D77" s="55">
        <v>1.71069011949425E-2</v>
      </c>
      <c r="E77" s="55">
        <f>'Haver Pivoted'!HB76</f>
        <v>1.70306823282322E-2</v>
      </c>
      <c r="F77" s="50">
        <f t="shared" si="2"/>
        <v>-7.6218866710300176E-5</v>
      </c>
      <c r="G77" s="63">
        <f t="shared" si="3"/>
        <v>-4.4554455445638269E-3</v>
      </c>
    </row>
    <row r="78" spans="1:9" x14ac:dyDescent="0.25">
      <c r="B78" s="55" t="s">
        <v>171</v>
      </c>
      <c r="C78" s="55" t="str">
        <f>'Haver Pivoted'!A77</f>
        <v>jgf_growth</v>
      </c>
      <c r="D78" s="55">
        <v>1.7156966370992999E-2</v>
      </c>
      <c r="E78" s="55">
        <f>'Haver Pivoted'!HB77</f>
        <v>1.82477739914257E-2</v>
      </c>
      <c r="F78" s="50">
        <f t="shared" si="2"/>
        <v>1.0908076204327009E-3</v>
      </c>
      <c r="G78" s="63">
        <f t="shared" si="3"/>
        <v>6.3578117299157938E-2</v>
      </c>
    </row>
    <row r="79" spans="1:9" x14ac:dyDescent="0.25">
      <c r="B79" s="55" t="s">
        <v>172</v>
      </c>
      <c r="C79" s="55" t="str">
        <f>'Haver Pivoted'!A78</f>
        <v>jgs_growth</v>
      </c>
      <c r="D79" s="55">
        <v>2.48833099557015E-2</v>
      </c>
      <c r="E79" s="55">
        <f>'Haver Pivoted'!HB78</f>
        <v>2.6555404987756499E-2</v>
      </c>
      <c r="F79" s="50">
        <f t="shared" si="2"/>
        <v>1.6720950320549995E-3</v>
      </c>
      <c r="G79" s="63">
        <f t="shared" si="3"/>
        <v>6.7197452229295296E-2</v>
      </c>
    </row>
    <row r="80" spans="1:9" x14ac:dyDescent="0.25">
      <c r="B80" s="55" t="s">
        <v>173</v>
      </c>
      <c r="C80" s="55" t="str">
        <f>'Haver Pivoted'!A79</f>
        <v>jgse_growth</v>
      </c>
      <c r="D80" s="55">
        <v>2.39833906071019E-2</v>
      </c>
      <c r="E80" s="55">
        <f>'Haver Pivoted'!HB79</f>
        <v>2.5892516227567799E-2</v>
      </c>
      <c r="F80" s="50">
        <f t="shared" si="2"/>
        <v>1.9091256204658985E-3</v>
      </c>
      <c r="G80" s="63">
        <f t="shared" si="3"/>
        <v>7.9601990049754393E-2</v>
      </c>
    </row>
    <row r="81" spans="2:7" x14ac:dyDescent="0.25">
      <c r="B81" s="55" t="s">
        <v>174</v>
      </c>
      <c r="C81" s="55" t="str">
        <f>'Haver Pivoted'!A80</f>
        <v>jgsi_growth</v>
      </c>
      <c r="D81" s="55">
        <v>2.9194466286230202E-2</v>
      </c>
      <c r="E81" s="55">
        <f>'Haver Pivoted'!HB80</f>
        <v>2.9708288892867699E-2</v>
      </c>
      <c r="F81" s="50">
        <f t="shared" si="2"/>
        <v>5.1382260663749776E-4</v>
      </c>
      <c r="G81" s="63">
        <f t="shared" si="3"/>
        <v>1.7599999999994731E-2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99"/>
  <sheetViews>
    <sheetView topLeftCell="A67" zoomScale="84" zoomScaleNormal="133" workbookViewId="0">
      <selection activeCell="F97" sqref="F97"/>
    </sheetView>
  </sheetViews>
  <sheetFormatPr defaultColWidth="11.42578125" defaultRowHeight="15" x14ac:dyDescent="0.25"/>
  <cols>
    <col min="2" max="2" width="26.42578125" customWidth="1"/>
    <col min="3" max="3" width="20.140625" customWidth="1"/>
    <col min="4" max="13" width="9.42578125" customWidth="1"/>
  </cols>
  <sheetData>
    <row r="2" spans="2:16" x14ac:dyDescent="0.25">
      <c r="B2" s="915" t="s">
        <v>953</v>
      </c>
      <c r="C2" s="915"/>
      <c r="D2" s="915"/>
      <c r="E2" s="915"/>
      <c r="F2" s="915"/>
      <c r="G2" s="915"/>
      <c r="H2" s="915"/>
      <c r="I2" s="915"/>
      <c r="J2" s="915"/>
      <c r="K2" s="915"/>
      <c r="L2" s="915"/>
      <c r="M2" s="915"/>
      <c r="N2" s="915"/>
      <c r="O2" s="915"/>
      <c r="P2" s="915"/>
    </row>
    <row r="3" spans="2:16" x14ac:dyDescent="0.25">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175</v>
      </c>
      <c r="O3" t="s">
        <v>176</v>
      </c>
      <c r="P3" t="s">
        <v>177</v>
      </c>
    </row>
    <row r="4" spans="2:16" x14ac:dyDescent="0.25">
      <c r="B4" t="str">
        <f>forecast!A2</f>
        <v>Consumption Grants</v>
      </c>
      <c r="C4" t="str">
        <f>forecast!B2</f>
        <v>consumption_grants</v>
      </c>
      <c r="D4" s="72">
        <f>forecast!C2</f>
        <v>428.87827479999993</v>
      </c>
      <c r="E4" s="72">
        <f>forecast!D2</f>
        <v>446.83458076689982</v>
      </c>
      <c r="F4" s="72">
        <f>forecast!E2</f>
        <v>443.16378910828843</v>
      </c>
      <c r="G4" s="72">
        <f>forecast!F2</f>
        <v>449.456681310205</v>
      </c>
      <c r="H4" s="72">
        <f>forecast!G2</f>
        <v>444.1136258666665</v>
      </c>
      <c r="I4" s="72">
        <f>forecast!H2</f>
        <v>448.41748970468939</v>
      </c>
      <c r="J4" s="72">
        <f>forecast!I2</f>
        <v>447.24836323261991</v>
      </c>
      <c r="K4" s="72">
        <f>forecast!J2</f>
        <v>446.31815136261321</v>
      </c>
      <c r="L4" s="72">
        <f>forecast!K2</f>
        <v>434.91237653333314</v>
      </c>
      <c r="M4" s="72">
        <f>forecast!L2</f>
        <v>415.05454853287694</v>
      </c>
      <c r="N4" s="72">
        <f>forecast!M2</f>
        <v>419.51886552192474</v>
      </c>
      <c r="O4" s="72">
        <f>forecast!N2</f>
        <v>423.20412375711771</v>
      </c>
      <c r="P4" s="72">
        <f>forecast!O2</f>
        <v>406.37747211466649</v>
      </c>
    </row>
    <row r="5" spans="2:16" x14ac:dyDescent="0.25">
      <c r="B5" t="str">
        <f>forecast!A3</f>
        <v>Investment Grants</v>
      </c>
      <c r="C5" t="str">
        <f>forecast!B3</f>
        <v>investment_grants</v>
      </c>
      <c r="D5" s="72">
        <f>forecast!C3</f>
        <v>76.48</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c r="P5" s="72">
        <f>forecast!O3</f>
        <v>75.34842857142857</v>
      </c>
    </row>
    <row r="6" spans="2:16" x14ac:dyDescent="0.25">
      <c r="B6" t="str">
        <f>forecast!A4</f>
        <v>Federal Purchases (NIPA Consistent)</v>
      </c>
      <c r="C6" t="str">
        <f>forecast!B4</f>
        <v>federal_purchases</v>
      </c>
      <c r="D6" s="72">
        <f>forecast!C4</f>
        <v>1570</v>
      </c>
      <c r="E6" s="72">
        <f>forecast!D4</f>
        <v>1591.4</v>
      </c>
      <c r="F6" s="72">
        <f>forecast!E4</f>
        <v>1607.9</v>
      </c>
      <c r="G6" s="72">
        <f>forecast!F4</f>
        <v>1622.9</v>
      </c>
      <c r="H6" s="72">
        <f>forecast!G4</f>
        <v>1639</v>
      </c>
      <c r="I6" s="72">
        <f>forecast!H4</f>
        <v>1653.9</v>
      </c>
      <c r="J6" s="72">
        <f>forecast!I4</f>
        <v>1667.4</v>
      </c>
      <c r="K6" s="72">
        <f>forecast!J4</f>
        <v>1679.6</v>
      </c>
      <c r="L6" s="72">
        <f>forecast!K4</f>
        <v>1693.3</v>
      </c>
      <c r="M6" s="72">
        <f>forecast!L4</f>
        <v>1706.4</v>
      </c>
      <c r="N6" s="72">
        <f>forecast!M4</f>
        <v>1719.6</v>
      </c>
      <c r="O6" s="72">
        <f>forecast!N4</f>
        <v>1732.8</v>
      </c>
      <c r="P6" s="72">
        <f>forecast!O4</f>
        <v>1743.7</v>
      </c>
    </row>
    <row r="7" spans="2:16" x14ac:dyDescent="0.25">
      <c r="B7" t="str">
        <f>forecast!A5</f>
        <v>State Purchases (NIPA Consistent)</v>
      </c>
      <c r="C7" t="str">
        <f>forecast!B5</f>
        <v>state_purchases</v>
      </c>
      <c r="D7" s="72">
        <f>forecast!C5</f>
        <v>2630.6</v>
      </c>
      <c r="E7" s="72">
        <f>forecast!D5</f>
        <v>2693.0281502361727</v>
      </c>
      <c r="F7" s="72">
        <f>forecast!E5</f>
        <v>2743.3314109401185</v>
      </c>
      <c r="G7" s="72">
        <f>forecast!F5</f>
        <v>2781.7101935090659</v>
      </c>
      <c r="H7" s="72">
        <f>forecast!G5</f>
        <v>2815.6799253390218</v>
      </c>
      <c r="I7" s="72">
        <f>forecast!H5</f>
        <v>2845.0401950327596</v>
      </c>
      <c r="J7" s="72">
        <f>forecast!I5</f>
        <v>2871.5947051653206</v>
      </c>
      <c r="K7" s="72">
        <f>forecast!J5</f>
        <v>2897.2473640103617</v>
      </c>
      <c r="L7" s="72">
        <f>forecast!K5</f>
        <v>2922.3989943623346</v>
      </c>
      <c r="M7" s="72">
        <f>forecast!L5</f>
        <v>2947.450419015694</v>
      </c>
      <c r="N7" s="72">
        <f>forecast!M5</f>
        <v>2973.2032835593482</v>
      </c>
      <c r="O7" s="72">
        <f>forecast!N5</f>
        <v>2999.8579993905223</v>
      </c>
      <c r="P7" s="72">
        <f>forecast!O5</f>
        <v>3028.5168291939663</v>
      </c>
    </row>
    <row r="8" spans="2:16" x14ac:dyDescent="0.25">
      <c r="B8" t="str">
        <f>forecast!A6</f>
        <v>Non-ARP Subsidies + ARP Provider Relief and PPP</v>
      </c>
      <c r="C8" t="str">
        <f>forecast!B6</f>
        <v>federal_subsidies</v>
      </c>
      <c r="D8" s="72">
        <f>forecast!C6</f>
        <v>39.152000000000015</v>
      </c>
      <c r="E8" s="72">
        <f>forecast!D6</f>
        <v>17.745378026070782</v>
      </c>
      <c r="F8" s="72">
        <f>forecast!E6</f>
        <v>-12.23599999999999</v>
      </c>
      <c r="G8" s="72">
        <f>forecast!F6</f>
        <v>72.260000000000005</v>
      </c>
      <c r="H8" s="72">
        <f>forecast!G6</f>
        <v>72.260000000000005</v>
      </c>
      <c r="I8" s="72">
        <f>forecast!H6</f>
        <v>72.260000000000005</v>
      </c>
      <c r="J8" s="72">
        <f>forecast!I6</f>
        <v>72.260000000000005</v>
      </c>
      <c r="K8" s="72">
        <f>forecast!J6</f>
        <v>74.935000000000016</v>
      </c>
      <c r="L8" s="72">
        <f>forecast!K6</f>
        <v>74.935000000000016</v>
      </c>
      <c r="M8" s="72">
        <f>forecast!L6</f>
        <v>74.935000000000016</v>
      </c>
      <c r="N8" s="72">
        <f>forecast!M6</f>
        <v>74.935000000000016</v>
      </c>
      <c r="O8" s="72">
        <f>forecast!N6</f>
        <v>77.001000000000005</v>
      </c>
      <c r="P8" s="72">
        <f>forecast!O6</f>
        <v>77.001000000000005</v>
      </c>
    </row>
    <row r="9" spans="2:16" x14ac:dyDescent="0.25">
      <c r="B9" t="str">
        <f>forecast!A7</f>
        <v>ARP Subsidies less Provider Relief and PPP</v>
      </c>
      <c r="C9" t="str">
        <f>forecast!B7</f>
        <v>federal_aid_to_small_businesses_arp</v>
      </c>
      <c r="D9" s="72">
        <f>forecast!C7</f>
        <v>110.24799999999999</v>
      </c>
      <c r="E9" s="72">
        <f>forecast!D7</f>
        <v>110.24799999999999</v>
      </c>
      <c r="F9" s="72">
        <f>forecast!E7</f>
        <v>110.24799999999999</v>
      </c>
      <c r="G9" s="72">
        <f>forecast!F7</f>
        <v>12.726000000000001</v>
      </c>
      <c r="H9" s="72">
        <f>forecast!G7</f>
        <v>12.726000000000001</v>
      </c>
      <c r="I9" s="72">
        <f>forecast!H7</f>
        <v>12.726000000000001</v>
      </c>
      <c r="J9" s="72">
        <f>forecast!I7</f>
        <v>12.726000000000001</v>
      </c>
      <c r="K9" s="72">
        <f>forecast!J7</f>
        <v>1.365</v>
      </c>
      <c r="L9" s="72">
        <f>forecast!K7</f>
        <v>1.365</v>
      </c>
      <c r="M9" s="72">
        <f>forecast!L7</f>
        <v>1.365</v>
      </c>
      <c r="N9" s="72">
        <f>forecast!M7</f>
        <v>1.365</v>
      </c>
      <c r="O9" s="72">
        <f>forecast!N7</f>
        <v>-0.90100000000000025</v>
      </c>
      <c r="P9" s="72">
        <f>forecast!O7</f>
        <v>-0.90100000000000025</v>
      </c>
    </row>
    <row r="10" spans="2:16" x14ac:dyDescent="0.25">
      <c r="B10" t="str">
        <f>forecast!A8</f>
        <v>Federal UI</v>
      </c>
      <c r="C10" t="str">
        <f>forecast!B8</f>
        <v>federal_ui</v>
      </c>
      <c r="D10" s="72">
        <f>forecast!C8</f>
        <v>0.69999999999999929</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c r="P10" s="72">
        <f>forecast!O8</f>
        <v>0</v>
      </c>
    </row>
    <row r="11" spans="2:16" x14ac:dyDescent="0.25">
      <c r="B11" t="str">
        <f>forecast!A9</f>
        <v>State UI</v>
      </c>
      <c r="C11" t="str">
        <f>forecast!B9</f>
        <v>state_ui</v>
      </c>
      <c r="D11" s="72">
        <f>forecast!C9</f>
        <v>24.400000000000002</v>
      </c>
      <c r="E11" s="72">
        <f>forecast!D9</f>
        <v>23.11578947368421</v>
      </c>
      <c r="F11" s="72">
        <f>forecast!E9</f>
        <v>23.642315789473685</v>
      </c>
      <c r="G11" s="72">
        <f>forecast!F9</f>
        <v>23.353368421052632</v>
      </c>
      <c r="H11" s="72">
        <f>forecast!G9</f>
        <v>23.513894736842104</v>
      </c>
      <c r="I11" s="72">
        <f>forecast!H9</f>
        <v>23.873473684210527</v>
      </c>
      <c r="J11" s="72">
        <f>forecast!I9</f>
        <v>24.239473684210527</v>
      </c>
      <c r="K11" s="72">
        <f>forecast!J9</f>
        <v>24.624736842105264</v>
      </c>
      <c r="L11" s="72">
        <f>forecast!K9</f>
        <v>25.106315789473687</v>
      </c>
      <c r="M11" s="72">
        <f>forecast!L9</f>
        <v>25.504421052631582</v>
      </c>
      <c r="N11" s="72">
        <f>forecast!M9</f>
        <v>25.819052631578948</v>
      </c>
      <c r="O11" s="72">
        <f>forecast!N9</f>
        <v>26.210736842105263</v>
      </c>
      <c r="P11" s="72">
        <f>forecast!O9</f>
        <v>26.58957894736842</v>
      </c>
    </row>
    <row r="12" spans="2:16" x14ac:dyDescent="0.25">
      <c r="B12" t="str">
        <f>forecast!A10</f>
        <v>Federal Medicaid</v>
      </c>
      <c r="C12" t="str">
        <f>forecast!B10</f>
        <v>medicaid_grants</v>
      </c>
      <c r="D12" s="72">
        <f>forecast!C10</f>
        <v>578.14700000000005</v>
      </c>
      <c r="E12" s="72">
        <f>forecast!D10</f>
        <v>579.39019603110603</v>
      </c>
      <c r="F12" s="72">
        <f>forecast!E10</f>
        <v>590.17038164663313</v>
      </c>
      <c r="G12" s="72">
        <f>forecast!F10</f>
        <v>600.16136538556918</v>
      </c>
      <c r="H12" s="72">
        <f>forecast!G10</f>
        <v>613.23178814890605</v>
      </c>
      <c r="I12" s="72">
        <f>forecast!H10</f>
        <v>626.58686094316022</v>
      </c>
      <c r="J12" s="72">
        <f>forecast!I10</f>
        <v>596.21007010024732</v>
      </c>
      <c r="K12" s="72">
        <f>forecast!J10</f>
        <v>589.37103642680609</v>
      </c>
      <c r="L12" s="72">
        <f>forecast!K10</f>
        <v>583.08435673682504</v>
      </c>
      <c r="M12" s="72">
        <f>forecast!L10</f>
        <v>576.86473555342423</v>
      </c>
      <c r="N12" s="72">
        <f>forecast!M10</f>
        <v>570.7114575795747</v>
      </c>
      <c r="O12" s="72">
        <f>forecast!N10</f>
        <v>560.51313412938975</v>
      </c>
      <c r="P12" s="72">
        <f>forecast!O10</f>
        <v>554.53427477168793</v>
      </c>
    </row>
    <row r="13" spans="2:16" x14ac:dyDescent="0.25">
      <c r="B13" t="str">
        <f>forecast!A11</f>
        <v>Total Medicaid</v>
      </c>
      <c r="C13" t="str">
        <f>forecast!B11</f>
        <v>medicaid</v>
      </c>
      <c r="D13" s="72">
        <f>forecast!C11</f>
        <v>791.3</v>
      </c>
      <c r="E13" s="72">
        <f>forecast!D11</f>
        <v>793.00154133708929</v>
      </c>
      <c r="F13" s="72">
        <f>forecast!E11</f>
        <v>807.75619867781165</v>
      </c>
      <c r="G13" s="72">
        <f>forecast!F11</f>
        <v>825.34765926715204</v>
      </c>
      <c r="H13" s="72">
        <f>forecast!G11</f>
        <v>843.32222986688032</v>
      </c>
      <c r="I13" s="72">
        <f>forecast!H11</f>
        <v>861.68825391609369</v>
      </c>
      <c r="J13" s="72">
        <f>forecast!I11</f>
        <v>880.45425655881513</v>
      </c>
      <c r="K13" s="72">
        <f>forecast!J11</f>
        <v>871.06266187471999</v>
      </c>
      <c r="L13" s="72">
        <f>forecast!K11</f>
        <v>861.77124508181373</v>
      </c>
      <c r="M13" s="72">
        <f>forecast!L11</f>
        <v>852.57893760652382</v>
      </c>
      <c r="N13" s="72">
        <f>forecast!M11</f>
        <v>843.48468227349622</v>
      </c>
      <c r="O13" s="72">
        <f>forecast!N11</f>
        <v>834.48743318401296</v>
      </c>
      <c r="P13" s="72">
        <f>forecast!O11</f>
        <v>825.5861555957074</v>
      </c>
    </row>
    <row r="14" spans="2:16" x14ac:dyDescent="0.25">
      <c r="B14" t="str">
        <f>forecast!A12</f>
        <v>Medicare</v>
      </c>
      <c r="C14" t="str">
        <f>forecast!B12</f>
        <v>medicare</v>
      </c>
      <c r="D14" s="72">
        <f>forecast!C12</f>
        <v>862.1</v>
      </c>
      <c r="E14" s="72">
        <f>forecast!D12</f>
        <v>860.35792741992714</v>
      </c>
      <c r="F14" s="72">
        <f>forecast!E12</f>
        <v>878.57896047176791</v>
      </c>
      <c r="G14" s="72">
        <f>forecast!F12</f>
        <v>897.18588645827595</v>
      </c>
      <c r="H14" s="72">
        <f>forecast!G12</f>
        <v>914.87815327140061</v>
      </c>
      <c r="I14" s="72">
        <f>forecast!H12</f>
        <v>932.91930687567003</v>
      </c>
      <c r="J14" s="72">
        <f>forecast!I12</f>
        <v>951.31622722571763</v>
      </c>
      <c r="K14" s="72">
        <f>forecast!J12</f>
        <v>970.07592994705021</v>
      </c>
      <c r="L14" s="72">
        <f>forecast!K12</f>
        <v>993.46803931009731</v>
      </c>
      <c r="M14" s="72">
        <f>forecast!L12</f>
        <v>1017.4242187253543</v>
      </c>
      <c r="N14" s="72">
        <f>forecast!M12</f>
        <v>1041.958070002682</v>
      </c>
      <c r="O14" s="72">
        <f>forecast!N12</f>
        <v>1067.0835229417551</v>
      </c>
      <c r="P14" s="72">
        <f>forecast!O12</f>
        <v>1092.8148432411069</v>
      </c>
    </row>
    <row r="15" spans="2:16"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c r="P15" s="72">
        <f>forecast!O13</f>
        <v>0</v>
      </c>
    </row>
    <row r="16" spans="2:16"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c r="P16" s="72">
        <f>forecast!O14</f>
        <v>0</v>
      </c>
    </row>
    <row r="17" spans="2:16" x14ac:dyDescent="0.25">
      <c r="B17" t="str">
        <f>forecast!A15</f>
        <v>ARP Other Vulnerable</v>
      </c>
      <c r="C17" t="str">
        <f>forecast!B15</f>
        <v>federal_other_vulnerable_arp</v>
      </c>
      <c r="D17" s="72">
        <f>forecast!C15</f>
        <v>52.756999999999998</v>
      </c>
      <c r="E17" s="72">
        <f>forecast!D15</f>
        <v>52.756999999999998</v>
      </c>
      <c r="F17" s="72">
        <f>forecast!E15</f>
        <v>52.756999999999998</v>
      </c>
      <c r="G17" s="72">
        <f>forecast!F15</f>
        <v>12</v>
      </c>
      <c r="H17" s="72">
        <f>forecast!G15</f>
        <v>12</v>
      </c>
      <c r="I17" s="72">
        <f>forecast!H15</f>
        <v>12</v>
      </c>
      <c r="J17" s="72">
        <f>forecast!I15</f>
        <v>12</v>
      </c>
      <c r="K17" s="72">
        <f>forecast!J15</f>
        <v>4.2219999999999995</v>
      </c>
      <c r="L17" s="72">
        <f>forecast!K15</f>
        <v>4.2219999999999995</v>
      </c>
      <c r="M17" s="72">
        <f>forecast!L15</f>
        <v>4.2219999999999995</v>
      </c>
      <c r="N17" s="72">
        <f>forecast!M15</f>
        <v>4.2219999999999995</v>
      </c>
      <c r="O17" s="72">
        <f>forecast!N15</f>
        <v>2.3719999999999999</v>
      </c>
      <c r="P17" s="72">
        <f>forecast!O15</f>
        <v>2.3719999999999999</v>
      </c>
    </row>
    <row r="18" spans="2:16" x14ac:dyDescent="0.25">
      <c r="B18" t="str">
        <f>forecast!A16</f>
        <v xml:space="preserve">ARP Other Direct Aid plus Provider Relief </v>
      </c>
      <c r="C18" t="str">
        <f>forecast!B16</f>
        <v>federal_other_direct_aid_arp</v>
      </c>
      <c r="D18" s="72">
        <f>forecast!C16</f>
        <v>73.419000000000011</v>
      </c>
      <c r="E18" s="72">
        <f>forecast!D16</f>
        <v>69.719000000000008</v>
      </c>
      <c r="F18" s="72">
        <f>forecast!E16</f>
        <v>19.719000000000005</v>
      </c>
      <c r="G18" s="72">
        <f>forecast!F16</f>
        <v>1.4159999999999999</v>
      </c>
      <c r="H18" s="72">
        <f>forecast!G16</f>
        <v>1.4159999999999999</v>
      </c>
      <c r="I18" s="72">
        <f>forecast!H16</f>
        <v>1.4159999999999999</v>
      </c>
      <c r="J18" s="72">
        <f>forecast!I16</f>
        <v>1.4159999999999999</v>
      </c>
      <c r="K18" s="72">
        <f>forecast!J16</f>
        <v>1.4790000000000001</v>
      </c>
      <c r="L18" s="72">
        <f>forecast!K16</f>
        <v>1.4790000000000001</v>
      </c>
      <c r="M18" s="72">
        <f>forecast!L16</f>
        <v>1.4790000000000001</v>
      </c>
      <c r="N18" s="72">
        <f>forecast!M16</f>
        <v>1.4790000000000001</v>
      </c>
      <c r="O18" s="72">
        <f>forecast!N16</f>
        <v>1.63</v>
      </c>
      <c r="P18" s="72">
        <f>forecast!O16</f>
        <v>1.63</v>
      </c>
    </row>
    <row r="19" spans="2:16" x14ac:dyDescent="0.25">
      <c r="B19" t="str">
        <f>forecast!A17</f>
        <v>Other Federal Social Benefits (including all SNAP)</v>
      </c>
      <c r="C19" t="str">
        <f>forecast!B17</f>
        <v>federal_social_benefits</v>
      </c>
      <c r="D19" s="72">
        <f>forecast!C17</f>
        <v>1864.8239999999998</v>
      </c>
      <c r="E19" s="72">
        <f>forecast!D17</f>
        <v>1841.3423200000011</v>
      </c>
      <c r="F19" s="72">
        <f>forecast!E17</f>
        <v>1833.4423200000012</v>
      </c>
      <c r="G19" s="72">
        <f>forecast!F17</f>
        <v>1897.0423200000014</v>
      </c>
      <c r="H19" s="72">
        <f>forecast!G17</f>
        <v>1881.7832000000017</v>
      </c>
      <c r="I19" s="72">
        <f>forecast!H17</f>
        <v>1888.8832000000018</v>
      </c>
      <c r="J19" s="72">
        <f>forecast!I17</f>
        <v>1895.9832000000019</v>
      </c>
      <c r="K19" s="72">
        <f>forecast!J17</f>
        <v>1924.7832000000021</v>
      </c>
      <c r="L19" s="72">
        <f>forecast!K17</f>
        <v>1957.1436400000023</v>
      </c>
      <c r="M19" s="72">
        <f>forecast!L17</f>
        <v>1964.2436400000024</v>
      </c>
      <c r="N19" s="72">
        <f>forecast!M17</f>
        <v>1971.3436400000026</v>
      </c>
      <c r="O19" s="72">
        <f>forecast!N17</f>
        <v>1997.9436400000027</v>
      </c>
      <c r="P19" s="72">
        <f>forecast!O17</f>
        <v>2030.9440800000027</v>
      </c>
    </row>
    <row r="20" spans="2:16" x14ac:dyDescent="0.25">
      <c r="B20" t="str">
        <f>forecast!A18</f>
        <v>State Social Benefits ex Medicaid</v>
      </c>
      <c r="C20" t="str">
        <f>forecast!B18</f>
        <v>state_social_benefits</v>
      </c>
      <c r="D20" s="72">
        <f>forecast!C18</f>
        <v>157.20000000000005</v>
      </c>
      <c r="E20" s="72">
        <f>forecast!D18</f>
        <v>159.09549303998926</v>
      </c>
      <c r="F20" s="72">
        <f>forecast!E18</f>
        <v>161.0138416389139</v>
      </c>
      <c r="G20" s="72">
        <f>forecast!F18</f>
        <v>162.95532138553278</v>
      </c>
      <c r="H20" s="72">
        <f>forecast!G18</f>
        <v>164.92021119161092</v>
      </c>
      <c r="I20" s="72">
        <f>forecast!H18</f>
        <v>166.90879333198782</v>
      </c>
      <c r="J20" s="72">
        <f>forecast!I18</f>
        <v>168.92135348512892</v>
      </c>
      <c r="K20" s="72">
        <f>forecast!J18</f>
        <v>170.95818077416595</v>
      </c>
      <c r="L20" s="72">
        <f>forecast!K18</f>
        <v>173.01956780843219</v>
      </c>
      <c r="M20" s="72">
        <f>forecast!L18</f>
        <v>175.10581072549851</v>
      </c>
      <c r="N20" s="72">
        <f>forecast!M18</f>
        <v>177.2172092337164</v>
      </c>
      <c r="O20" s="72">
        <f>forecast!N18</f>
        <v>179.35406665527381</v>
      </c>
      <c r="P20" s="72">
        <f>forecast!O18</f>
        <v>181.51668996977023</v>
      </c>
    </row>
    <row r="21" spans="2:16" x14ac:dyDescent="0.25">
      <c r="B21" t="str">
        <f>forecast!A19</f>
        <v>Federal Non-Corporate Taxes</v>
      </c>
      <c r="C21" t="str">
        <f>forecast!B19</f>
        <v>federal_non_corporate_taxes</v>
      </c>
      <c r="D21" s="72">
        <f>forecast!C19</f>
        <v>4214.2</v>
      </c>
      <c r="E21" s="72">
        <f>forecast!D19</f>
        <v>4388.489422626275</v>
      </c>
      <c r="F21" s="72">
        <f>forecast!E19</f>
        <v>4570.8250405889776</v>
      </c>
      <c r="G21" s="72">
        <f>forecast!F19</f>
        <v>4593.3797733694837</v>
      </c>
      <c r="H21" s="72">
        <f>forecast!G19</f>
        <v>4616.5588212258835</v>
      </c>
      <c r="I21" s="72">
        <f>forecast!H19</f>
        <v>4640.3721350540081</v>
      </c>
      <c r="J21" s="72">
        <f>forecast!I19</f>
        <v>4664.8298455285048</v>
      </c>
      <c r="K21" s="72">
        <f>forecast!J19</f>
        <v>4672.749465579891</v>
      </c>
      <c r="L21" s="72">
        <f>forecast!K19</f>
        <v>4680.8431595899301</v>
      </c>
      <c r="M21" s="72">
        <f>forecast!L19</f>
        <v>4689.111965351065</v>
      </c>
      <c r="N21" s="72">
        <f>forecast!M19</f>
        <v>4697.5569306859015</v>
      </c>
      <c r="O21" s="72">
        <f>forecast!N19</f>
        <v>4709.9070737997499</v>
      </c>
      <c r="P21" s="72">
        <f>forecast!O19</f>
        <v>4722.3456926465478</v>
      </c>
    </row>
    <row r="22" spans="2:16" x14ac:dyDescent="0.25">
      <c r="B22" t="str">
        <f>forecast!A20</f>
        <v>State Non-Corporate Taxes</v>
      </c>
      <c r="C22" t="str">
        <f>forecast!B20</f>
        <v>state_non_corporate_taxes</v>
      </c>
      <c r="D22" s="72">
        <f>forecast!C20</f>
        <v>2235.6999999999998</v>
      </c>
      <c r="E22" s="72">
        <f>forecast!D20</f>
        <v>2295.1918356227593</v>
      </c>
      <c r="F22" s="72">
        <f>forecast!E20</f>
        <v>2329.332667777353</v>
      </c>
      <c r="G22" s="72">
        <f>forecast!F20</f>
        <v>2360.4316679190006</v>
      </c>
      <c r="H22" s="72">
        <f>forecast!G20</f>
        <v>2388.4343277070102</v>
      </c>
      <c r="I22" s="72">
        <f>forecast!H20</f>
        <v>2416.1268757815351</v>
      </c>
      <c r="J22" s="72">
        <f>forecast!I20</f>
        <v>2443.0496393790813</v>
      </c>
      <c r="K22" s="72">
        <f>forecast!J20</f>
        <v>2468.0805513807636</v>
      </c>
      <c r="L22" s="72">
        <f>forecast!K20</f>
        <v>2492.7082401911721</v>
      </c>
      <c r="M22" s="72">
        <f>forecast!L20</f>
        <v>2515.5913475278467</v>
      </c>
      <c r="N22" s="72">
        <f>forecast!M20</f>
        <v>2538.2967849031356</v>
      </c>
      <c r="O22" s="72">
        <f>forecast!N20</f>
        <v>2562.0608173250203</v>
      </c>
      <c r="P22" s="72">
        <f>forecast!O20</f>
        <v>2585.4121526135468</v>
      </c>
    </row>
    <row r="23" spans="2:16" x14ac:dyDescent="0.25">
      <c r="B23" t="str">
        <f>forecast!A21</f>
        <v>Federal Corporate Taxes</v>
      </c>
      <c r="C23" t="str">
        <f>forecast!B21</f>
        <v>federal_corporate_taxes</v>
      </c>
      <c r="D23" s="72">
        <f>forecast!C21</f>
        <v>283.39999999999998</v>
      </c>
      <c r="E23" s="72">
        <f>forecast!D21</f>
        <v>280.43276840448846</v>
      </c>
      <c r="F23" s="72">
        <f>forecast!E21</f>
        <v>277.49660407553091</v>
      </c>
      <c r="G23" s="72">
        <f>forecast!F21</f>
        <v>287.69698323954384</v>
      </c>
      <c r="H23" s="72">
        <f>forecast!G21</f>
        <v>298.27231378516467</v>
      </c>
      <c r="I23" s="72">
        <f>forecast!H21</f>
        <v>309.23637839010661</v>
      </c>
      <c r="J23" s="72">
        <f>forecast!I21</f>
        <v>320.60346636364693</v>
      </c>
      <c r="K23" s="72">
        <f>forecast!J21</f>
        <v>324.38296298327725</v>
      </c>
      <c r="L23" s="72">
        <f>forecast!K21</f>
        <v>328.20701493744536</v>
      </c>
      <c r="M23" s="72">
        <f>forecast!L21</f>
        <v>332.07614747541999</v>
      </c>
      <c r="N23" s="72">
        <f>forecast!M21</f>
        <v>335.99089203847353</v>
      </c>
      <c r="O23" s="72">
        <f>forecast!N21</f>
        <v>336.88994927341696</v>
      </c>
      <c r="P23" s="72">
        <f>forecast!O21</f>
        <v>337.79141223997652</v>
      </c>
    </row>
    <row r="24" spans="2:16" x14ac:dyDescent="0.25">
      <c r="B24" t="str">
        <f>forecast!A22</f>
        <v>State Corporate Taxes</v>
      </c>
      <c r="C24" t="str">
        <f>forecast!B22</f>
        <v>state_corporate_taxes</v>
      </c>
      <c r="D24" s="72">
        <f>forecast!C22</f>
        <v>155.4</v>
      </c>
      <c r="E24" s="72">
        <f>forecast!D22</f>
        <v>118.47666056910569</v>
      </c>
      <c r="F24" s="72">
        <f>forecast!E22</f>
        <v>120.85089329268293</v>
      </c>
      <c r="G24" s="72">
        <f>forecast!F22</f>
        <v>109.55884664634145</v>
      </c>
      <c r="H24" s="72">
        <f>forecast!G22</f>
        <v>109.36058597560975</v>
      </c>
      <c r="I24" s="72">
        <f>forecast!H22</f>
        <v>108.77020975609756</v>
      </c>
      <c r="J24" s="72">
        <f>forecast!I22</f>
        <v>108.10934085365854</v>
      </c>
      <c r="K24" s="72">
        <f>forecast!J22</f>
        <v>107.53218201219511</v>
      </c>
      <c r="L24" s="72">
        <f>forecast!K22</f>
        <v>107.03432743902438</v>
      </c>
      <c r="M24" s="72">
        <f>forecast!L22</f>
        <v>106.90655945121949</v>
      </c>
      <c r="N24" s="72">
        <f>forecast!M22</f>
        <v>106.53206707317072</v>
      </c>
      <c r="O24" s="72">
        <f>forecast!N22</f>
        <v>107.1180375</v>
      </c>
      <c r="P24" s="72">
        <f>forecast!O22</f>
        <v>107.50574725609755</v>
      </c>
    </row>
    <row r="27" spans="2:16" x14ac:dyDescent="0.25">
      <c r="B27" s="915" t="s">
        <v>986</v>
      </c>
      <c r="C27" s="915"/>
      <c r="D27" s="915"/>
      <c r="E27" s="915"/>
      <c r="F27" s="915"/>
      <c r="G27" s="915"/>
      <c r="H27" s="915"/>
      <c r="I27" s="915"/>
      <c r="J27" s="915"/>
      <c r="K27" s="915"/>
      <c r="L27" s="915"/>
      <c r="M27" s="915"/>
      <c r="N27" s="915"/>
      <c r="O27" s="915"/>
      <c r="P27" s="915"/>
    </row>
    <row r="28" spans="2:16" x14ac:dyDescent="0.25">
      <c r="B28" t="s">
        <v>178</v>
      </c>
      <c r="C28" t="s">
        <v>179</v>
      </c>
      <c r="D28" t="s">
        <v>182</v>
      </c>
      <c r="E28" t="s">
        <v>183</v>
      </c>
      <c r="F28" t="s">
        <v>184</v>
      </c>
      <c r="G28" t="s">
        <v>185</v>
      </c>
      <c r="H28" t="s">
        <v>186</v>
      </c>
      <c r="I28" t="s">
        <v>187</v>
      </c>
      <c r="J28" t="s">
        <v>188</v>
      </c>
      <c r="K28" t="s">
        <v>189</v>
      </c>
      <c r="L28" t="s">
        <v>190</v>
      </c>
      <c r="M28" t="s">
        <v>191</v>
      </c>
      <c r="N28" t="s">
        <v>175</v>
      </c>
      <c r="O28" t="s">
        <v>176</v>
      </c>
      <c r="P28" t="s">
        <v>177</v>
      </c>
    </row>
    <row r="29" spans="2:16" x14ac:dyDescent="0.25">
      <c r="B29" t="s">
        <v>192</v>
      </c>
      <c r="C29" t="s">
        <v>193</v>
      </c>
      <c r="D29" s="72">
        <v>428.87827479999993</v>
      </c>
      <c r="E29" s="72">
        <v>434.8234075825423</v>
      </c>
      <c r="F29" s="72">
        <v>443.16378910828843</v>
      </c>
      <c r="G29" s="72">
        <v>449.456681310205</v>
      </c>
      <c r="H29" s="72">
        <v>444.1136258666665</v>
      </c>
      <c r="I29" s="72">
        <v>448.41748970468939</v>
      </c>
      <c r="J29" s="72">
        <v>447.24836323261991</v>
      </c>
      <c r="K29" s="72">
        <v>446.31815136261321</v>
      </c>
      <c r="L29" s="72">
        <v>434.91237653333314</v>
      </c>
      <c r="M29" s="72">
        <v>415.05454853287694</v>
      </c>
      <c r="N29" s="72">
        <v>419.51886552192474</v>
      </c>
      <c r="O29" s="72">
        <v>423.20412375711771</v>
      </c>
      <c r="P29" s="72">
        <v>406.37747211466649</v>
      </c>
    </row>
    <row r="30" spans="2:16" x14ac:dyDescent="0.25">
      <c r="B30" t="s">
        <v>134</v>
      </c>
      <c r="C30" t="s">
        <v>194</v>
      </c>
      <c r="D30" s="72">
        <v>76.546000000000006</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c r="P30" s="72">
        <v>75.34842857142857</v>
      </c>
    </row>
    <row r="31" spans="2:16" x14ac:dyDescent="0.25">
      <c r="B31" t="s">
        <v>195</v>
      </c>
      <c r="C31" t="s">
        <v>196</v>
      </c>
      <c r="D31" s="72">
        <v>1568.9</v>
      </c>
      <c r="E31" s="72">
        <v>1594.3645509585992</v>
      </c>
      <c r="F31" s="72">
        <v>1613.7161725466653</v>
      </c>
      <c r="G31" s="72">
        <v>1628.8700181288748</v>
      </c>
      <c r="H31" s="72">
        <v>1653.0695855125878</v>
      </c>
      <c r="I31" s="72">
        <v>1662.9374028092479</v>
      </c>
      <c r="J31" s="72">
        <v>1674.4500101649714</v>
      </c>
      <c r="K31" s="72">
        <v>1691.080507570703</v>
      </c>
      <c r="L31" s="72">
        <v>1617.7912624365329</v>
      </c>
      <c r="M31" s="72">
        <v>1626.5495362005286</v>
      </c>
      <c r="N31" s="72">
        <v>1635.7524717432725</v>
      </c>
      <c r="O31" s="72">
        <v>1647.6087274719923</v>
      </c>
      <c r="P31" s="72">
        <v>1657.7163851919845</v>
      </c>
    </row>
    <row r="32" spans="2:16" x14ac:dyDescent="0.25">
      <c r="B32" t="s">
        <v>197</v>
      </c>
      <c r="C32" t="s">
        <v>198</v>
      </c>
      <c r="D32" s="72">
        <v>2625.5</v>
      </c>
      <c r="E32" s="72">
        <v>2688.8104906912108</v>
      </c>
      <c r="F32" s="72">
        <v>2750.5131378787883</v>
      </c>
      <c r="G32" s="72">
        <v>2810.4143104660839</v>
      </c>
      <c r="H32" s="72">
        <v>2865.0109559000362</v>
      </c>
      <c r="I32" s="72">
        <v>2917.2819379334651</v>
      </c>
      <c r="J32" s="72">
        <v>2967.046464809036</v>
      </c>
      <c r="K32" s="72">
        <v>3014.1284030763773</v>
      </c>
      <c r="L32" s="72">
        <v>3058.3572595957066</v>
      </c>
      <c r="M32" s="72">
        <v>3058.3572595957066</v>
      </c>
      <c r="N32" s="72">
        <v>3058.3572595957066</v>
      </c>
      <c r="O32" s="72">
        <v>3058.3572595957066</v>
      </c>
      <c r="P32" s="72">
        <v>3058.3572595957066</v>
      </c>
    </row>
    <row r="33" spans="2:16" x14ac:dyDescent="0.25">
      <c r="B33" t="s">
        <v>199</v>
      </c>
      <c r="C33" t="s">
        <v>200</v>
      </c>
      <c r="D33" s="72">
        <v>36.152000000000015</v>
      </c>
      <c r="E33" s="72">
        <v>-0.24344878957167282</v>
      </c>
      <c r="F33" s="72">
        <v>-12.23599999999999</v>
      </c>
      <c r="G33" s="72">
        <v>72.260000000000005</v>
      </c>
      <c r="H33" s="72">
        <v>72.260000000000005</v>
      </c>
      <c r="I33" s="72">
        <v>72.260000000000005</v>
      </c>
      <c r="J33" s="72">
        <v>72.260000000000005</v>
      </c>
      <c r="K33" s="72">
        <v>74.935000000000016</v>
      </c>
      <c r="L33" s="72">
        <v>74.935000000000016</v>
      </c>
      <c r="M33" s="72">
        <v>74.935000000000016</v>
      </c>
      <c r="N33" s="72">
        <v>74.935000000000016</v>
      </c>
      <c r="O33" s="72">
        <v>77.001000000000005</v>
      </c>
      <c r="P33" s="72">
        <v>77.001000000000005</v>
      </c>
    </row>
    <row r="34" spans="2:16" x14ac:dyDescent="0.25">
      <c r="B34" t="s">
        <v>201</v>
      </c>
      <c r="C34" t="s">
        <v>202</v>
      </c>
      <c r="D34" s="72">
        <v>110.24799999999999</v>
      </c>
      <c r="E34" s="72">
        <v>110.24799999999999</v>
      </c>
      <c r="F34" s="72">
        <v>110.24799999999999</v>
      </c>
      <c r="G34" s="72">
        <v>12.726000000000001</v>
      </c>
      <c r="H34" s="72">
        <v>12.726000000000001</v>
      </c>
      <c r="I34" s="72">
        <v>12.726000000000001</v>
      </c>
      <c r="J34" s="72">
        <v>12.726000000000001</v>
      </c>
      <c r="K34" s="72">
        <v>1.365</v>
      </c>
      <c r="L34" s="72">
        <v>1.365</v>
      </c>
      <c r="M34" s="72">
        <v>1.365</v>
      </c>
      <c r="N34" s="72">
        <v>1.365</v>
      </c>
      <c r="O34" s="72">
        <v>-0.90100000000000025</v>
      </c>
      <c r="P34" s="72">
        <v>-0.90100000000000025</v>
      </c>
    </row>
    <row r="35" spans="2:16" x14ac:dyDescent="0.25">
      <c r="B35" t="s">
        <v>203</v>
      </c>
      <c r="C35" t="s">
        <v>204</v>
      </c>
      <c r="D35" s="72">
        <v>0.69999999999999929</v>
      </c>
      <c r="E35" s="72">
        <v>3.2873333333333328</v>
      </c>
      <c r="F35" s="72">
        <v>3.3786666666666676</v>
      </c>
      <c r="G35" s="72">
        <v>3.4086666666666687</v>
      </c>
      <c r="H35" s="72">
        <v>3.4320971496654735</v>
      </c>
      <c r="I35" s="72">
        <v>3.4845814315828072</v>
      </c>
      <c r="J35" s="72">
        <v>3.5380029328200884</v>
      </c>
      <c r="K35" s="72">
        <v>3.5942360920172298</v>
      </c>
      <c r="L35" s="72">
        <v>3.6645275410136549</v>
      </c>
      <c r="M35" s="72">
        <v>3.722635138850702</v>
      </c>
      <c r="N35" s="72">
        <v>3.768558885528364</v>
      </c>
      <c r="O35" s="72">
        <v>3.8257292640454601</v>
      </c>
      <c r="P35" s="72">
        <v>3.8810252039226469</v>
      </c>
    </row>
    <row r="36" spans="2:16" x14ac:dyDescent="0.25">
      <c r="B36" t="s">
        <v>205</v>
      </c>
      <c r="C36" t="s">
        <v>206</v>
      </c>
      <c r="D36" s="72">
        <v>24.400000000000002</v>
      </c>
      <c r="E36" s="72">
        <v>24.522000000000002</v>
      </c>
      <c r="F36" s="72">
        <v>23.642315789473688</v>
      </c>
      <c r="G36" s="72">
        <v>23.353368421052636</v>
      </c>
      <c r="H36" s="72">
        <v>23.513894736842111</v>
      </c>
      <c r="I36" s="72">
        <v>23.873473684210534</v>
      </c>
      <c r="J36" s="72">
        <v>24.239473684210534</v>
      </c>
      <c r="K36" s="72">
        <v>24.624736842105271</v>
      </c>
      <c r="L36" s="72">
        <v>25.106315789473694</v>
      </c>
      <c r="M36" s="72">
        <v>25.504421052631589</v>
      </c>
      <c r="N36" s="72">
        <v>25.819052631578955</v>
      </c>
      <c r="O36" s="72">
        <v>26.21073684210527</v>
      </c>
      <c r="P36" s="72">
        <v>26.589578947368427</v>
      </c>
    </row>
    <row r="37" spans="2:16" x14ac:dyDescent="0.25">
      <c r="B37" t="s">
        <v>207</v>
      </c>
      <c r="C37" t="s">
        <v>208</v>
      </c>
      <c r="D37" s="72">
        <v>560.86532532890533</v>
      </c>
      <c r="E37" s="72">
        <v>568.6516020047975</v>
      </c>
      <c r="F37" s="72">
        <v>559.89831215669528</v>
      </c>
      <c r="G37" s="72">
        <v>550.30425909702171</v>
      </c>
      <c r="H37" s="72">
        <v>543.0229428543696</v>
      </c>
      <c r="I37" s="72">
        <v>535.83796889028258</v>
      </c>
      <c r="J37" s="72">
        <v>528.74806245795264</v>
      </c>
      <c r="K37" s="72">
        <v>536.02634268447196</v>
      </c>
      <c r="L37" s="72">
        <v>543.40480930753245</v>
      </c>
      <c r="M37" s="72">
        <v>550.88484140484729</v>
      </c>
      <c r="N37" s="72">
        <v>558.46783703729932</v>
      </c>
      <c r="O37" s="72">
        <v>566.15521351024631</v>
      </c>
      <c r="P37" s="72">
        <v>573.94840763842376</v>
      </c>
    </row>
    <row r="38" spans="2:16" x14ac:dyDescent="0.25">
      <c r="B38" t="s">
        <v>209</v>
      </c>
      <c r="C38" t="s">
        <v>210</v>
      </c>
      <c r="D38" s="72">
        <v>810.4</v>
      </c>
      <c r="E38" s="72">
        <v>821.65047018095231</v>
      </c>
      <c r="F38" s="72">
        <v>823.05712629390428</v>
      </c>
      <c r="G38" s="72">
        <v>812.16689761904718</v>
      </c>
      <c r="H38" s="72">
        <v>801.42076232094598</v>
      </c>
      <c r="I38" s="72">
        <v>790.81681383713578</v>
      </c>
      <c r="J38" s="72">
        <v>780.35317083171333</v>
      </c>
      <c r="K38" s="72">
        <v>791.09482542343642</v>
      </c>
      <c r="L38" s="72">
        <v>801.98434017345789</v>
      </c>
      <c r="M38" s="72">
        <v>813.02375039451533</v>
      </c>
      <c r="N38" s="72">
        <v>824.21511941566905</v>
      </c>
      <c r="O38" s="72">
        <v>835.56053896795038</v>
      </c>
      <c r="P38" s="72">
        <v>847.06212957531818</v>
      </c>
    </row>
    <row r="39" spans="2:16" x14ac:dyDescent="0.25">
      <c r="B39" t="s">
        <v>55</v>
      </c>
      <c r="C39" t="s">
        <v>211</v>
      </c>
      <c r="D39" s="72">
        <v>875</v>
      </c>
      <c r="E39" s="72">
        <v>891.08013752972386</v>
      </c>
      <c r="F39" s="72">
        <v>907.46093880709282</v>
      </c>
      <c r="G39" s="72">
        <v>924.14802559305156</v>
      </c>
      <c r="H39" s="72">
        <v>925.12135244243177</v>
      </c>
      <c r="I39" s="72">
        <v>942.4115625893894</v>
      </c>
      <c r="J39" s="72">
        <v>960.02457208239116</v>
      </c>
      <c r="K39" s="72">
        <v>962.96640741949125</v>
      </c>
      <c r="L39" s="72">
        <v>980.98175187447646</v>
      </c>
      <c r="M39" s="72">
        <v>999.32862214421073</v>
      </c>
      <c r="N39" s="72">
        <v>1018.0131191037631</v>
      </c>
      <c r="O39" s="72">
        <v>1037.0414558990274</v>
      </c>
      <c r="P39" s="72">
        <v>1056.4199600127756</v>
      </c>
    </row>
    <row r="40" spans="2:16" x14ac:dyDescent="0.25">
      <c r="B40" t="s">
        <v>212</v>
      </c>
      <c r="C40" t="s">
        <v>213</v>
      </c>
      <c r="D40" s="72">
        <v>0</v>
      </c>
      <c r="E40" s="72">
        <v>0</v>
      </c>
      <c r="F40" s="72">
        <v>0</v>
      </c>
      <c r="G40" s="72">
        <v>0</v>
      </c>
      <c r="H40" s="72">
        <v>0</v>
      </c>
      <c r="I40" s="72">
        <v>0</v>
      </c>
      <c r="J40" s="72">
        <v>0</v>
      </c>
      <c r="K40" s="72">
        <v>0</v>
      </c>
      <c r="L40" s="72">
        <v>0</v>
      </c>
      <c r="M40" s="72">
        <v>0</v>
      </c>
      <c r="N40" s="72">
        <v>0</v>
      </c>
      <c r="O40" s="72">
        <v>0</v>
      </c>
      <c r="P40" s="72">
        <v>0</v>
      </c>
    </row>
    <row r="41" spans="2:16" x14ac:dyDescent="0.25">
      <c r="B41" t="s">
        <v>214</v>
      </c>
      <c r="C41" t="s">
        <v>215</v>
      </c>
      <c r="D41" s="72">
        <v>0</v>
      </c>
      <c r="E41" s="72">
        <v>0</v>
      </c>
      <c r="F41" s="72">
        <v>0</v>
      </c>
      <c r="G41" s="72">
        <v>0</v>
      </c>
      <c r="H41" s="72">
        <v>0</v>
      </c>
      <c r="I41" s="72">
        <v>0</v>
      </c>
      <c r="J41" s="72">
        <v>0</v>
      </c>
      <c r="K41" s="72">
        <v>0</v>
      </c>
      <c r="L41" s="72">
        <v>0</v>
      </c>
      <c r="M41" s="72">
        <v>0</v>
      </c>
      <c r="N41" s="72">
        <v>0</v>
      </c>
      <c r="O41" s="72">
        <v>0</v>
      </c>
      <c r="P41" s="72">
        <v>0</v>
      </c>
    </row>
    <row r="42" spans="2:16" x14ac:dyDescent="0.25">
      <c r="B42" t="s">
        <v>216</v>
      </c>
      <c r="C42" t="s">
        <v>217</v>
      </c>
      <c r="D42" s="72">
        <v>52.756999999999998</v>
      </c>
      <c r="E42" s="72">
        <v>52.756999999999998</v>
      </c>
      <c r="F42" s="72">
        <v>52.756999999999998</v>
      </c>
      <c r="G42" s="72">
        <v>12</v>
      </c>
      <c r="H42" s="72">
        <v>12</v>
      </c>
      <c r="I42" s="72">
        <v>12</v>
      </c>
      <c r="J42" s="72">
        <v>12</v>
      </c>
      <c r="K42" s="72">
        <v>4.2219999999999995</v>
      </c>
      <c r="L42" s="72">
        <v>4.2219999999999995</v>
      </c>
      <c r="M42" s="72">
        <v>4.2219999999999995</v>
      </c>
      <c r="N42" s="72">
        <v>4.2219999999999995</v>
      </c>
      <c r="O42" s="72">
        <v>2.3719999999999999</v>
      </c>
      <c r="P42" s="72">
        <v>2.3719999999999999</v>
      </c>
    </row>
    <row r="43" spans="2:16" x14ac:dyDescent="0.25">
      <c r="B43" t="s">
        <v>218</v>
      </c>
      <c r="C43" t="s">
        <v>219</v>
      </c>
      <c r="D43" s="72">
        <v>73.419000000000011</v>
      </c>
      <c r="E43" s="72">
        <v>39.719000000000008</v>
      </c>
      <c r="F43" s="72">
        <v>19.719000000000005</v>
      </c>
      <c r="G43" s="72">
        <v>1.4159999999999999</v>
      </c>
      <c r="H43" s="72">
        <v>1.4159999999999999</v>
      </c>
      <c r="I43" s="72">
        <v>1.4159999999999999</v>
      </c>
      <c r="J43" s="72">
        <v>1.4159999999999999</v>
      </c>
      <c r="K43" s="72">
        <v>1.4790000000000001</v>
      </c>
      <c r="L43" s="72">
        <v>1.4790000000000001</v>
      </c>
      <c r="M43" s="72">
        <v>1.4790000000000001</v>
      </c>
      <c r="N43" s="72">
        <v>1.4790000000000001</v>
      </c>
      <c r="O43" s="72">
        <v>1.63</v>
      </c>
      <c r="P43" s="72">
        <v>1.63</v>
      </c>
    </row>
    <row r="44" spans="2:16" x14ac:dyDescent="0.25">
      <c r="B44" t="s">
        <v>220</v>
      </c>
      <c r="C44" t="s">
        <v>221</v>
      </c>
      <c r="D44" s="72">
        <v>1860.3239999999998</v>
      </c>
      <c r="E44" s="72">
        <v>1818.6727800000012</v>
      </c>
      <c r="F44" s="72">
        <v>1761.7727800000014</v>
      </c>
      <c r="G44" s="72">
        <v>1825.3727800000015</v>
      </c>
      <c r="H44" s="72">
        <v>1881.6673000000017</v>
      </c>
      <c r="I44" s="72">
        <v>1888.7673000000018</v>
      </c>
      <c r="J44" s="72">
        <v>1895.8673000000019</v>
      </c>
      <c r="K44" s="72">
        <v>1924.6673000000021</v>
      </c>
      <c r="L44" s="72">
        <v>1957.0045600000024</v>
      </c>
      <c r="M44" s="72">
        <v>1964.1045600000025</v>
      </c>
      <c r="N44" s="72">
        <v>1971.2045600000026</v>
      </c>
      <c r="O44" s="72">
        <v>1997.8045600000028</v>
      </c>
      <c r="P44" s="72">
        <v>2030.7818200000029</v>
      </c>
    </row>
    <row r="45" spans="2:16" x14ac:dyDescent="0.25">
      <c r="B45" t="s">
        <v>222</v>
      </c>
      <c r="C45" t="s">
        <v>223</v>
      </c>
      <c r="D45" s="72">
        <v>157.20000000000005</v>
      </c>
      <c r="E45" s="72">
        <v>159.09549303998926</v>
      </c>
      <c r="F45" s="72">
        <v>161.0138416389139</v>
      </c>
      <c r="G45" s="72">
        <v>162.95532138553278</v>
      </c>
      <c r="H45" s="72">
        <v>164.92021119161092</v>
      </c>
      <c r="I45" s="72">
        <v>166.90879333198782</v>
      </c>
      <c r="J45" s="72">
        <v>168.92135348512892</v>
      </c>
      <c r="K45" s="72">
        <v>170.95818077416595</v>
      </c>
      <c r="L45" s="72">
        <v>173.01956780843219</v>
      </c>
      <c r="M45" s="72">
        <v>175.10581072549851</v>
      </c>
      <c r="N45" s="72">
        <v>177.2172092337164</v>
      </c>
      <c r="O45" s="72">
        <v>179.35406665527381</v>
      </c>
      <c r="P45" s="72">
        <v>181.51668996977023</v>
      </c>
    </row>
    <row r="46" spans="2:16" x14ac:dyDescent="0.25">
      <c r="B46" t="s">
        <v>224</v>
      </c>
      <c r="C46" t="s">
        <v>225</v>
      </c>
      <c r="D46" s="72">
        <v>3993.8</v>
      </c>
      <c r="E46" s="72">
        <v>4083.8986582189532</v>
      </c>
      <c r="F46" s="72">
        <v>4176.5744361794905</v>
      </c>
      <c r="G46" s="72">
        <v>4182.8068705747182</v>
      </c>
      <c r="H46" s="72">
        <v>4189.3398719761999</v>
      </c>
      <c r="I46" s="72">
        <v>4196.175533531542</v>
      </c>
      <c r="J46" s="72">
        <v>4203.315980189428</v>
      </c>
      <c r="K46" s="72">
        <v>4255.9657134693962</v>
      </c>
      <c r="L46" s="72">
        <v>4309.389396706385</v>
      </c>
      <c r="M46" s="72">
        <v>4363.5994912431543</v>
      </c>
      <c r="N46" s="72">
        <v>4418.6086679416931</v>
      </c>
      <c r="O46" s="72">
        <v>4441.4276962142922</v>
      </c>
      <c r="P46" s="72">
        <v>4464.4051296873286</v>
      </c>
    </row>
    <row r="47" spans="2:16" x14ac:dyDescent="0.25">
      <c r="B47" t="s">
        <v>226</v>
      </c>
      <c r="C47" t="s">
        <v>227</v>
      </c>
      <c r="D47" s="72">
        <v>2229.1</v>
      </c>
      <c r="E47" s="72">
        <v>2278.3533799356715</v>
      </c>
      <c r="F47" s="72">
        <v>2308.7210316866531</v>
      </c>
      <c r="G47" s="72">
        <v>2336.5723092423245</v>
      </c>
      <c r="H47" s="72">
        <v>2361.5875556248488</v>
      </c>
      <c r="I47" s="72">
        <v>2385.2343130882368</v>
      </c>
      <c r="J47" s="72">
        <v>2408.7667170233021</v>
      </c>
      <c r="K47" s="72">
        <v>2431.1106963751731</v>
      </c>
      <c r="L47" s="72">
        <v>2452.4385810761969</v>
      </c>
      <c r="M47" s="72">
        <v>2473.7144691171266</v>
      </c>
      <c r="N47" s="72">
        <v>2495.9241384697516</v>
      </c>
      <c r="O47" s="72">
        <v>2517.2082326894215</v>
      </c>
      <c r="P47" s="72">
        <v>2539.8879580689718</v>
      </c>
    </row>
    <row r="48" spans="2:16" x14ac:dyDescent="0.25">
      <c r="B48" t="s">
        <v>228</v>
      </c>
      <c r="C48" t="s">
        <v>229</v>
      </c>
      <c r="D48" s="72">
        <v>284.93290710306445</v>
      </c>
      <c r="E48" s="72">
        <v>288.71536824396719</v>
      </c>
      <c r="F48" s="72">
        <v>292.54804124852546</v>
      </c>
      <c r="G48" s="72">
        <v>304.85448798368532</v>
      </c>
      <c r="H48" s="72">
        <v>317.67862279017521</v>
      </c>
      <c r="I48" s="72">
        <v>331.04222294822597</v>
      </c>
      <c r="J48" s="72">
        <v>344.96798183013334</v>
      </c>
      <c r="K48" s="72">
        <v>337.12647105048472</v>
      </c>
      <c r="L48" s="72">
        <v>329.4632066430969</v>
      </c>
      <c r="M48" s="72">
        <v>321.97413686716163</v>
      </c>
      <c r="N48" s="72">
        <v>314.65530208250289</v>
      </c>
      <c r="O48" s="72">
        <v>315.46843320951899</v>
      </c>
      <c r="P48" s="72">
        <v>316.28366562713899</v>
      </c>
    </row>
    <row r="49" spans="2:16" x14ac:dyDescent="0.25">
      <c r="B49" t="s">
        <v>230</v>
      </c>
      <c r="C49" t="s">
        <v>231</v>
      </c>
      <c r="D49" s="72">
        <v>111.92861788617887</v>
      </c>
      <c r="E49" s="72">
        <v>113.57048780487806</v>
      </c>
      <c r="F49" s="72">
        <v>113.42975609756098</v>
      </c>
      <c r="G49" s="72">
        <v>112.72609756097562</v>
      </c>
      <c r="H49" s="72">
        <v>111.36569105691058</v>
      </c>
      <c r="I49" s="72">
        <v>109.58308943089432</v>
      </c>
      <c r="J49" s="72">
        <v>108.31650406504065</v>
      </c>
      <c r="K49" s="72">
        <v>107.80048780487806</v>
      </c>
      <c r="L49" s="72">
        <v>107.09682926829269</v>
      </c>
      <c r="M49" s="72">
        <v>107.37829268292684</v>
      </c>
      <c r="N49" s="72">
        <v>107.5659349593496</v>
      </c>
      <c r="O49" s="72">
        <v>107.98813008130082</v>
      </c>
      <c r="P49" s="72">
        <v>107.98813008130082</v>
      </c>
    </row>
    <row r="52" spans="2:16" x14ac:dyDescent="0.25">
      <c r="B52" s="915" t="s">
        <v>232</v>
      </c>
      <c r="C52" s="915"/>
      <c r="D52" s="915"/>
      <c r="E52" s="915"/>
      <c r="F52" s="915"/>
      <c r="G52" s="915"/>
      <c r="H52" s="915"/>
      <c r="I52" s="915"/>
      <c r="J52" s="915"/>
      <c r="K52" s="915"/>
      <c r="L52" s="915"/>
      <c r="M52" s="915"/>
      <c r="N52" s="915"/>
      <c r="O52" s="915"/>
      <c r="P52" s="915"/>
    </row>
    <row r="53" spans="2:16" x14ac:dyDescent="0.25">
      <c r="B53" t="s">
        <v>178</v>
      </c>
      <c r="C53" t="s">
        <v>179</v>
      </c>
      <c r="D53" t="s">
        <v>182</v>
      </c>
      <c r="E53" t="s">
        <v>183</v>
      </c>
      <c r="F53" t="s">
        <v>184</v>
      </c>
      <c r="G53" t="s">
        <v>185</v>
      </c>
      <c r="H53" t="s">
        <v>186</v>
      </c>
      <c r="I53" t="s">
        <v>187</v>
      </c>
      <c r="J53" t="s">
        <v>188</v>
      </c>
      <c r="K53" t="s">
        <v>189</v>
      </c>
      <c r="L53" t="s">
        <v>190</v>
      </c>
      <c r="M53" t="s">
        <v>191</v>
      </c>
      <c r="N53" t="s">
        <v>175</v>
      </c>
      <c r="O53" t="s">
        <v>176</v>
      </c>
      <c r="P53" t="s">
        <v>177</v>
      </c>
    </row>
    <row r="54" spans="2:16" x14ac:dyDescent="0.25">
      <c r="B54" t="s">
        <v>192</v>
      </c>
      <c r="C54" t="s">
        <v>193</v>
      </c>
      <c r="D54" s="72">
        <f t="shared" ref="D54:L54" si="0">D4-D29</f>
        <v>0</v>
      </c>
      <c r="E54" s="72">
        <f t="shared" si="0"/>
        <v>12.011173184357517</v>
      </c>
      <c r="F54" s="72">
        <f t="shared" si="0"/>
        <v>0</v>
      </c>
      <c r="G54" s="72">
        <f t="shared" si="0"/>
        <v>0</v>
      </c>
      <c r="H54" s="72">
        <f t="shared" si="0"/>
        <v>0</v>
      </c>
      <c r="I54" s="72">
        <f t="shared" si="0"/>
        <v>0</v>
      </c>
      <c r="J54" s="72">
        <f t="shared" si="0"/>
        <v>0</v>
      </c>
      <c r="K54" s="72">
        <f t="shared" si="0"/>
        <v>0</v>
      </c>
      <c r="L54" s="72">
        <f t="shared" si="0"/>
        <v>0</v>
      </c>
      <c r="M54" s="72">
        <f t="shared" ref="M54:P54" si="1">M4-M29</f>
        <v>0</v>
      </c>
      <c r="N54" s="72">
        <f t="shared" si="1"/>
        <v>0</v>
      </c>
      <c r="O54" s="72">
        <f t="shared" si="1"/>
        <v>0</v>
      </c>
      <c r="P54" s="72">
        <f t="shared" si="1"/>
        <v>0</v>
      </c>
    </row>
    <row r="55" spans="2:16" x14ac:dyDescent="0.25">
      <c r="B55" t="s">
        <v>134</v>
      </c>
      <c r="C55" t="s">
        <v>194</v>
      </c>
      <c r="D55" s="72">
        <f t="shared" ref="D55:L55" si="2">D5-D30</f>
        <v>-6.6000000000002501E-2</v>
      </c>
      <c r="E55" s="72">
        <f t="shared" si="2"/>
        <v>0</v>
      </c>
      <c r="F55" s="72">
        <f t="shared" si="2"/>
        <v>0</v>
      </c>
      <c r="G55" s="72">
        <f t="shared" si="2"/>
        <v>0</v>
      </c>
      <c r="H55" s="72">
        <f t="shared" si="2"/>
        <v>0</v>
      </c>
      <c r="I55" s="72">
        <f t="shared" si="2"/>
        <v>0</v>
      </c>
      <c r="J55" s="72">
        <f t="shared" si="2"/>
        <v>0</v>
      </c>
      <c r="K55" s="72">
        <f t="shared" si="2"/>
        <v>0</v>
      </c>
      <c r="L55" s="72">
        <f t="shared" si="2"/>
        <v>0</v>
      </c>
      <c r="M55" s="72">
        <f t="shared" ref="M55:P55" si="3">M5-M30</f>
        <v>0</v>
      </c>
      <c r="N55" s="72">
        <f t="shared" si="3"/>
        <v>0</v>
      </c>
      <c r="O55" s="72">
        <f t="shared" si="3"/>
        <v>0</v>
      </c>
      <c r="P55" s="72">
        <f t="shared" si="3"/>
        <v>0</v>
      </c>
    </row>
    <row r="56" spans="2:16" x14ac:dyDescent="0.25">
      <c r="B56" t="s">
        <v>195</v>
      </c>
      <c r="C56" t="s">
        <v>196</v>
      </c>
      <c r="D56" s="72">
        <f t="shared" ref="D56:L74" si="4">D6-D31</f>
        <v>1.0999999999999091</v>
      </c>
      <c r="E56" s="72">
        <f t="shared" si="4"/>
        <v>-2.9645509585991476</v>
      </c>
      <c r="F56" s="72">
        <f t="shared" si="4"/>
        <v>-5.816172546665257</v>
      </c>
      <c r="G56" s="72">
        <f t="shared" si="4"/>
        <v>-5.970018128874699</v>
      </c>
      <c r="H56" s="72">
        <f t="shared" si="4"/>
        <v>-14.069585512587764</v>
      </c>
      <c r="I56" s="72">
        <f t="shared" si="4"/>
        <v>-9.0374028092478511</v>
      </c>
      <c r="J56" s="72">
        <f t="shared" si="4"/>
        <v>-7.0500101649713542</v>
      </c>
      <c r="K56" s="72">
        <f t="shared" si="4"/>
        <v>-11.480507570703139</v>
      </c>
      <c r="L56" s="72">
        <f t="shared" si="4"/>
        <v>75.508737563467093</v>
      </c>
      <c r="M56" s="72">
        <f t="shared" ref="M56:P56" si="5">M6-M31</f>
        <v>79.850463799471527</v>
      </c>
      <c r="N56" s="72">
        <f t="shared" si="5"/>
        <v>83.847528256727401</v>
      </c>
      <c r="O56" s="72">
        <f t="shared" si="5"/>
        <v>85.19127252800763</v>
      </c>
      <c r="P56" s="72">
        <f t="shared" si="5"/>
        <v>85.983614808015545</v>
      </c>
    </row>
    <row r="57" spans="2:16" x14ac:dyDescent="0.25">
      <c r="B57" t="s">
        <v>197</v>
      </c>
      <c r="C57" t="s">
        <v>198</v>
      </c>
      <c r="D57" s="72">
        <f t="shared" si="4"/>
        <v>5.0999999999999091</v>
      </c>
      <c r="E57" s="72">
        <f t="shared" si="4"/>
        <v>4.2176595449618617</v>
      </c>
      <c r="F57" s="72">
        <f t="shared" si="4"/>
        <v>-7.1817269386697262</v>
      </c>
      <c r="G57" s="72">
        <f t="shared" si="4"/>
        <v>-28.704116957017959</v>
      </c>
      <c r="H57" s="72">
        <f t="shared" si="4"/>
        <v>-49.331030561014359</v>
      </c>
      <c r="I57" s="72">
        <f t="shared" si="4"/>
        <v>-72.241742900705503</v>
      </c>
      <c r="J57" s="72">
        <f t="shared" si="4"/>
        <v>-95.451759643715377</v>
      </c>
      <c r="K57" s="72">
        <f t="shared" si="4"/>
        <v>-116.88103906601555</v>
      </c>
      <c r="L57" s="72">
        <f t="shared" si="4"/>
        <v>-135.958265233372</v>
      </c>
      <c r="M57" s="72">
        <f t="shared" ref="M57:P57" si="6">M7-M32</f>
        <v>-110.90684058001261</v>
      </c>
      <c r="N57" s="72">
        <f t="shared" si="6"/>
        <v>-85.153976036358472</v>
      </c>
      <c r="O57" s="72">
        <f t="shared" si="6"/>
        <v>-58.499260205184328</v>
      </c>
      <c r="P57" s="72">
        <f t="shared" si="6"/>
        <v>-29.840430401740377</v>
      </c>
    </row>
    <row r="58" spans="2:16" x14ac:dyDescent="0.25">
      <c r="B58" t="s">
        <v>199</v>
      </c>
      <c r="C58" t="s">
        <v>200</v>
      </c>
      <c r="D58" s="72">
        <f t="shared" si="4"/>
        <v>3</v>
      </c>
      <c r="E58" s="72">
        <f t="shared" si="4"/>
        <v>17.988826815642454</v>
      </c>
      <c r="F58" s="72">
        <f t="shared" si="4"/>
        <v>0</v>
      </c>
      <c r="G58" s="72">
        <f t="shared" si="4"/>
        <v>0</v>
      </c>
      <c r="H58" s="72">
        <f t="shared" si="4"/>
        <v>0</v>
      </c>
      <c r="I58" s="72">
        <f t="shared" si="4"/>
        <v>0</v>
      </c>
      <c r="J58" s="72">
        <f t="shared" si="4"/>
        <v>0</v>
      </c>
      <c r="K58" s="72">
        <f t="shared" si="4"/>
        <v>0</v>
      </c>
      <c r="L58" s="72">
        <f t="shared" si="4"/>
        <v>0</v>
      </c>
      <c r="M58" s="72">
        <f t="shared" ref="M58:P58" si="7">M8-M33</f>
        <v>0</v>
      </c>
      <c r="N58" s="72">
        <f t="shared" si="7"/>
        <v>0</v>
      </c>
      <c r="O58" s="72">
        <f t="shared" si="7"/>
        <v>0</v>
      </c>
      <c r="P58" s="72">
        <f t="shared" si="7"/>
        <v>0</v>
      </c>
    </row>
    <row r="59" spans="2:16"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si="4"/>
        <v>0</v>
      </c>
      <c r="M59" s="72">
        <f t="shared" ref="M59:P59" si="8">M9-M34</f>
        <v>0</v>
      </c>
      <c r="N59" s="72">
        <f t="shared" si="8"/>
        <v>0</v>
      </c>
      <c r="O59" s="72">
        <f t="shared" si="8"/>
        <v>0</v>
      </c>
      <c r="P59" s="72">
        <f t="shared" si="8"/>
        <v>0</v>
      </c>
    </row>
    <row r="60" spans="2:16" x14ac:dyDescent="0.25">
      <c r="B60" t="s">
        <v>203</v>
      </c>
      <c r="C60" t="s">
        <v>204</v>
      </c>
      <c r="D60" s="72">
        <f t="shared" si="4"/>
        <v>0</v>
      </c>
      <c r="E60" s="72">
        <f t="shared" si="4"/>
        <v>-3.2873333333333328</v>
      </c>
      <c r="F60" s="72">
        <f t="shared" si="4"/>
        <v>-3.3786666666666676</v>
      </c>
      <c r="G60" s="72">
        <f t="shared" si="4"/>
        <v>-3.4086666666666687</v>
      </c>
      <c r="H60" s="72">
        <f t="shared" si="4"/>
        <v>-3.4320971496654735</v>
      </c>
      <c r="I60" s="72">
        <f t="shared" si="4"/>
        <v>-3.4845814315828072</v>
      </c>
      <c r="J60" s="72">
        <f t="shared" si="4"/>
        <v>-3.5380029328200884</v>
      </c>
      <c r="K60" s="72">
        <f t="shared" si="4"/>
        <v>-3.5942360920172298</v>
      </c>
      <c r="L60" s="72">
        <f t="shared" si="4"/>
        <v>-3.6645275410136549</v>
      </c>
      <c r="M60" s="72">
        <f t="shared" ref="M60:P60" si="9">M10-M35</f>
        <v>-3.722635138850702</v>
      </c>
      <c r="N60" s="72">
        <f t="shared" si="9"/>
        <v>-3.768558885528364</v>
      </c>
      <c r="O60" s="72">
        <f t="shared" si="9"/>
        <v>-3.8257292640454601</v>
      </c>
      <c r="P60" s="72">
        <f t="shared" si="9"/>
        <v>-3.8810252039226469</v>
      </c>
    </row>
    <row r="61" spans="2:16" x14ac:dyDescent="0.25">
      <c r="B61" t="s">
        <v>205</v>
      </c>
      <c r="C61" t="s">
        <v>206</v>
      </c>
      <c r="D61" s="72">
        <f t="shared" si="4"/>
        <v>0</v>
      </c>
      <c r="E61" s="72">
        <f t="shared" si="4"/>
        <v>-1.4062105263157925</v>
      </c>
      <c r="F61" s="72">
        <f t="shared" si="4"/>
        <v>0</v>
      </c>
      <c r="G61" s="72">
        <f t="shared" si="4"/>
        <v>0</v>
      </c>
      <c r="H61" s="72">
        <f t="shared" si="4"/>
        <v>0</v>
      </c>
      <c r="I61" s="72">
        <f t="shared" si="4"/>
        <v>0</v>
      </c>
      <c r="J61" s="72">
        <f t="shared" si="4"/>
        <v>0</v>
      </c>
      <c r="K61" s="72">
        <f t="shared" si="4"/>
        <v>0</v>
      </c>
      <c r="L61" s="72">
        <f t="shared" si="4"/>
        <v>0</v>
      </c>
      <c r="M61" s="72">
        <f t="shared" ref="M61:P61" si="10">M11-M36</f>
        <v>0</v>
      </c>
      <c r="N61" s="72">
        <f t="shared" si="10"/>
        <v>0</v>
      </c>
      <c r="O61" s="72">
        <f t="shared" si="10"/>
        <v>0</v>
      </c>
      <c r="P61" s="72">
        <f t="shared" si="10"/>
        <v>0</v>
      </c>
    </row>
    <row r="62" spans="2:16" x14ac:dyDescent="0.25">
      <c r="B62" t="s">
        <v>207</v>
      </c>
      <c r="C62" t="s">
        <v>208</v>
      </c>
      <c r="D62" s="72">
        <f t="shared" si="4"/>
        <v>17.28167467109472</v>
      </c>
      <c r="E62" s="72">
        <f t="shared" si="4"/>
        <v>10.738594026308533</v>
      </c>
      <c r="F62" s="72">
        <f t="shared" si="4"/>
        <v>30.272069489937849</v>
      </c>
      <c r="G62" s="72">
        <f t="shared" si="4"/>
        <v>49.85710628854747</v>
      </c>
      <c r="H62" s="72">
        <f t="shared" si="4"/>
        <v>70.208845294536445</v>
      </c>
      <c r="I62" s="72">
        <f t="shared" si="4"/>
        <v>90.748892052877636</v>
      </c>
      <c r="J62" s="72">
        <f t="shared" si="4"/>
        <v>67.462007642294679</v>
      </c>
      <c r="K62" s="72">
        <f t="shared" si="4"/>
        <v>53.34469374233413</v>
      </c>
      <c r="L62" s="72">
        <f t="shared" si="4"/>
        <v>39.679547429292597</v>
      </c>
      <c r="M62" s="72">
        <f t="shared" ref="M62:P62" si="11">M12-M37</f>
        <v>25.979894148576932</v>
      </c>
      <c r="N62" s="72">
        <f t="shared" si="11"/>
        <v>12.24362054227538</v>
      </c>
      <c r="O62" s="72">
        <f t="shared" si="11"/>
        <v>-5.6420793808565577</v>
      </c>
      <c r="P62" s="72">
        <f t="shared" si="11"/>
        <v>-19.414132866735827</v>
      </c>
    </row>
    <row r="63" spans="2:16" x14ac:dyDescent="0.25">
      <c r="B63" t="s">
        <v>209</v>
      </c>
      <c r="C63" t="s">
        <v>210</v>
      </c>
      <c r="D63" s="72">
        <f t="shared" si="4"/>
        <v>-19.100000000000023</v>
      </c>
      <c r="E63" s="72">
        <f t="shared" si="4"/>
        <v>-28.648928843863018</v>
      </c>
      <c r="F63" s="72">
        <f t="shared" si="4"/>
        <v>-15.300927616092622</v>
      </c>
      <c r="G63" s="72">
        <f t="shared" si="4"/>
        <v>13.180761648104863</v>
      </c>
      <c r="H63" s="72">
        <f t="shared" si="4"/>
        <v>41.901467545934338</v>
      </c>
      <c r="I63" s="72">
        <f t="shared" si="4"/>
        <v>70.871440078957903</v>
      </c>
      <c r="J63" s="72">
        <f t="shared" si="4"/>
        <v>100.1010857271018</v>
      </c>
      <c r="K63" s="72">
        <f t="shared" si="4"/>
        <v>79.967836451283574</v>
      </c>
      <c r="L63" s="72">
        <f t="shared" si="4"/>
        <v>59.786904908355837</v>
      </c>
      <c r="M63" s="72">
        <f t="shared" ref="M63:P63" si="12">M13-M38</f>
        <v>39.555187212008491</v>
      </c>
      <c r="N63" s="72">
        <f t="shared" si="12"/>
        <v>19.269562857827168</v>
      </c>
      <c r="O63" s="72">
        <f>O13-O38</f>
        <v>-1.0731057839374216</v>
      </c>
      <c r="P63" s="72">
        <f t="shared" si="12"/>
        <v>-21.475973979610785</v>
      </c>
    </row>
    <row r="64" spans="2:16" x14ac:dyDescent="0.25">
      <c r="B64" t="s">
        <v>55</v>
      </c>
      <c r="C64" t="s">
        <v>211</v>
      </c>
      <c r="D64" s="72">
        <f t="shared" si="4"/>
        <v>-12.899999999999977</v>
      </c>
      <c r="E64" s="72">
        <f t="shared" si="4"/>
        <v>-30.72221010979672</v>
      </c>
      <c r="F64" s="72">
        <f t="shared" si="4"/>
        <v>-28.881978335324902</v>
      </c>
      <c r="G64" s="72">
        <f t="shared" si="4"/>
        <v>-26.962139134775612</v>
      </c>
      <c r="H64" s="72">
        <f t="shared" si="4"/>
        <v>-10.243199171031165</v>
      </c>
      <c r="I64" s="72">
        <f t="shared" si="4"/>
        <v>-9.4922557137193735</v>
      </c>
      <c r="J64" s="72">
        <f t="shared" si="4"/>
        <v>-8.7083448566735342</v>
      </c>
      <c r="K64" s="72">
        <f t="shared" si="4"/>
        <v>7.1095225275589655</v>
      </c>
      <c r="L64" s="72">
        <f t="shared" si="4"/>
        <v>12.486287435620852</v>
      </c>
      <c r="M64" s="72">
        <f t="shared" ref="M64:P64" si="13">M14-M39</f>
        <v>18.095596581143582</v>
      </c>
      <c r="N64" s="72">
        <f t="shared" si="13"/>
        <v>23.944950898918933</v>
      </c>
      <c r="O64" s="72">
        <f t="shared" si="13"/>
        <v>30.042067042727695</v>
      </c>
      <c r="P64" s="72">
        <f t="shared" si="13"/>
        <v>36.39488322833131</v>
      </c>
    </row>
    <row r="65" spans="2:16"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si="4"/>
        <v>0</v>
      </c>
      <c r="M65" s="72">
        <f t="shared" ref="M65:P65" si="14">M15-M40</f>
        <v>0</v>
      </c>
      <c r="N65" s="72">
        <f t="shared" si="14"/>
        <v>0</v>
      </c>
      <c r="O65" s="72">
        <f t="shared" si="14"/>
        <v>0</v>
      </c>
      <c r="P65" s="72">
        <f t="shared" si="14"/>
        <v>0</v>
      </c>
    </row>
    <row r="66" spans="2:16"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si="4"/>
        <v>0</v>
      </c>
      <c r="M66" s="72">
        <f t="shared" ref="M66:P66" si="15">M16-M41</f>
        <v>0</v>
      </c>
      <c r="N66" s="72">
        <f t="shared" si="15"/>
        <v>0</v>
      </c>
      <c r="O66" s="72">
        <f t="shared" si="15"/>
        <v>0</v>
      </c>
      <c r="P66" s="72">
        <f t="shared" si="15"/>
        <v>0</v>
      </c>
    </row>
    <row r="67" spans="2:16"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si="4"/>
        <v>0</v>
      </c>
      <c r="M67" s="72">
        <f t="shared" ref="M67:P67" si="16">M17-M42</f>
        <v>0</v>
      </c>
      <c r="N67" s="72">
        <f t="shared" si="16"/>
        <v>0</v>
      </c>
      <c r="O67" s="72">
        <f t="shared" si="16"/>
        <v>0</v>
      </c>
      <c r="P67" s="72">
        <f t="shared" si="16"/>
        <v>0</v>
      </c>
    </row>
    <row r="68" spans="2:16" x14ac:dyDescent="0.25">
      <c r="B68" t="s">
        <v>901</v>
      </c>
      <c r="C68" t="s">
        <v>219</v>
      </c>
      <c r="D68" s="72">
        <f t="shared" si="4"/>
        <v>0</v>
      </c>
      <c r="E68" s="72">
        <f t="shared" si="4"/>
        <v>30</v>
      </c>
      <c r="F68" s="72">
        <f t="shared" si="4"/>
        <v>0</v>
      </c>
      <c r="G68" s="72">
        <f t="shared" si="4"/>
        <v>0</v>
      </c>
      <c r="H68" s="72">
        <f t="shared" si="4"/>
        <v>0</v>
      </c>
      <c r="I68" s="72">
        <f t="shared" si="4"/>
        <v>0</v>
      </c>
      <c r="J68" s="72">
        <f t="shared" si="4"/>
        <v>0</v>
      </c>
      <c r="K68" s="72">
        <f t="shared" si="4"/>
        <v>0</v>
      </c>
      <c r="L68" s="72">
        <f t="shared" si="4"/>
        <v>0</v>
      </c>
      <c r="M68" s="72">
        <f t="shared" ref="M68:P68" si="17">M18-M43</f>
        <v>0</v>
      </c>
      <c r="N68" s="72">
        <f t="shared" si="17"/>
        <v>0</v>
      </c>
      <c r="O68" s="72">
        <f t="shared" si="17"/>
        <v>0</v>
      </c>
      <c r="P68" s="72">
        <f t="shared" si="17"/>
        <v>0</v>
      </c>
    </row>
    <row r="69" spans="2:16" x14ac:dyDescent="0.25">
      <c r="B69" t="s">
        <v>220</v>
      </c>
      <c r="C69" t="s">
        <v>221</v>
      </c>
      <c r="D69" s="72">
        <f t="shared" si="4"/>
        <v>4.5</v>
      </c>
      <c r="E69" s="72">
        <f t="shared" si="4"/>
        <v>22.66953999999987</v>
      </c>
      <c r="F69" s="72">
        <f t="shared" si="4"/>
        <v>71.66953999999987</v>
      </c>
      <c r="G69" s="72">
        <f t="shared" si="4"/>
        <v>71.66953999999987</v>
      </c>
      <c r="H69" s="72">
        <f t="shared" si="4"/>
        <v>0.11590000000001055</v>
      </c>
      <c r="I69" s="72">
        <f t="shared" si="4"/>
        <v>0.11590000000001055</v>
      </c>
      <c r="J69" s="72">
        <f t="shared" si="4"/>
        <v>0.11590000000001055</v>
      </c>
      <c r="K69" s="72">
        <f t="shared" si="4"/>
        <v>0.11590000000001055</v>
      </c>
      <c r="L69" s="72">
        <f t="shared" si="4"/>
        <v>0.13907999999992171</v>
      </c>
      <c r="M69" s="72">
        <f t="shared" ref="M69:P69" si="18">M19-M44</f>
        <v>0.13907999999992171</v>
      </c>
      <c r="N69" s="72">
        <f t="shared" si="18"/>
        <v>0.13907999999992171</v>
      </c>
      <c r="O69" s="72">
        <f t="shared" si="18"/>
        <v>0.13907999999992171</v>
      </c>
      <c r="P69" s="72">
        <f t="shared" si="18"/>
        <v>0.16225999999983287</v>
      </c>
    </row>
    <row r="70" spans="2:16"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si="4"/>
        <v>0</v>
      </c>
      <c r="M70" s="72">
        <f t="shared" ref="M70:P70" si="19">M20-M45</f>
        <v>0</v>
      </c>
      <c r="N70" s="72">
        <f t="shared" si="19"/>
        <v>0</v>
      </c>
      <c r="O70" s="72">
        <f t="shared" si="19"/>
        <v>0</v>
      </c>
      <c r="P70" s="72">
        <f t="shared" si="19"/>
        <v>0</v>
      </c>
    </row>
    <row r="71" spans="2:16" x14ac:dyDescent="0.25">
      <c r="B71" t="s">
        <v>224</v>
      </c>
      <c r="C71" t="s">
        <v>225</v>
      </c>
      <c r="D71" s="72">
        <f t="shared" si="4"/>
        <v>220.39999999999964</v>
      </c>
      <c r="E71" s="72">
        <f t="shared" si="4"/>
        <v>304.59076440732179</v>
      </c>
      <c r="F71" s="72">
        <f t="shared" si="4"/>
        <v>394.2506044094871</v>
      </c>
      <c r="G71" s="72">
        <f t="shared" si="4"/>
        <v>410.57290279476547</v>
      </c>
      <c r="H71" s="72">
        <f t="shared" si="4"/>
        <v>427.21894924968365</v>
      </c>
      <c r="I71" s="72">
        <f t="shared" si="4"/>
        <v>444.19660152246615</v>
      </c>
      <c r="J71" s="72">
        <f t="shared" si="4"/>
        <v>461.5138653390768</v>
      </c>
      <c r="K71" s="72">
        <f t="shared" si="4"/>
        <v>416.78375211049479</v>
      </c>
      <c r="L71" s="72">
        <f t="shared" si="4"/>
        <v>371.4537628835451</v>
      </c>
      <c r="M71" s="72">
        <f t="shared" ref="M71:P71" si="20">M21-M46</f>
        <v>325.51247410791075</v>
      </c>
      <c r="N71" s="72">
        <f t="shared" si="20"/>
        <v>278.94826274420848</v>
      </c>
      <c r="O71" s="72">
        <f t="shared" si="20"/>
        <v>268.47937758545777</v>
      </c>
      <c r="P71" s="72">
        <f t="shared" si="20"/>
        <v>257.94056295921928</v>
      </c>
    </row>
    <row r="72" spans="2:16" x14ac:dyDescent="0.25">
      <c r="B72" t="s">
        <v>226</v>
      </c>
      <c r="C72" t="s">
        <v>227</v>
      </c>
      <c r="D72" s="72">
        <f t="shared" si="4"/>
        <v>6.5999999999999091</v>
      </c>
      <c r="E72" s="72">
        <f t="shared" si="4"/>
        <v>16.838455687087844</v>
      </c>
      <c r="F72" s="72">
        <f t="shared" si="4"/>
        <v>20.611636090699903</v>
      </c>
      <c r="G72" s="72">
        <f t="shared" si="4"/>
        <v>23.859358676676038</v>
      </c>
      <c r="H72" s="72">
        <f t="shared" si="4"/>
        <v>26.846772082161351</v>
      </c>
      <c r="I72" s="72">
        <f t="shared" si="4"/>
        <v>30.89256269329826</v>
      </c>
      <c r="J72" s="72">
        <f t="shared" si="4"/>
        <v>34.282922355779192</v>
      </c>
      <c r="K72" s="72">
        <f t="shared" si="4"/>
        <v>36.969855005590489</v>
      </c>
      <c r="L72" s="72">
        <f t="shared" si="4"/>
        <v>40.269659114975184</v>
      </c>
      <c r="M72" s="72">
        <f t="shared" ref="M72:P72" si="21">M22-M47</f>
        <v>41.87687841072011</v>
      </c>
      <c r="N72" s="72">
        <f t="shared" si="21"/>
        <v>42.372646433384034</v>
      </c>
      <c r="O72" s="72">
        <f t="shared" si="21"/>
        <v>44.85258463559876</v>
      </c>
      <c r="P72" s="72">
        <f t="shared" si="21"/>
        <v>45.524194544575039</v>
      </c>
    </row>
    <row r="73" spans="2:16" x14ac:dyDescent="0.25">
      <c r="B73" t="s">
        <v>228</v>
      </c>
      <c r="C73" t="s">
        <v>229</v>
      </c>
      <c r="D73" s="72">
        <f t="shared" si="4"/>
        <v>-1.5329071030644741</v>
      </c>
      <c r="E73" s="72">
        <f t="shared" si="4"/>
        <v>-8.2825998394787348</v>
      </c>
      <c r="F73" s="72">
        <f t="shared" si="4"/>
        <v>-15.051437172994554</v>
      </c>
      <c r="G73" s="72">
        <f t="shared" si="4"/>
        <v>-17.157504744141477</v>
      </c>
      <c r="H73" s="72">
        <f t="shared" si="4"/>
        <v>-19.406309005010542</v>
      </c>
      <c r="I73" s="72">
        <f t="shared" si="4"/>
        <v>-21.805844558119361</v>
      </c>
      <c r="J73" s="72">
        <f t="shared" si="4"/>
        <v>-24.364515466486409</v>
      </c>
      <c r="K73" s="72">
        <f t="shared" si="4"/>
        <v>-12.743508067207472</v>
      </c>
      <c r="L73" s="72">
        <f t="shared" si="4"/>
        <v>-1.2561917056515313</v>
      </c>
      <c r="M73" s="72">
        <f t="shared" ref="M73:P73" si="22">M23-M48</f>
        <v>10.102010608258354</v>
      </c>
      <c r="N73" s="72">
        <f t="shared" si="22"/>
        <v>21.335589955970647</v>
      </c>
      <c r="O73" s="72">
        <f t="shared" si="22"/>
        <v>21.421516063897968</v>
      </c>
      <c r="P73" s="72">
        <f t="shared" si="22"/>
        <v>21.507746612837536</v>
      </c>
    </row>
    <row r="74" spans="2:16" x14ac:dyDescent="0.25">
      <c r="B74" t="s">
        <v>230</v>
      </c>
      <c r="C74" t="s">
        <v>231</v>
      </c>
      <c r="D74" s="72">
        <f t="shared" si="4"/>
        <v>43.471382113821136</v>
      </c>
      <c r="E74" s="72">
        <f t="shared" si="4"/>
        <v>4.9061727642276338</v>
      </c>
      <c r="F74" s="72">
        <f t="shared" si="4"/>
        <v>7.4211371951219434</v>
      </c>
      <c r="G74" s="72">
        <f t="shared" si="4"/>
        <v>-3.1672509146341667</v>
      </c>
      <c r="H74" s="72">
        <f t="shared" si="4"/>
        <v>-2.005105081300826</v>
      </c>
      <c r="I74" s="72">
        <f t="shared" si="4"/>
        <v>-0.81287967479676126</v>
      </c>
      <c r="J74" s="72">
        <f t="shared" si="4"/>
        <v>-0.20716321138210958</v>
      </c>
      <c r="K74" s="72">
        <f t="shared" si="4"/>
        <v>-0.26830579268295196</v>
      </c>
      <c r="L74" s="72">
        <f t="shared" si="4"/>
        <v>-6.2501829268313713E-2</v>
      </c>
      <c r="M74" s="72">
        <f t="shared" ref="M74:P74" si="23">M24-M49</f>
        <v>-0.47173323170734704</v>
      </c>
      <c r="N74" s="72">
        <f t="shared" si="23"/>
        <v>-1.0338678861788821</v>
      </c>
      <c r="O74" s="72">
        <f t="shared" si="23"/>
        <v>-0.87009258130082401</v>
      </c>
      <c r="P74" s="72">
        <f t="shared" si="23"/>
        <v>-0.48238282520327402</v>
      </c>
    </row>
    <row r="77" spans="2:16" x14ac:dyDescent="0.25">
      <c r="B77" s="915" t="s">
        <v>233</v>
      </c>
      <c r="C77" s="915"/>
      <c r="D77" s="915"/>
      <c r="E77" s="915"/>
      <c r="F77" s="915"/>
      <c r="G77" s="915"/>
      <c r="H77" s="915"/>
      <c r="I77" s="915"/>
      <c r="J77" s="915"/>
      <c r="K77" s="915"/>
      <c r="L77" s="915"/>
      <c r="M77" s="915"/>
      <c r="N77" s="915"/>
      <c r="O77" s="915"/>
      <c r="P77" s="915"/>
    </row>
    <row r="78" spans="2:16" x14ac:dyDescent="0.25">
      <c r="B78" t="s">
        <v>178</v>
      </c>
      <c r="C78" t="s">
        <v>179</v>
      </c>
      <c r="D78" t="s">
        <v>182</v>
      </c>
      <c r="E78" t="s">
        <v>183</v>
      </c>
      <c r="F78" t="s">
        <v>184</v>
      </c>
      <c r="G78" t="s">
        <v>185</v>
      </c>
      <c r="H78" t="s">
        <v>186</v>
      </c>
      <c r="I78" t="s">
        <v>187</v>
      </c>
      <c r="J78" t="s">
        <v>188</v>
      </c>
      <c r="K78" t="s">
        <v>189</v>
      </c>
      <c r="L78" t="s">
        <v>190</v>
      </c>
      <c r="M78" t="s">
        <v>191</v>
      </c>
      <c r="N78" t="s">
        <v>175</v>
      </c>
      <c r="O78" t="s">
        <v>176</v>
      </c>
      <c r="P78" t="s">
        <v>177</v>
      </c>
    </row>
    <row r="79" spans="2:16" x14ac:dyDescent="0.25">
      <c r="B79" t="s">
        <v>192</v>
      </c>
      <c r="C79" t="s">
        <v>193</v>
      </c>
      <c r="D79" s="73">
        <f t="shared" ref="D79:L79" si="24">(D4/D29-1)</f>
        <v>0</v>
      </c>
      <c r="E79" s="73">
        <f t="shared" si="24"/>
        <v>2.76231062424519E-2</v>
      </c>
      <c r="F79" s="73">
        <f t="shared" si="24"/>
        <v>0</v>
      </c>
      <c r="G79" s="73">
        <f t="shared" si="24"/>
        <v>0</v>
      </c>
      <c r="H79" s="73">
        <f t="shared" si="24"/>
        <v>0</v>
      </c>
      <c r="I79" s="73">
        <f t="shared" si="24"/>
        <v>0</v>
      </c>
      <c r="J79" s="73">
        <f t="shared" si="24"/>
        <v>0</v>
      </c>
      <c r="K79" s="73">
        <f t="shared" si="24"/>
        <v>0</v>
      </c>
      <c r="L79" s="73">
        <f t="shared" si="24"/>
        <v>0</v>
      </c>
      <c r="M79" s="73">
        <f t="shared" ref="M79:P79" si="25">(M4/M29-1)</f>
        <v>0</v>
      </c>
      <c r="N79" s="73">
        <f t="shared" si="25"/>
        <v>0</v>
      </c>
      <c r="O79" s="73">
        <f t="shared" si="25"/>
        <v>0</v>
      </c>
      <c r="P79" s="73">
        <f t="shared" si="25"/>
        <v>0</v>
      </c>
    </row>
    <row r="80" spans="2:16" x14ac:dyDescent="0.25">
      <c r="B80" t="s">
        <v>134</v>
      </c>
      <c r="C80" t="s">
        <v>194</v>
      </c>
      <c r="D80" s="73">
        <f t="shared" ref="D80:L99" si="26">(D5/D30-1)</f>
        <v>-8.6222663496460239E-4</v>
      </c>
      <c r="E80" s="73">
        <f t="shared" si="26"/>
        <v>0</v>
      </c>
      <c r="F80" s="73">
        <f t="shared" si="26"/>
        <v>0</v>
      </c>
      <c r="G80" s="73">
        <f t="shared" si="26"/>
        <v>0</v>
      </c>
      <c r="H80" s="73">
        <f t="shared" si="26"/>
        <v>0</v>
      </c>
      <c r="I80" s="73">
        <f t="shared" si="26"/>
        <v>0</v>
      </c>
      <c r="J80" s="73">
        <f t="shared" si="26"/>
        <v>0</v>
      </c>
      <c r="K80" s="73">
        <f t="shared" si="26"/>
        <v>0</v>
      </c>
      <c r="L80" s="73">
        <f t="shared" si="26"/>
        <v>0</v>
      </c>
      <c r="M80" s="73">
        <f t="shared" ref="M80:P80" si="27">(M5/M30-1)</f>
        <v>0</v>
      </c>
      <c r="N80" s="73">
        <f t="shared" si="27"/>
        <v>0</v>
      </c>
      <c r="O80" s="73">
        <f t="shared" si="27"/>
        <v>0</v>
      </c>
      <c r="P80" s="73">
        <f t="shared" si="27"/>
        <v>0</v>
      </c>
    </row>
    <row r="81" spans="2:16" x14ac:dyDescent="0.25">
      <c r="B81" t="s">
        <v>195</v>
      </c>
      <c r="C81" t="s">
        <v>196</v>
      </c>
      <c r="D81" s="73">
        <f t="shared" si="26"/>
        <v>7.0112817897882707E-4</v>
      </c>
      <c r="E81" s="73">
        <f t="shared" si="26"/>
        <v>-1.8593934221735609E-3</v>
      </c>
      <c r="F81" s="73">
        <f t="shared" si="26"/>
        <v>-3.6042103596733988E-3</v>
      </c>
      <c r="G81" s="73">
        <f t="shared" si="26"/>
        <v>-3.6651286244022696E-3</v>
      </c>
      <c r="H81" s="73">
        <f t="shared" si="26"/>
        <v>-8.5111876934237385E-3</v>
      </c>
      <c r="I81" s="73">
        <f t="shared" si="26"/>
        <v>-5.4346019242701438E-3</v>
      </c>
      <c r="J81" s="73">
        <f t="shared" si="26"/>
        <v>-4.2103437679078537E-3</v>
      </c>
      <c r="K81" s="73">
        <f t="shared" si="26"/>
        <v>-6.7888592644209655E-3</v>
      </c>
      <c r="L81" s="73">
        <f t="shared" si="26"/>
        <v>4.6673967968985375E-2</v>
      </c>
      <c r="M81" s="73">
        <f t="shared" ref="M81:P81" si="28">(M6/M31-1)</f>
        <v>4.9091934811893223E-2</v>
      </c>
      <c r="N81" s="73">
        <f t="shared" si="28"/>
        <v>5.1259300967076316E-2</v>
      </c>
      <c r="O81" s="73">
        <f t="shared" si="28"/>
        <v>5.1706009507925366E-2</v>
      </c>
      <c r="P81" s="73">
        <f t="shared" si="28"/>
        <v>5.1868712631478076E-2</v>
      </c>
    </row>
    <row r="82" spans="2:16" x14ac:dyDescent="0.25">
      <c r="B82" t="s">
        <v>197</v>
      </c>
      <c r="C82" t="s">
        <v>198</v>
      </c>
      <c r="D82" s="73">
        <f t="shared" si="26"/>
        <v>1.9424871453055381E-3</v>
      </c>
      <c r="E82" s="73">
        <f t="shared" si="26"/>
        <v>1.5685968050049848E-3</v>
      </c>
      <c r="F82" s="73">
        <f t="shared" si="26"/>
        <v>-2.6110498582123665E-3</v>
      </c>
      <c r="G82" s="73">
        <f t="shared" si="26"/>
        <v>-1.021348235031494E-2</v>
      </c>
      <c r="H82" s="73">
        <f t="shared" si="26"/>
        <v>-1.7218443950249074E-2</v>
      </c>
      <c r="I82" s="73">
        <f t="shared" si="26"/>
        <v>-2.4763373728587834E-2</v>
      </c>
      <c r="J82" s="73">
        <f t="shared" si="26"/>
        <v>-3.2170631898027491E-2</v>
      </c>
      <c r="K82" s="73">
        <f t="shared" si="26"/>
        <v>-3.877772391737544E-2</v>
      </c>
      <c r="L82" s="73">
        <f t="shared" si="26"/>
        <v>-4.4454670822644426E-2</v>
      </c>
      <c r="M82" s="73">
        <f t="shared" ref="M82:P82" si="29">(M7/M32-1)</f>
        <v>-3.626353338284416E-2</v>
      </c>
      <c r="N82" s="73">
        <f t="shared" si="29"/>
        <v>-2.7843044094729263E-2</v>
      </c>
      <c r="O82" s="73">
        <f t="shared" si="29"/>
        <v>-1.912767385878178E-2</v>
      </c>
      <c r="P82" s="73">
        <f t="shared" si="29"/>
        <v>-9.7570126276500524E-3</v>
      </c>
    </row>
    <row r="83" spans="2:16" x14ac:dyDescent="0.25">
      <c r="B83" t="s">
        <v>199</v>
      </c>
      <c r="C83" t="s">
        <v>200</v>
      </c>
      <c r="D83" s="73">
        <f t="shared" si="26"/>
        <v>8.2982960832042485E-2</v>
      </c>
      <c r="E83" s="73">
        <f t="shared" si="26"/>
        <v>-73.891625615770138</v>
      </c>
      <c r="F83" s="73">
        <f t="shared" si="26"/>
        <v>0</v>
      </c>
      <c r="G83" s="73">
        <f t="shared" si="26"/>
        <v>0</v>
      </c>
      <c r="H83" s="73">
        <f t="shared" si="26"/>
        <v>0</v>
      </c>
      <c r="I83" s="73">
        <f t="shared" si="26"/>
        <v>0</v>
      </c>
      <c r="J83" s="73">
        <f t="shared" si="26"/>
        <v>0</v>
      </c>
      <c r="K83" s="73">
        <f t="shared" si="26"/>
        <v>0</v>
      </c>
      <c r="L83" s="73">
        <f t="shared" si="26"/>
        <v>0</v>
      </c>
      <c r="M83" s="73">
        <f t="shared" ref="M83:P83" si="30">(M8/M33-1)</f>
        <v>0</v>
      </c>
      <c r="N83" s="73">
        <f t="shared" si="30"/>
        <v>0</v>
      </c>
      <c r="O83" s="73">
        <f t="shared" si="30"/>
        <v>0</v>
      </c>
      <c r="P83" s="73">
        <f t="shared" si="30"/>
        <v>0</v>
      </c>
    </row>
    <row r="84" spans="2:16"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si="26"/>
        <v>0</v>
      </c>
      <c r="M84" s="73">
        <f t="shared" ref="M84:P84" si="31">(M9/M34-1)</f>
        <v>0</v>
      </c>
      <c r="N84" s="73">
        <f t="shared" si="31"/>
        <v>0</v>
      </c>
      <c r="O84" s="73">
        <f t="shared" si="31"/>
        <v>0</v>
      </c>
      <c r="P84" s="73">
        <f t="shared" si="31"/>
        <v>0</v>
      </c>
    </row>
    <row r="85" spans="2:16" x14ac:dyDescent="0.25">
      <c r="B85" t="s">
        <v>203</v>
      </c>
      <c r="C85" t="s">
        <v>204</v>
      </c>
      <c r="D85" s="73">
        <f t="shared" si="26"/>
        <v>0</v>
      </c>
      <c r="E85" s="73">
        <f t="shared" si="26"/>
        <v>-1</v>
      </c>
      <c r="F85" s="73">
        <f t="shared" si="26"/>
        <v>-1</v>
      </c>
      <c r="G85" s="73">
        <f t="shared" si="26"/>
        <v>-1</v>
      </c>
      <c r="H85" s="73">
        <f t="shared" si="26"/>
        <v>-1</v>
      </c>
      <c r="I85" s="73">
        <f t="shared" si="26"/>
        <v>-1</v>
      </c>
      <c r="J85" s="73">
        <f t="shared" si="26"/>
        <v>-1</v>
      </c>
      <c r="K85" s="73">
        <f t="shared" si="26"/>
        <v>-1</v>
      </c>
      <c r="L85" s="73">
        <f t="shared" si="26"/>
        <v>-1</v>
      </c>
      <c r="M85" s="73">
        <f t="shared" ref="M85:P85" si="32">(M10/M35-1)</f>
        <v>-1</v>
      </c>
      <c r="N85" s="73">
        <f t="shared" si="32"/>
        <v>-1</v>
      </c>
      <c r="O85" s="73">
        <f t="shared" si="32"/>
        <v>-1</v>
      </c>
      <c r="P85" s="73">
        <f t="shared" si="32"/>
        <v>-1</v>
      </c>
    </row>
    <row r="86" spans="2:16" x14ac:dyDescent="0.25">
      <c r="B86" t="s">
        <v>205</v>
      </c>
      <c r="C86" t="s">
        <v>206</v>
      </c>
      <c r="D86" s="73">
        <f t="shared" si="26"/>
        <v>0</v>
      </c>
      <c r="E86" s="73">
        <f t="shared" si="26"/>
        <v>-5.7344854673998524E-2</v>
      </c>
      <c r="F86" s="73">
        <f t="shared" si="26"/>
        <v>-1.1102230246251565E-16</v>
      </c>
      <c r="G86" s="73">
        <f t="shared" si="26"/>
        <v>-1.1102230246251565E-16</v>
      </c>
      <c r="H86" s="73">
        <f t="shared" si="26"/>
        <v>-3.3306690738754696E-16</v>
      </c>
      <c r="I86" s="73">
        <f t="shared" si="26"/>
        <v>-3.3306690738754696E-16</v>
      </c>
      <c r="J86" s="73">
        <f t="shared" si="26"/>
        <v>-3.3306690738754696E-16</v>
      </c>
      <c r="K86" s="73">
        <f t="shared" si="26"/>
        <v>-3.3306690738754696E-16</v>
      </c>
      <c r="L86" s="73">
        <f t="shared" si="26"/>
        <v>-3.3306690738754696E-16</v>
      </c>
      <c r="M86" s="73">
        <f t="shared" ref="M86:P86" si="33">(M11/M36-1)</f>
        <v>-3.3306690738754696E-16</v>
      </c>
      <c r="N86" s="73">
        <f t="shared" si="33"/>
        <v>-2.2204460492503131E-16</v>
      </c>
      <c r="O86" s="73">
        <f t="shared" si="33"/>
        <v>-2.2204460492503131E-16</v>
      </c>
      <c r="P86" s="73">
        <f t="shared" si="33"/>
        <v>-2.2204460492503131E-16</v>
      </c>
    </row>
    <row r="87" spans="2:16" x14ac:dyDescent="0.25">
      <c r="B87" t="s">
        <v>207</v>
      </c>
      <c r="C87" t="s">
        <v>208</v>
      </c>
      <c r="D87" s="73">
        <f t="shared" si="26"/>
        <v>3.0812521100248569E-2</v>
      </c>
      <c r="E87" s="73">
        <f t="shared" si="26"/>
        <v>1.8884311568716727E-2</v>
      </c>
      <c r="F87" s="73">
        <f t="shared" si="26"/>
        <v>5.4067084741391103E-2</v>
      </c>
      <c r="G87" s="73">
        <f t="shared" si="26"/>
        <v>9.0599164851743241E-2</v>
      </c>
      <c r="H87" s="73">
        <f t="shared" si="26"/>
        <v>0.12929259475757626</v>
      </c>
      <c r="I87" s="73">
        <f t="shared" si="26"/>
        <v>0.16935883106756711</v>
      </c>
      <c r="J87" s="73">
        <f t="shared" si="26"/>
        <v>0.1275881888411825</v>
      </c>
      <c r="K87" s="73">
        <f t="shared" si="26"/>
        <v>9.9518791325028388E-2</v>
      </c>
      <c r="L87" s="73">
        <f t="shared" si="26"/>
        <v>7.3020236018626283E-2</v>
      </c>
      <c r="M87" s="73">
        <f t="shared" ref="M87:P87" si="34">(M12/M37-1)</f>
        <v>4.7160299568824504E-2</v>
      </c>
      <c r="N87" s="73">
        <f t="shared" si="34"/>
        <v>2.1923591172641865E-2</v>
      </c>
      <c r="O87" s="73">
        <f t="shared" si="34"/>
        <v>-9.9656052725803912E-3</v>
      </c>
      <c r="P87" s="73">
        <f t="shared" si="34"/>
        <v>-3.3825571442244295E-2</v>
      </c>
    </row>
    <row r="88" spans="2:16" x14ac:dyDescent="0.25">
      <c r="B88" t="s">
        <v>209</v>
      </c>
      <c r="C88" t="s">
        <v>210</v>
      </c>
      <c r="D88" s="73">
        <f t="shared" si="26"/>
        <v>-2.3568608094768018E-2</v>
      </c>
      <c r="E88" s="73">
        <f t="shared" si="26"/>
        <v>-3.486753782000962E-2</v>
      </c>
      <c r="F88" s="73">
        <f t="shared" si="26"/>
        <v>-1.8590359195345574E-2</v>
      </c>
      <c r="G88" s="73">
        <f t="shared" si="26"/>
        <v>1.6229129365830763E-2</v>
      </c>
      <c r="H88" s="73">
        <f t="shared" si="26"/>
        <v>5.2283980545482889E-2</v>
      </c>
      <c r="I88" s="73">
        <f t="shared" si="26"/>
        <v>8.9618023844335593E-2</v>
      </c>
      <c r="J88" s="73">
        <f t="shared" si="26"/>
        <v>0.12827664379246695</v>
      </c>
      <c r="K88" s="73">
        <f t="shared" si="26"/>
        <v>0.10108502025465849</v>
      </c>
      <c r="L88" s="73">
        <f t="shared" si="26"/>
        <v>7.4548718613913101E-2</v>
      </c>
      <c r="M88" s="73">
        <f t="shared" ref="M88:P88" si="35">(M13/M38-1)</f>
        <v>4.8651945521658524E-2</v>
      </c>
      <c r="N88" s="73">
        <f t="shared" si="35"/>
        <v>2.3379288251213381E-2</v>
      </c>
      <c r="O88" s="73">
        <f t="shared" si="35"/>
        <v>-1.2842944752547991E-3</v>
      </c>
      <c r="P88" s="73">
        <f t="shared" si="35"/>
        <v>-2.5353481438696757E-2</v>
      </c>
    </row>
    <row r="89" spans="2:16" x14ac:dyDescent="0.25">
      <c r="B89" t="s">
        <v>55</v>
      </c>
      <c r="C89" t="s">
        <v>211</v>
      </c>
      <c r="D89" s="73">
        <f t="shared" si="26"/>
        <v>-1.4742857142857169E-2</v>
      </c>
      <c r="E89" s="73">
        <f t="shared" si="26"/>
        <v>-3.4477494016380672E-2</v>
      </c>
      <c r="F89" s="73">
        <f t="shared" si="26"/>
        <v>-3.1827241372275328E-2</v>
      </c>
      <c r="G89" s="73">
        <f t="shared" si="26"/>
        <v>-2.9175130377488201E-2</v>
      </c>
      <c r="H89" s="73">
        <f t="shared" si="26"/>
        <v>-1.1072276241368639E-2</v>
      </c>
      <c r="I89" s="73">
        <f t="shared" si="26"/>
        <v>-1.0072303959894446E-2</v>
      </c>
      <c r="J89" s="73">
        <f t="shared" si="26"/>
        <v>-9.0709603794664195E-3</v>
      </c>
      <c r="K89" s="73">
        <f t="shared" si="26"/>
        <v>7.3829392933972837E-3</v>
      </c>
      <c r="L89" s="73">
        <f t="shared" si="26"/>
        <v>1.2728358516110871E-2</v>
      </c>
      <c r="M89" s="73">
        <f t="shared" ref="M89:P89" si="36">(M14/M39-1)</f>
        <v>1.8107753726013254E-2</v>
      </c>
      <c r="N89" s="73">
        <f t="shared" si="36"/>
        <v>2.3521259647419468E-2</v>
      </c>
      <c r="O89" s="73">
        <f t="shared" si="36"/>
        <v>2.8969012638635272E-2</v>
      </c>
      <c r="P89" s="73">
        <f t="shared" si="36"/>
        <v>3.445115068432747E-2</v>
      </c>
    </row>
    <row r="90" spans="2:16"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si="26"/>
        <v>#DIV/0!</v>
      </c>
      <c r="M90" s="73" t="e">
        <f t="shared" ref="M90:P90" si="37">(M15/M40-1)</f>
        <v>#DIV/0!</v>
      </c>
      <c r="N90" s="73" t="e">
        <f t="shared" si="37"/>
        <v>#DIV/0!</v>
      </c>
      <c r="O90" s="73" t="e">
        <f t="shared" si="37"/>
        <v>#DIV/0!</v>
      </c>
      <c r="P90" s="73" t="e">
        <f t="shared" si="37"/>
        <v>#DIV/0!</v>
      </c>
    </row>
    <row r="91" spans="2:16"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si="26"/>
        <v>#DIV/0!</v>
      </c>
      <c r="M91" s="73" t="e">
        <f t="shared" ref="M91:P91" si="38">(M16/M41-1)</f>
        <v>#DIV/0!</v>
      </c>
      <c r="N91" s="73" t="e">
        <f t="shared" si="38"/>
        <v>#DIV/0!</v>
      </c>
      <c r="O91" s="73" t="e">
        <f t="shared" si="38"/>
        <v>#DIV/0!</v>
      </c>
      <c r="P91" s="73" t="e">
        <f t="shared" si="38"/>
        <v>#DIV/0!</v>
      </c>
    </row>
    <row r="92" spans="2:16"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si="26"/>
        <v>0</v>
      </c>
      <c r="M92" s="73">
        <f t="shared" ref="M92:P92" si="39">(M17/M42-1)</f>
        <v>0</v>
      </c>
      <c r="N92" s="73">
        <f t="shared" si="39"/>
        <v>0</v>
      </c>
      <c r="O92" s="73">
        <f t="shared" si="39"/>
        <v>0</v>
      </c>
      <c r="P92" s="73">
        <f t="shared" si="39"/>
        <v>0</v>
      </c>
    </row>
    <row r="93" spans="2:16" x14ac:dyDescent="0.25">
      <c r="B93" t="s">
        <v>218</v>
      </c>
      <c r="C93" t="s">
        <v>219</v>
      </c>
      <c r="D93" s="73">
        <f t="shared" si="26"/>
        <v>0</v>
      </c>
      <c r="E93" s="73">
        <f t="shared" si="26"/>
        <v>0.75530602482439124</v>
      </c>
      <c r="F93" s="73">
        <f t="shared" si="26"/>
        <v>0</v>
      </c>
      <c r="G93" s="73">
        <f t="shared" si="26"/>
        <v>0</v>
      </c>
      <c r="H93" s="73">
        <f t="shared" si="26"/>
        <v>0</v>
      </c>
      <c r="I93" s="73">
        <f t="shared" si="26"/>
        <v>0</v>
      </c>
      <c r="J93" s="73">
        <f t="shared" si="26"/>
        <v>0</v>
      </c>
      <c r="K93" s="73">
        <f t="shared" si="26"/>
        <v>0</v>
      </c>
      <c r="L93" s="73">
        <f t="shared" si="26"/>
        <v>0</v>
      </c>
      <c r="M93" s="73">
        <f t="shared" ref="M93:P93" si="40">(M18/M43-1)</f>
        <v>0</v>
      </c>
      <c r="N93" s="73">
        <f t="shared" si="40"/>
        <v>0</v>
      </c>
      <c r="O93" s="73">
        <f t="shared" si="40"/>
        <v>0</v>
      </c>
      <c r="P93" s="73">
        <f t="shared" si="40"/>
        <v>0</v>
      </c>
    </row>
    <row r="94" spans="2:16" x14ac:dyDescent="0.25">
      <c r="B94" t="s">
        <v>220</v>
      </c>
      <c r="C94" t="s">
        <v>221</v>
      </c>
      <c r="D94" s="73">
        <f t="shared" si="26"/>
        <v>2.4189334761042236E-3</v>
      </c>
      <c r="E94" s="73">
        <f t="shared" si="26"/>
        <v>1.2464881120615834E-2</v>
      </c>
      <c r="F94" s="73">
        <f t="shared" si="26"/>
        <v>4.0680353796815893E-2</v>
      </c>
      <c r="G94" s="73">
        <f t="shared" si="26"/>
        <v>3.9262960851207396E-2</v>
      </c>
      <c r="H94" s="73">
        <f t="shared" si="26"/>
        <v>6.1594310535095786E-5</v>
      </c>
      <c r="I94" s="73">
        <f t="shared" si="26"/>
        <v>6.1362773487338984E-5</v>
      </c>
      <c r="J94" s="73">
        <f t="shared" si="26"/>
        <v>6.1132970646138318E-5</v>
      </c>
      <c r="K94" s="73">
        <f t="shared" si="26"/>
        <v>6.0218199789741078E-5</v>
      </c>
      <c r="L94" s="73">
        <f t="shared" si="26"/>
        <v>7.1067795570201042E-5</v>
      </c>
      <c r="M94" s="73">
        <f t="shared" ref="M94:P94" si="41">(M19/M44-1)</f>
        <v>7.0810894100326038E-5</v>
      </c>
      <c r="N94" s="73">
        <f t="shared" si="41"/>
        <v>7.0555843275865726E-5</v>
      </c>
      <c r="O94" s="73">
        <f t="shared" si="41"/>
        <v>6.9616419335893909E-5</v>
      </c>
      <c r="P94" s="73">
        <f t="shared" si="41"/>
        <v>7.9900262254684051E-5</v>
      </c>
    </row>
    <row r="95" spans="2:16"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si="26"/>
        <v>0</v>
      </c>
      <c r="M95" s="73">
        <f t="shared" ref="M95:P95" si="42">(M20/M45-1)</f>
        <v>0</v>
      </c>
      <c r="N95" s="73">
        <f t="shared" si="42"/>
        <v>0</v>
      </c>
      <c r="O95" s="73">
        <f t="shared" si="42"/>
        <v>0</v>
      </c>
      <c r="P95" s="73">
        <f t="shared" si="42"/>
        <v>0</v>
      </c>
    </row>
    <row r="96" spans="2:16" x14ac:dyDescent="0.25">
      <c r="B96" t="s">
        <v>224</v>
      </c>
      <c r="C96" t="s">
        <v>225</v>
      </c>
      <c r="D96" s="73">
        <f t="shared" si="26"/>
        <v>5.5185537583253952E-2</v>
      </c>
      <c r="E96" s="73">
        <f t="shared" si="26"/>
        <v>7.4583330757810318E-2</v>
      </c>
      <c r="F96" s="73">
        <f t="shared" si="26"/>
        <v>9.4395684892935039E-2</v>
      </c>
      <c r="G96" s="73">
        <f t="shared" si="26"/>
        <v>9.8157269866574692E-2</v>
      </c>
      <c r="H96" s="73">
        <f t="shared" si="26"/>
        <v>0.10197762948465572</v>
      </c>
      <c r="I96" s="73">
        <f t="shared" si="26"/>
        <v>0.10585748808001516</v>
      </c>
      <c r="J96" s="73">
        <f t="shared" si="26"/>
        <v>0.10979756637717197</v>
      </c>
      <c r="K96" s="73">
        <f t="shared" si="26"/>
        <v>9.7929302106792404E-2</v>
      </c>
      <c r="L96" s="73">
        <f t="shared" si="26"/>
        <v>8.6196379275319757E-2</v>
      </c>
      <c r="M96" s="73">
        <f t="shared" ref="M96:P96" si="43">(M21/M46-1)</f>
        <v>7.4597238990688153E-2</v>
      </c>
      <c r="N96" s="73">
        <f t="shared" si="43"/>
        <v>6.3130338915971418E-2</v>
      </c>
      <c r="O96" s="73">
        <f t="shared" si="43"/>
        <v>6.0448890750669948E-2</v>
      </c>
      <c r="P96" s="73">
        <f t="shared" si="43"/>
        <v>5.7777140619243994E-2</v>
      </c>
    </row>
    <row r="97" spans="2:16" x14ac:dyDescent="0.25">
      <c r="B97" t="s">
        <v>226</v>
      </c>
      <c r="C97" t="s">
        <v>227</v>
      </c>
      <c r="D97" s="73">
        <f t="shared" si="26"/>
        <v>2.9608362119240006E-3</v>
      </c>
      <c r="E97" s="73">
        <f t="shared" si="26"/>
        <v>7.3906251046811366E-3</v>
      </c>
      <c r="F97" s="73">
        <f t="shared" si="26"/>
        <v>8.9277291659797253E-3</v>
      </c>
      <c r="G97" s="73">
        <f t="shared" si="26"/>
        <v>1.0211264843934087E-2</v>
      </c>
      <c r="H97" s="73">
        <f t="shared" si="26"/>
        <v>1.1368103637833471E-2</v>
      </c>
      <c r="I97" s="73">
        <f t="shared" si="26"/>
        <v>1.2951584053518372E-2</v>
      </c>
      <c r="J97" s="73">
        <f t="shared" si="26"/>
        <v>1.4232562295673601E-2</v>
      </c>
      <c r="K97" s="73">
        <f t="shared" si="26"/>
        <v>1.5206981344252801E-2</v>
      </c>
      <c r="L97" s="73">
        <f t="shared" si="26"/>
        <v>1.642025183656326E-2</v>
      </c>
      <c r="M97" s="73">
        <f t="shared" ref="M97:P97" si="44">(M22/M47-1)</f>
        <v>1.6928743771170263E-2</v>
      </c>
      <c r="N97" s="73">
        <f t="shared" si="44"/>
        <v>1.6976736504244361E-2</v>
      </c>
      <c r="O97" s="73">
        <f t="shared" si="44"/>
        <v>1.7818384690279521E-2</v>
      </c>
      <c r="P97" s="73">
        <f t="shared" si="44"/>
        <v>1.7923701870371511E-2</v>
      </c>
    </row>
    <row r="98" spans="2:16" x14ac:dyDescent="0.25">
      <c r="B98" t="s">
        <v>228</v>
      </c>
      <c r="C98" t="s">
        <v>229</v>
      </c>
      <c r="D98" s="73">
        <f>(D23/D48-1)</f>
        <v>-5.3798879134377975E-3</v>
      </c>
      <c r="E98" s="73">
        <f t="shared" si="26"/>
        <v>-2.8687769168144417E-2</v>
      </c>
      <c r="F98" s="73">
        <f t="shared" si="26"/>
        <v>-5.1449454622080504E-2</v>
      </c>
      <c r="G98" s="73">
        <f t="shared" si="26"/>
        <v>-5.6280964920744969E-2</v>
      </c>
      <c r="H98" s="73">
        <f t="shared" si="26"/>
        <v>-6.1087865574852684E-2</v>
      </c>
      <c r="I98" s="73">
        <f t="shared" si="26"/>
        <v>-6.5870281935394459E-2</v>
      </c>
      <c r="J98" s="73">
        <f t="shared" si="26"/>
        <v>-7.0628338714877614E-2</v>
      </c>
      <c r="K98" s="73">
        <f t="shared" si="26"/>
        <v>-3.7800378082144537E-2</v>
      </c>
      <c r="L98" s="73">
        <f t="shared" si="26"/>
        <v>-3.8128436812440158E-3</v>
      </c>
      <c r="M98" s="73">
        <f t="shared" ref="M98:P98" si="45">(M23/M48-1)</f>
        <v>3.1375223819378295E-2</v>
      </c>
      <c r="N98" s="73">
        <f t="shared" si="45"/>
        <v>6.780623054740853E-2</v>
      </c>
      <c r="O98" s="73">
        <f t="shared" si="45"/>
        <v>6.7903833819312309E-2</v>
      </c>
      <c r="P98" s="73">
        <f t="shared" si="45"/>
        <v>6.8001446012683431E-2</v>
      </c>
    </row>
    <row r="99" spans="2:16" x14ac:dyDescent="0.25">
      <c r="B99" t="s">
        <v>230</v>
      </c>
      <c r="C99" t="s">
        <v>231</v>
      </c>
      <c r="D99" s="73">
        <f t="shared" si="26"/>
        <v>0.38838487363461893</v>
      </c>
      <c r="E99" s="73">
        <f t="shared" si="26"/>
        <v>4.3199363312208083E-2</v>
      </c>
      <c r="F99" s="73">
        <f t="shared" si="26"/>
        <v>6.5424959467769828E-2</v>
      </c>
      <c r="G99" s="73">
        <f t="shared" si="26"/>
        <v>-2.809687360037405E-2</v>
      </c>
      <c r="H99" s="73">
        <f t="shared" si="26"/>
        <v>-1.8004693027731222E-2</v>
      </c>
      <c r="I99" s="73">
        <f t="shared" si="26"/>
        <v>-7.4179298924528236E-3</v>
      </c>
      <c r="J99" s="73">
        <f t="shared" si="26"/>
        <v>-1.9125729100130107E-3</v>
      </c>
      <c r="K99" s="73">
        <f t="shared" si="26"/>
        <v>-2.4889107474966865E-3</v>
      </c>
      <c r="L99" s="73">
        <f t="shared" si="26"/>
        <v>-5.8360111774868884E-4</v>
      </c>
      <c r="M99" s="73">
        <f t="shared" ref="M99:P99" si="46">(M24/M49-1)</f>
        <v>-4.3931899075757563E-3</v>
      </c>
      <c r="N99" s="73">
        <f t="shared" si="46"/>
        <v>-9.6114804986318081E-3</v>
      </c>
      <c r="O99" s="73">
        <f t="shared" si="46"/>
        <v>-8.0572983405283738E-3</v>
      </c>
      <c r="P99" s="73">
        <f t="shared" si="46"/>
        <v>-4.4669985936426349E-3</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2"/>
  <sheetViews>
    <sheetView topLeftCell="B1" zoomScaleNormal="100" workbookViewId="0">
      <selection activeCell="C4" sqref="C4"/>
    </sheetView>
  </sheetViews>
  <sheetFormatPr defaultColWidth="11.42578125" defaultRowHeight="15" x14ac:dyDescent="0.25"/>
  <cols>
    <col min="1" max="1" width="41.140625" customWidth="1"/>
    <col min="2" max="2" width="23.42578125" customWidth="1"/>
    <col min="3" max="11" width="10.42578125" customWidth="1"/>
  </cols>
  <sheetData>
    <row r="1" spans="1:16" x14ac:dyDescent="0.25">
      <c r="A1" s="74" t="s">
        <v>178</v>
      </c>
      <c r="B1" s="74" t="s">
        <v>179</v>
      </c>
      <c r="C1" s="75" t="s">
        <v>182</v>
      </c>
      <c r="D1" s="75" t="s">
        <v>183</v>
      </c>
      <c r="E1" s="75" t="s">
        <v>184</v>
      </c>
      <c r="F1" s="75" t="s">
        <v>185</v>
      </c>
      <c r="G1" s="75" t="s">
        <v>186</v>
      </c>
      <c r="H1" s="75" t="s">
        <v>187</v>
      </c>
      <c r="I1" s="75" t="s">
        <v>188</v>
      </c>
      <c r="J1" s="75" t="s">
        <v>189</v>
      </c>
      <c r="K1" s="75" t="s">
        <v>190</v>
      </c>
      <c r="L1" s="75" t="s">
        <v>191</v>
      </c>
      <c r="M1" s="75" t="s">
        <v>175</v>
      </c>
      <c r="N1" s="75" t="s">
        <v>176</v>
      </c>
      <c r="O1" s="75" t="s">
        <v>177</v>
      </c>
      <c r="P1" s="74"/>
    </row>
    <row r="2" spans="1:16" x14ac:dyDescent="0.25">
      <c r="A2" t="s">
        <v>192</v>
      </c>
      <c r="B2" t="s">
        <v>193</v>
      </c>
      <c r="C2" s="72">
        <f>Grants!Q75</f>
        <v>428.87827479999993</v>
      </c>
      <c r="D2" s="72">
        <f>Grants!R75</f>
        <v>446.83458076689982</v>
      </c>
      <c r="E2" s="72">
        <f>Grants!S75</f>
        <v>443.16378910828843</v>
      </c>
      <c r="F2" s="72">
        <f>Grants!T75</f>
        <v>449.456681310205</v>
      </c>
      <c r="G2" s="72">
        <f>Grants!U75</f>
        <v>444.1136258666665</v>
      </c>
      <c r="H2" s="72">
        <f>Grants!V75</f>
        <v>448.41748970468939</v>
      </c>
      <c r="I2" s="72">
        <f>Grants!W75</f>
        <v>447.24836323261991</v>
      </c>
      <c r="J2" s="72">
        <f>Grants!X75</f>
        <v>446.31815136261321</v>
      </c>
      <c r="K2" s="72">
        <f>Grants!Y75</f>
        <v>434.91237653333314</v>
      </c>
      <c r="L2" s="72">
        <f>Grants!Z75</f>
        <v>415.05454853287694</v>
      </c>
      <c r="M2" s="72">
        <f>Grants!AA75</f>
        <v>419.51886552192474</v>
      </c>
      <c r="N2" s="72">
        <f>Grants!AB75</f>
        <v>423.20412375711771</v>
      </c>
      <c r="O2" s="72">
        <f>Grants!AC75</f>
        <v>406.37747211466649</v>
      </c>
      <c r="P2" s="72"/>
    </row>
    <row r="3" spans="1:16" x14ac:dyDescent="0.25">
      <c r="A3" t="s">
        <v>134</v>
      </c>
      <c r="B3" t="s">
        <v>194</v>
      </c>
      <c r="C3" s="72">
        <f>Grants!Q95</f>
        <v>76.48</v>
      </c>
      <c r="D3" s="72">
        <f>Grants!R95</f>
        <v>75.34842857142857</v>
      </c>
      <c r="E3" s="72">
        <f>Grants!S95</f>
        <v>75.34842857142857</v>
      </c>
      <c r="F3" s="72">
        <f>Grants!T95</f>
        <v>75.34842857142857</v>
      </c>
      <c r="G3" s="72">
        <f>Grants!U95</f>
        <v>75.34842857142857</v>
      </c>
      <c r="H3" s="72">
        <f>Grants!V95</f>
        <v>75.34842857142857</v>
      </c>
      <c r="I3" s="72">
        <f>Grants!W95</f>
        <v>75.34842857142857</v>
      </c>
      <c r="J3" s="72">
        <f>Grants!X95</f>
        <v>75.34842857142857</v>
      </c>
      <c r="K3" s="72">
        <f>Grants!Y95</f>
        <v>75.34842857142857</v>
      </c>
      <c r="L3" s="72">
        <f>Grants!Z95</f>
        <v>75.34842857142857</v>
      </c>
      <c r="M3" s="72">
        <f>Grants!AA95</f>
        <v>75.34842857142857</v>
      </c>
      <c r="N3" s="72">
        <f>Grants!AB95</f>
        <v>75.34842857142857</v>
      </c>
      <c r="O3" s="72">
        <f>Grants!AC95</f>
        <v>75.34842857142857</v>
      </c>
      <c r="P3" s="72"/>
    </row>
    <row r="4" spans="1:16" x14ac:dyDescent="0.25">
      <c r="A4" t="s">
        <v>195</v>
      </c>
      <c r="B4" t="s">
        <v>196</v>
      </c>
      <c r="C4" s="72">
        <f>'Federal and State Purchases'!Q11</f>
        <v>1570</v>
      </c>
      <c r="D4" s="72">
        <f>'Federal and State Purchases'!R11</f>
        <v>1591.4</v>
      </c>
      <c r="E4" s="72">
        <f>'Federal and State Purchases'!S11</f>
        <v>1607.9</v>
      </c>
      <c r="F4" s="72">
        <f>'Federal and State Purchases'!T11</f>
        <v>1622.9</v>
      </c>
      <c r="G4" s="72">
        <f>'Federal and State Purchases'!U11</f>
        <v>1639</v>
      </c>
      <c r="H4" s="72">
        <f>'Federal and State Purchases'!V11</f>
        <v>1653.9</v>
      </c>
      <c r="I4" s="72">
        <f>'Federal and State Purchases'!W11</f>
        <v>1667.4</v>
      </c>
      <c r="J4" s="72">
        <f>'Federal and State Purchases'!X11</f>
        <v>1679.6</v>
      </c>
      <c r="K4" s="72">
        <f>'Federal and State Purchases'!Y11</f>
        <v>1693.3</v>
      </c>
      <c r="L4" s="72">
        <f>'Federal and State Purchases'!Z11</f>
        <v>1706.4</v>
      </c>
      <c r="M4" s="72">
        <f>'Federal and State Purchases'!AA11</f>
        <v>1719.6</v>
      </c>
      <c r="N4" s="72">
        <f>'Federal and State Purchases'!AB11</f>
        <v>1732.8</v>
      </c>
      <c r="O4" s="72">
        <f>'Federal and State Purchases'!AC11</f>
        <v>1743.7</v>
      </c>
      <c r="P4" s="72"/>
    </row>
    <row r="5" spans="1:16" x14ac:dyDescent="0.25">
      <c r="A5" t="s">
        <v>197</v>
      </c>
      <c r="B5" t="s">
        <v>198</v>
      </c>
      <c r="C5" s="72">
        <f>'Federal and State Purchases'!Q25</f>
        <v>2630.6</v>
      </c>
      <c r="D5" s="72">
        <f>'Federal and State Purchases'!R25</f>
        <v>2693.0281502361727</v>
      </c>
      <c r="E5" s="72">
        <f>'Federal and State Purchases'!S25</f>
        <v>2743.3314109401185</v>
      </c>
      <c r="F5" s="72">
        <f>'Federal and State Purchases'!T25</f>
        <v>2781.7101935090659</v>
      </c>
      <c r="G5" s="72">
        <f>'Federal and State Purchases'!U25</f>
        <v>2815.6799253390218</v>
      </c>
      <c r="H5" s="72">
        <f>'Federal and State Purchases'!V25</f>
        <v>2845.0401950327596</v>
      </c>
      <c r="I5" s="72">
        <f>'Federal and State Purchases'!W25</f>
        <v>2871.5947051653206</v>
      </c>
      <c r="J5" s="72">
        <f>'Federal and State Purchases'!X25</f>
        <v>2897.2473640103617</v>
      </c>
      <c r="K5" s="72">
        <f>'Federal and State Purchases'!Y25</f>
        <v>2922.3989943623346</v>
      </c>
      <c r="L5" s="72">
        <f>'Federal and State Purchases'!Z25</f>
        <v>2947.450419015694</v>
      </c>
      <c r="M5" s="72">
        <f>'Federal and State Purchases'!AA25</f>
        <v>2973.2032835593482</v>
      </c>
      <c r="N5" s="72">
        <f>'Federal and State Purchases'!AB25</f>
        <v>2999.8579993905223</v>
      </c>
      <c r="O5" s="72">
        <f>'Federal and State Purchases'!AC25</f>
        <v>3028.5168291939663</v>
      </c>
      <c r="P5" s="72"/>
    </row>
    <row r="6" spans="1:16" x14ac:dyDescent="0.25">
      <c r="A6" t="s">
        <v>199</v>
      </c>
      <c r="B6" t="s">
        <v>200</v>
      </c>
      <c r="C6" s="72">
        <f>Subsidies!Q44</f>
        <v>39.152000000000015</v>
      </c>
      <c r="D6" s="72">
        <f>Subsidies!R44</f>
        <v>17.745378026070782</v>
      </c>
      <c r="E6" s="72">
        <f>Subsidies!S44</f>
        <v>-12.23599999999999</v>
      </c>
      <c r="F6" s="72">
        <f>Subsidies!T44</f>
        <v>72.260000000000005</v>
      </c>
      <c r="G6" s="72">
        <f>Subsidies!U44</f>
        <v>72.260000000000005</v>
      </c>
      <c r="H6" s="72">
        <f>Subsidies!V44</f>
        <v>72.260000000000005</v>
      </c>
      <c r="I6" s="72">
        <f>Subsidies!W44</f>
        <v>72.260000000000005</v>
      </c>
      <c r="J6" s="72">
        <f>Subsidies!X44</f>
        <v>74.935000000000016</v>
      </c>
      <c r="K6" s="72">
        <f>Subsidies!Y44</f>
        <v>74.935000000000016</v>
      </c>
      <c r="L6" s="72">
        <f>Subsidies!Z44</f>
        <v>74.935000000000016</v>
      </c>
      <c r="M6" s="72">
        <f>Subsidies!AA44</f>
        <v>74.935000000000016</v>
      </c>
      <c r="N6" s="72">
        <f>Subsidies!AB44</f>
        <v>77.001000000000005</v>
      </c>
      <c r="O6" s="72">
        <f>Subsidies!AC44</f>
        <v>77.001000000000005</v>
      </c>
      <c r="P6" s="72"/>
    </row>
    <row r="7" spans="1:16" x14ac:dyDescent="0.25">
      <c r="A7" t="s">
        <v>201</v>
      </c>
      <c r="B7" t="s">
        <v>202</v>
      </c>
      <c r="C7" s="72">
        <f>Subsidies!Q43</f>
        <v>110.24799999999999</v>
      </c>
      <c r="D7" s="72">
        <f>Subsidies!R43</f>
        <v>110.24799999999999</v>
      </c>
      <c r="E7" s="72">
        <f>Subsidies!S43</f>
        <v>110.24799999999999</v>
      </c>
      <c r="F7" s="72">
        <f>Subsidies!T43</f>
        <v>12.726000000000001</v>
      </c>
      <c r="G7" s="72">
        <f>Subsidies!U43</f>
        <v>12.726000000000001</v>
      </c>
      <c r="H7" s="72">
        <f>Subsidies!V43</f>
        <v>12.726000000000001</v>
      </c>
      <c r="I7" s="72">
        <f>Subsidies!W43</f>
        <v>12.726000000000001</v>
      </c>
      <c r="J7" s="72">
        <f>Subsidies!X43</f>
        <v>1.365</v>
      </c>
      <c r="K7" s="72">
        <f>Subsidies!Y43</f>
        <v>1.365</v>
      </c>
      <c r="L7" s="72">
        <f>Subsidies!Z43</f>
        <v>1.365</v>
      </c>
      <c r="M7" s="72">
        <f>Subsidies!AA43</f>
        <v>1.365</v>
      </c>
      <c r="N7" s="72">
        <f>Subsidies!AB43</f>
        <v>-0.90100000000000025</v>
      </c>
      <c r="O7" s="72">
        <f>Subsidies!AC43</f>
        <v>-0.90100000000000025</v>
      </c>
      <c r="P7" s="72"/>
    </row>
    <row r="8" spans="1:16" x14ac:dyDescent="0.25">
      <c r="A8" t="s">
        <v>203</v>
      </c>
      <c r="B8" t="s">
        <v>204</v>
      </c>
      <c r="C8" s="72">
        <f>'Unemployment Insurance'!Q19</f>
        <v>0.69999999999999929</v>
      </c>
      <c r="D8" s="72">
        <f>'Unemployment Insurance'!R19</f>
        <v>0</v>
      </c>
      <c r="E8" s="72">
        <f>'Unemployment Insurance'!S19</f>
        <v>0</v>
      </c>
      <c r="F8" s="72">
        <f>'Unemployment Insurance'!T19</f>
        <v>0</v>
      </c>
      <c r="G8" s="72">
        <f>'Unemployment Insurance'!U19</f>
        <v>0</v>
      </c>
      <c r="H8" s="72">
        <f>'Unemployment Insurance'!V19</f>
        <v>0</v>
      </c>
      <c r="I8" s="72">
        <f>'Unemployment Insurance'!W19</f>
        <v>0</v>
      </c>
      <c r="J8" s="72">
        <f>'Unemployment Insurance'!X19</f>
        <v>0</v>
      </c>
      <c r="K8" s="72">
        <f>'Unemployment Insurance'!Y19</f>
        <v>0</v>
      </c>
      <c r="L8" s="72">
        <f>'Unemployment Insurance'!Z19</f>
        <v>0</v>
      </c>
      <c r="M8" s="72">
        <f>'Unemployment Insurance'!AA19</f>
        <v>0</v>
      </c>
      <c r="N8" s="72">
        <f>'Unemployment Insurance'!AB19</f>
        <v>0</v>
      </c>
      <c r="O8" s="72">
        <f>'Unemployment Insurance'!AC19</f>
        <v>0</v>
      </c>
      <c r="P8" s="72"/>
    </row>
    <row r="9" spans="1:16" x14ac:dyDescent="0.25">
      <c r="A9" t="s">
        <v>205</v>
      </c>
      <c r="B9" t="s">
        <v>206</v>
      </c>
      <c r="C9" s="72">
        <f>'Unemployment Insurance'!Q20</f>
        <v>24.400000000000002</v>
      </c>
      <c r="D9" s="72">
        <f>'Unemployment Insurance'!R20</f>
        <v>23.11578947368421</v>
      </c>
      <c r="E9" s="72">
        <f>'Unemployment Insurance'!S20</f>
        <v>23.642315789473685</v>
      </c>
      <c r="F9" s="72">
        <f>'Unemployment Insurance'!T20</f>
        <v>23.353368421052632</v>
      </c>
      <c r="G9" s="72">
        <f>'Unemployment Insurance'!U20</f>
        <v>23.513894736842104</v>
      </c>
      <c r="H9" s="72">
        <f>'Unemployment Insurance'!V20</f>
        <v>23.873473684210527</v>
      </c>
      <c r="I9" s="72">
        <f>'Unemployment Insurance'!W20</f>
        <v>24.239473684210527</v>
      </c>
      <c r="J9" s="72">
        <f>'Unemployment Insurance'!X20</f>
        <v>24.624736842105264</v>
      </c>
      <c r="K9" s="72">
        <f>'Unemployment Insurance'!Y20</f>
        <v>25.106315789473687</v>
      </c>
      <c r="L9" s="72">
        <f>'Unemployment Insurance'!Z20</f>
        <v>25.504421052631582</v>
      </c>
      <c r="M9" s="72">
        <f>'Unemployment Insurance'!AA20</f>
        <v>25.819052631578948</v>
      </c>
      <c r="N9" s="72">
        <f>'Unemployment Insurance'!AB20</f>
        <v>26.210736842105263</v>
      </c>
      <c r="O9" s="72">
        <f>'Unemployment Insurance'!AC20</f>
        <v>26.58957894736842</v>
      </c>
      <c r="P9" s="72"/>
    </row>
    <row r="10" spans="1:16" x14ac:dyDescent="0.25">
      <c r="A10" s="36" t="s">
        <v>207</v>
      </c>
      <c r="B10" s="36" t="s">
        <v>208</v>
      </c>
      <c r="C10" s="72">
        <f>Medicaid!Q27</f>
        <v>578.14700000000005</v>
      </c>
      <c r="D10" s="72">
        <f>Medicaid!R27</f>
        <v>579.39019603110603</v>
      </c>
      <c r="E10" s="72">
        <f>Medicaid!S27</f>
        <v>590.17038164663313</v>
      </c>
      <c r="F10" s="72">
        <f>Medicaid!T27</f>
        <v>600.16136538556918</v>
      </c>
      <c r="G10" s="72">
        <f>Medicaid!U27</f>
        <v>613.23178814890605</v>
      </c>
      <c r="H10" s="72">
        <f>Medicaid!V27</f>
        <v>626.58686094316022</v>
      </c>
      <c r="I10" s="72">
        <f>Medicaid!W27</f>
        <v>596.21007010024732</v>
      </c>
      <c r="J10" s="72">
        <f>Medicaid!X27</f>
        <v>589.37103642680609</v>
      </c>
      <c r="K10" s="72">
        <f>Medicaid!Y27</f>
        <v>583.08435673682504</v>
      </c>
      <c r="L10" s="72">
        <f>Medicaid!Z27</f>
        <v>576.86473555342423</v>
      </c>
      <c r="M10" s="72">
        <f>Medicaid!AA27</f>
        <v>570.7114575795747</v>
      </c>
      <c r="N10" s="72">
        <f>Medicaid!AB27</f>
        <v>560.51313412938975</v>
      </c>
      <c r="O10" s="72">
        <f>Medicaid!AC27</f>
        <v>554.53427477168793</v>
      </c>
      <c r="P10" s="72"/>
    </row>
    <row r="11" spans="1:16" x14ac:dyDescent="0.25">
      <c r="A11" s="36" t="s">
        <v>209</v>
      </c>
      <c r="B11" s="36" t="s">
        <v>210</v>
      </c>
      <c r="C11" s="72">
        <f>Medicaid!Q26</f>
        <v>791.3</v>
      </c>
      <c r="D11" s="72">
        <f>Medicaid!R26</f>
        <v>793.00154133708929</v>
      </c>
      <c r="E11" s="72">
        <f>Medicaid!S26</f>
        <v>807.75619867781165</v>
      </c>
      <c r="F11" s="72">
        <f>Medicaid!T26</f>
        <v>825.34765926715204</v>
      </c>
      <c r="G11" s="72">
        <f>Medicaid!U26</f>
        <v>843.32222986688032</v>
      </c>
      <c r="H11" s="72">
        <f>Medicaid!V26</f>
        <v>861.68825391609369</v>
      </c>
      <c r="I11" s="72">
        <f>Medicaid!W26</f>
        <v>880.45425655881513</v>
      </c>
      <c r="J11" s="72">
        <f>Medicaid!X26</f>
        <v>871.06266187471999</v>
      </c>
      <c r="K11" s="72">
        <f>Medicaid!Y26</f>
        <v>861.77124508181373</v>
      </c>
      <c r="L11" s="72">
        <f>Medicaid!Z26</f>
        <v>852.57893760652382</v>
      </c>
      <c r="M11" s="72">
        <f>Medicaid!AA26</f>
        <v>843.48468227349622</v>
      </c>
      <c r="N11" s="72">
        <f>Medicaid!AB26</f>
        <v>834.48743318401296</v>
      </c>
      <c r="O11" s="72">
        <f>Medicaid!AC26</f>
        <v>825.5861555957074</v>
      </c>
      <c r="P11" s="72"/>
    </row>
    <row r="12" spans="1:16" x14ac:dyDescent="0.25">
      <c r="A12" t="s">
        <v>55</v>
      </c>
      <c r="B12" t="s">
        <v>211</v>
      </c>
      <c r="C12" s="72">
        <f>Medicare!Q10</f>
        <v>862.1</v>
      </c>
      <c r="D12" s="72">
        <f>Medicare!R10</f>
        <v>860.35792741992714</v>
      </c>
      <c r="E12" s="72">
        <f>Medicare!S10</f>
        <v>878.57896047176791</v>
      </c>
      <c r="F12" s="72">
        <f>Medicare!T10</f>
        <v>897.18588645827595</v>
      </c>
      <c r="G12" s="72">
        <f>Medicare!U10</f>
        <v>914.87815327140061</v>
      </c>
      <c r="H12" s="72">
        <f>Medicare!V10</f>
        <v>932.91930687567003</v>
      </c>
      <c r="I12" s="72">
        <f>Medicare!W10</f>
        <v>951.31622722571763</v>
      </c>
      <c r="J12" s="72">
        <f>Medicare!X10</f>
        <v>970.07592994705021</v>
      </c>
      <c r="K12" s="72">
        <f>Medicare!Y10</f>
        <v>993.46803931009731</v>
      </c>
      <c r="L12" s="72">
        <f>Medicare!Z10</f>
        <v>1017.4242187253543</v>
      </c>
      <c r="M12" s="72">
        <f>Medicare!AA10</f>
        <v>1041.958070002682</v>
      </c>
      <c r="N12" s="72">
        <f>Medicare!AB10</f>
        <v>1067.0835229417551</v>
      </c>
      <c r="O12" s="72">
        <f>Medicare!AC10</f>
        <v>1092.8148432411069</v>
      </c>
      <c r="P12" s="72"/>
    </row>
    <row r="13" spans="1:16" x14ac:dyDescent="0.25">
      <c r="A13" t="s">
        <v>212</v>
      </c>
      <c r="B13" t="s">
        <v>213</v>
      </c>
      <c r="C13" s="72">
        <f>'Rebate Checks'!Q11</f>
        <v>0</v>
      </c>
      <c r="D13" s="72">
        <f>'Rebate Checks'!R11</f>
        <v>0</v>
      </c>
      <c r="E13" s="72">
        <f>'Rebate Checks'!S11</f>
        <v>0</v>
      </c>
      <c r="F13" s="72">
        <f>'Rebate Checks'!T11</f>
        <v>0</v>
      </c>
      <c r="G13" s="72">
        <f>'Rebate Checks'!U11</f>
        <v>0</v>
      </c>
      <c r="H13" s="72">
        <f>'Rebate Checks'!V11</f>
        <v>0</v>
      </c>
      <c r="I13" s="72">
        <f>'Rebate Checks'!W11</f>
        <v>0</v>
      </c>
      <c r="J13" s="72">
        <f>'Rebate Checks'!X11</f>
        <v>0</v>
      </c>
      <c r="K13" s="72">
        <f>'Rebate Checks'!Y11</f>
        <v>0</v>
      </c>
      <c r="L13" s="72">
        <f>'Rebate Checks'!Z11</f>
        <v>0</v>
      </c>
      <c r="M13" s="72">
        <f>'Rebate Checks'!AA11</f>
        <v>0</v>
      </c>
      <c r="N13" s="72">
        <f>'Rebate Checks'!AB11</f>
        <v>0</v>
      </c>
      <c r="O13" s="72">
        <f>'Rebate Checks'!AC11</f>
        <v>0</v>
      </c>
      <c r="P13" s="72"/>
    </row>
    <row r="14" spans="1:16" x14ac:dyDescent="0.25">
      <c r="A14" t="s">
        <v>214</v>
      </c>
      <c r="B14" t="s">
        <v>215</v>
      </c>
      <c r="C14" s="72">
        <f>'Rebate Checks'!Q10</f>
        <v>0</v>
      </c>
      <c r="D14" s="72">
        <f>'Rebate Checks'!R10</f>
        <v>0</v>
      </c>
      <c r="E14" s="72">
        <f>'Rebate Checks'!S10</f>
        <v>0</v>
      </c>
      <c r="F14" s="72">
        <f>'Rebate Checks'!T10</f>
        <v>0</v>
      </c>
      <c r="G14" s="72">
        <f>'Rebate Checks'!U10</f>
        <v>0</v>
      </c>
      <c r="H14" s="72">
        <f>'Rebate Checks'!V10</f>
        <v>0</v>
      </c>
      <c r="I14" s="72">
        <f>'Rebate Checks'!W10</f>
        <v>0</v>
      </c>
      <c r="J14" s="72">
        <f>'Rebate Checks'!X10</f>
        <v>0</v>
      </c>
      <c r="K14" s="72">
        <f>'Rebate Checks'!Y10</f>
        <v>0</v>
      </c>
      <c r="L14" s="72">
        <f>'Rebate Checks'!Z10</f>
        <v>0</v>
      </c>
      <c r="M14" s="72">
        <f>'Rebate Checks'!AA10</f>
        <v>0</v>
      </c>
      <c r="N14" s="72">
        <f>'Rebate Checks'!AB10</f>
        <v>0</v>
      </c>
      <c r="O14" s="72">
        <f>'Rebate Checks'!AC10</f>
        <v>0</v>
      </c>
      <c r="P14" s="72"/>
    </row>
    <row r="15" spans="1:16" x14ac:dyDescent="0.25">
      <c r="A15" t="s">
        <v>216</v>
      </c>
      <c r="B15" t="s">
        <v>217</v>
      </c>
      <c r="C15" s="72">
        <f>'Social Benefits'!Q17</f>
        <v>52.756999999999998</v>
      </c>
      <c r="D15" s="72">
        <f>'Social Benefits'!R17</f>
        <v>52.756999999999998</v>
      </c>
      <c r="E15" s="72">
        <f>'Social Benefits'!S17</f>
        <v>52.756999999999998</v>
      </c>
      <c r="F15" s="72">
        <f>'Social Benefits'!T17</f>
        <v>12</v>
      </c>
      <c r="G15" s="72">
        <f>'Social Benefits'!U17</f>
        <v>12</v>
      </c>
      <c r="H15" s="72">
        <f>'Social Benefits'!V17</f>
        <v>12</v>
      </c>
      <c r="I15" s="72">
        <f>'Social Benefits'!W17</f>
        <v>12</v>
      </c>
      <c r="J15" s="72">
        <f>'Social Benefits'!X17</f>
        <v>4.2219999999999995</v>
      </c>
      <c r="K15" s="72">
        <f>'Social Benefits'!Y17</f>
        <v>4.2219999999999995</v>
      </c>
      <c r="L15" s="72">
        <f>'Social Benefits'!Z17</f>
        <v>4.2219999999999995</v>
      </c>
      <c r="M15" s="72">
        <f>'Social Benefits'!AA17</f>
        <v>4.2219999999999995</v>
      </c>
      <c r="N15" s="72">
        <f>'Social Benefits'!AB17</f>
        <v>2.3719999999999999</v>
      </c>
      <c r="O15" s="72">
        <f>'Social Benefits'!AC17</f>
        <v>2.3719999999999999</v>
      </c>
      <c r="P15" s="72"/>
    </row>
    <row r="16" spans="1:16" x14ac:dyDescent="0.25">
      <c r="A16" t="s">
        <v>869</v>
      </c>
      <c r="B16" t="s">
        <v>219</v>
      </c>
      <c r="C16" s="72">
        <f>'Social Benefits'!Q24</f>
        <v>73.419000000000011</v>
      </c>
      <c r="D16" s="72">
        <f>'Social Benefits'!R24</f>
        <v>69.719000000000008</v>
      </c>
      <c r="E16" s="72">
        <f>'Social Benefits'!S24</f>
        <v>19.719000000000005</v>
      </c>
      <c r="F16" s="72">
        <f>'Social Benefits'!T24</f>
        <v>1.4159999999999999</v>
      </c>
      <c r="G16" s="72">
        <f>'Social Benefits'!U24</f>
        <v>1.4159999999999999</v>
      </c>
      <c r="H16" s="72">
        <f>'Social Benefits'!V24</f>
        <v>1.4159999999999999</v>
      </c>
      <c r="I16" s="72">
        <f>'Social Benefits'!W24</f>
        <v>1.4159999999999999</v>
      </c>
      <c r="J16" s="72">
        <f>'Social Benefits'!X24</f>
        <v>1.4790000000000001</v>
      </c>
      <c r="K16" s="72">
        <f>'Social Benefits'!Y24</f>
        <v>1.4790000000000001</v>
      </c>
      <c r="L16" s="72">
        <f>'Social Benefits'!Z24</f>
        <v>1.4790000000000001</v>
      </c>
      <c r="M16" s="72">
        <f>'Social Benefits'!AA24</f>
        <v>1.4790000000000001</v>
      </c>
      <c r="N16" s="72">
        <f>'Social Benefits'!AB24</f>
        <v>1.63</v>
      </c>
      <c r="O16" s="72">
        <f>'Social Benefits'!AC24</f>
        <v>1.63</v>
      </c>
      <c r="P16" s="72"/>
    </row>
    <row r="17" spans="1:16" x14ac:dyDescent="0.25">
      <c r="A17" t="s">
        <v>220</v>
      </c>
      <c r="B17" t="s">
        <v>221</v>
      </c>
      <c r="C17" s="72">
        <f>'Social Benefits'!Q27</f>
        <v>1864.8239999999998</v>
      </c>
      <c r="D17" s="72">
        <f>'Social Benefits'!R27</f>
        <v>1841.3423200000011</v>
      </c>
      <c r="E17" s="72">
        <f>'Social Benefits'!S27</f>
        <v>1833.4423200000012</v>
      </c>
      <c r="F17" s="72">
        <f>'Social Benefits'!T27</f>
        <v>1897.0423200000014</v>
      </c>
      <c r="G17" s="72">
        <f>'Social Benefits'!U27</f>
        <v>1881.7832000000017</v>
      </c>
      <c r="H17" s="72">
        <f>'Social Benefits'!V27</f>
        <v>1888.8832000000018</v>
      </c>
      <c r="I17" s="72">
        <f>'Social Benefits'!W27</f>
        <v>1895.9832000000019</v>
      </c>
      <c r="J17" s="72">
        <f>'Social Benefits'!X27</f>
        <v>1924.7832000000021</v>
      </c>
      <c r="K17" s="72">
        <f>'Social Benefits'!Y27</f>
        <v>1957.1436400000023</v>
      </c>
      <c r="L17" s="72">
        <f>'Social Benefits'!Z27</f>
        <v>1964.2436400000024</v>
      </c>
      <c r="M17" s="72">
        <f>'Social Benefits'!AA27</f>
        <v>1971.3436400000026</v>
      </c>
      <c r="N17" s="72">
        <f>'Social Benefits'!AB27</f>
        <v>1997.9436400000027</v>
      </c>
      <c r="O17" s="72">
        <f>'Social Benefits'!AC27</f>
        <v>2030.9440800000027</v>
      </c>
      <c r="P17" s="72"/>
    </row>
    <row r="18" spans="1:16" x14ac:dyDescent="0.25">
      <c r="A18" t="s">
        <v>222</v>
      </c>
      <c r="B18" t="s">
        <v>223</v>
      </c>
      <c r="C18" s="72">
        <f>'Social Benefits'!Q31</f>
        <v>157.20000000000005</v>
      </c>
      <c r="D18" s="72">
        <f>'Social Benefits'!R31</f>
        <v>159.09549303998926</v>
      </c>
      <c r="E18" s="72">
        <f>'Social Benefits'!S31</f>
        <v>161.0138416389139</v>
      </c>
      <c r="F18" s="72">
        <f>'Social Benefits'!T31</f>
        <v>162.95532138553278</v>
      </c>
      <c r="G18" s="72">
        <f>'Social Benefits'!U31</f>
        <v>164.92021119161092</v>
      </c>
      <c r="H18" s="72">
        <f>'Social Benefits'!V31</f>
        <v>166.90879333198782</v>
      </c>
      <c r="I18" s="72">
        <f>'Social Benefits'!W31</f>
        <v>168.92135348512892</v>
      </c>
      <c r="J18" s="72">
        <f>'Social Benefits'!X31</f>
        <v>170.95818077416595</v>
      </c>
      <c r="K18" s="72">
        <f>'Social Benefits'!Y31</f>
        <v>173.01956780843219</v>
      </c>
      <c r="L18" s="72">
        <f>'Social Benefits'!Z31</f>
        <v>175.10581072549851</v>
      </c>
      <c r="M18" s="72">
        <f>'Social Benefits'!AA31</f>
        <v>177.2172092337164</v>
      </c>
      <c r="N18" s="72">
        <f>'Social Benefits'!AB31</f>
        <v>179.35406665527381</v>
      </c>
      <c r="O18" s="72">
        <f>'Social Benefits'!AC31</f>
        <v>181.51668996977023</v>
      </c>
      <c r="P18" s="72"/>
    </row>
    <row r="19" spans="1:16" x14ac:dyDescent="0.25">
      <c r="A19" t="s">
        <v>224</v>
      </c>
      <c r="B19" t="s">
        <v>225</v>
      </c>
      <c r="C19" s="72">
        <f>Taxes!Q9</f>
        <v>4214.2</v>
      </c>
      <c r="D19" s="72">
        <f>Taxes!R9</f>
        <v>4388.489422626275</v>
      </c>
      <c r="E19" s="72">
        <f>Taxes!S9</f>
        <v>4570.8250405889776</v>
      </c>
      <c r="F19" s="72">
        <f>Taxes!T9</f>
        <v>4593.3797733694837</v>
      </c>
      <c r="G19" s="72">
        <f>Taxes!U9</f>
        <v>4616.5588212258835</v>
      </c>
      <c r="H19" s="72">
        <f>Taxes!V9</f>
        <v>4640.3721350540081</v>
      </c>
      <c r="I19" s="72">
        <f>Taxes!W9</f>
        <v>4664.8298455285048</v>
      </c>
      <c r="J19" s="72">
        <f>Taxes!X9</f>
        <v>4672.749465579891</v>
      </c>
      <c r="K19" s="72">
        <f>Taxes!Y9</f>
        <v>4680.8431595899301</v>
      </c>
      <c r="L19" s="72">
        <f>Taxes!Z9</f>
        <v>4689.111965351065</v>
      </c>
      <c r="M19" s="72">
        <f>Taxes!AA9</f>
        <v>4697.5569306859015</v>
      </c>
      <c r="N19" s="72">
        <f>Taxes!AB9</f>
        <v>4709.9070737997499</v>
      </c>
      <c r="O19" s="72">
        <f>Taxes!AC9</f>
        <v>4722.3456926465478</v>
      </c>
      <c r="P19" s="72"/>
    </row>
    <row r="20" spans="1:16" x14ac:dyDescent="0.25">
      <c r="A20" t="s">
        <v>226</v>
      </c>
      <c r="B20" t="s">
        <v>227</v>
      </c>
      <c r="C20" s="72">
        <f>Taxes!Q16</f>
        <v>2235.6999999999998</v>
      </c>
      <c r="D20" s="72">
        <f>Taxes!R16</f>
        <v>2295.1918356227593</v>
      </c>
      <c r="E20" s="72">
        <f>Taxes!S16</f>
        <v>2329.332667777353</v>
      </c>
      <c r="F20" s="72">
        <f>Taxes!T16</f>
        <v>2360.4316679190006</v>
      </c>
      <c r="G20" s="72">
        <f>Taxes!U16</f>
        <v>2388.4343277070102</v>
      </c>
      <c r="H20" s="72">
        <f>Taxes!V16</f>
        <v>2416.1268757815351</v>
      </c>
      <c r="I20" s="72">
        <f>Taxes!W16</f>
        <v>2443.0496393790813</v>
      </c>
      <c r="J20" s="72">
        <f>Taxes!X16</f>
        <v>2468.0805513807636</v>
      </c>
      <c r="K20" s="72">
        <f>Taxes!Y16</f>
        <v>2492.7082401911721</v>
      </c>
      <c r="L20" s="72">
        <f>Taxes!Z16</f>
        <v>2515.5913475278467</v>
      </c>
      <c r="M20" s="72">
        <f>Taxes!AA16</f>
        <v>2538.2967849031356</v>
      </c>
      <c r="N20" s="72">
        <f>Taxes!AB16</f>
        <v>2562.0608173250203</v>
      </c>
      <c r="O20" s="72">
        <f>Taxes!AC16</f>
        <v>2585.4121526135468</v>
      </c>
      <c r="P20" s="72"/>
    </row>
    <row r="21" spans="1:16" x14ac:dyDescent="0.25">
      <c r="A21" t="s">
        <v>228</v>
      </c>
      <c r="B21" t="s">
        <v>229</v>
      </c>
      <c r="C21" s="72">
        <f>Taxes!Q13</f>
        <v>283.39999999999998</v>
      </c>
      <c r="D21" s="72">
        <f>Taxes!R13</f>
        <v>280.43276840448846</v>
      </c>
      <c r="E21" s="72">
        <f>Taxes!S13</f>
        <v>277.49660407553091</v>
      </c>
      <c r="F21" s="72">
        <f>Taxes!T13</f>
        <v>287.69698323954384</v>
      </c>
      <c r="G21" s="72">
        <f>Taxes!U13</f>
        <v>298.27231378516467</v>
      </c>
      <c r="H21" s="72">
        <f>Taxes!V13</f>
        <v>309.23637839010661</v>
      </c>
      <c r="I21" s="72">
        <f>Taxes!W13</f>
        <v>320.60346636364693</v>
      </c>
      <c r="J21" s="72">
        <f>Taxes!X13</f>
        <v>324.38296298327725</v>
      </c>
      <c r="K21" s="72">
        <f>Taxes!Y13</f>
        <v>328.20701493744536</v>
      </c>
      <c r="L21" s="72">
        <f>Taxes!Z13</f>
        <v>332.07614747541999</v>
      </c>
      <c r="M21" s="72">
        <f>Taxes!AA13</f>
        <v>335.99089203847353</v>
      </c>
      <c r="N21" s="72">
        <f>Taxes!AB13</f>
        <v>336.88994927341696</v>
      </c>
      <c r="O21" s="72">
        <f>Taxes!AC13</f>
        <v>337.79141223997652</v>
      </c>
      <c r="P21" s="72"/>
    </row>
    <row r="22" spans="1:16" x14ac:dyDescent="0.25">
      <c r="A22" t="s">
        <v>230</v>
      </c>
      <c r="B22" t="s">
        <v>231</v>
      </c>
      <c r="C22" s="72">
        <f>Taxes!Q21</f>
        <v>155.4</v>
      </c>
      <c r="D22" s="72">
        <f>Taxes!R21</f>
        <v>118.47666056910569</v>
      </c>
      <c r="E22" s="72">
        <f>Taxes!S21</f>
        <v>120.85089329268293</v>
      </c>
      <c r="F22" s="72">
        <f>Taxes!T21</f>
        <v>109.55884664634145</v>
      </c>
      <c r="G22" s="72">
        <f>Taxes!U21</f>
        <v>109.36058597560975</v>
      </c>
      <c r="H22" s="72">
        <f>Taxes!V21</f>
        <v>108.77020975609756</v>
      </c>
      <c r="I22" s="72">
        <f>Taxes!W21</f>
        <v>108.10934085365854</v>
      </c>
      <c r="J22" s="72">
        <f>Taxes!X21</f>
        <v>107.53218201219511</v>
      </c>
      <c r="K22" s="72">
        <f>Taxes!Y21</f>
        <v>107.03432743902438</v>
      </c>
      <c r="L22" s="72">
        <f>Taxes!Z21</f>
        <v>106.90655945121949</v>
      </c>
      <c r="M22" s="72">
        <f>Taxes!AA21</f>
        <v>106.53206707317072</v>
      </c>
      <c r="N22" s="72">
        <f>Taxes!AB21</f>
        <v>107.1180375</v>
      </c>
      <c r="O22" s="72">
        <f>Taxes!AC21</f>
        <v>107.50574725609755</v>
      </c>
      <c r="P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workbookViewId="0">
      <selection activeCell="J50" sqref="J50"/>
    </sheetView>
  </sheetViews>
  <sheetFormatPr defaultColWidth="11.42578125" defaultRowHeight="15" x14ac:dyDescent="0.25"/>
  <cols>
    <col min="1" max="1" width="6.5703125" customWidth="1"/>
    <col min="2" max="2" width="65" customWidth="1"/>
    <col min="3" max="8" width="11.5703125" customWidth="1"/>
  </cols>
  <sheetData>
    <row r="2" spans="1:15" x14ac:dyDescent="0.25">
      <c r="A2" s="921" t="s">
        <v>1009</v>
      </c>
      <c r="B2" s="921"/>
      <c r="C2" s="921"/>
      <c r="D2" s="921"/>
      <c r="E2" s="921"/>
      <c r="F2" s="921"/>
      <c r="G2" s="921"/>
      <c r="H2" s="921"/>
      <c r="I2" s="921"/>
      <c r="J2" s="921"/>
      <c r="K2" s="921"/>
      <c r="L2" s="921"/>
      <c r="M2" s="921"/>
      <c r="N2" s="921"/>
      <c r="O2" s="921"/>
    </row>
    <row r="3" spans="1:15" x14ac:dyDescent="0.25">
      <c r="A3" s="921" t="s">
        <v>974</v>
      </c>
      <c r="B3" s="921"/>
      <c r="C3" s="921"/>
      <c r="D3" s="921"/>
      <c r="E3" s="921"/>
      <c r="F3" s="921"/>
      <c r="G3" s="921"/>
      <c r="H3" s="921"/>
      <c r="I3" s="921"/>
      <c r="J3" s="921"/>
      <c r="K3" s="921"/>
      <c r="L3" s="921"/>
      <c r="M3" s="921"/>
      <c r="N3" s="921"/>
      <c r="O3" s="921"/>
    </row>
    <row r="4" spans="1:15" ht="15" customHeight="1" x14ac:dyDescent="0.25">
      <c r="A4" s="922"/>
      <c r="B4" s="922"/>
      <c r="C4" s="922"/>
      <c r="D4" s="922"/>
      <c r="E4" s="90"/>
      <c r="F4" s="90"/>
      <c r="G4" s="90"/>
      <c r="H4" s="90"/>
    </row>
    <row r="5" spans="1:15" x14ac:dyDescent="0.25">
      <c r="A5" s="91"/>
      <c r="B5" s="92"/>
      <c r="C5" s="923" t="s">
        <v>891</v>
      </c>
      <c r="D5" s="924"/>
      <c r="E5" s="924"/>
      <c r="F5" s="924"/>
      <c r="G5" s="924"/>
      <c r="H5" s="924"/>
      <c r="I5" s="36"/>
      <c r="J5" s="131"/>
      <c r="K5" s="36"/>
    </row>
    <row r="6" spans="1:15" x14ac:dyDescent="0.25">
      <c r="A6" s="124" t="s">
        <v>892</v>
      </c>
      <c r="B6" s="93"/>
      <c r="C6" s="925">
        <v>2021</v>
      </c>
      <c r="D6" s="926"/>
      <c r="E6" s="926"/>
      <c r="F6" s="927">
        <v>2022</v>
      </c>
      <c r="G6" s="926"/>
      <c r="H6" s="926"/>
      <c r="I6" s="928"/>
    </row>
    <row r="7" spans="1:15" ht="15" customHeight="1" x14ac:dyDescent="0.25">
      <c r="A7" s="94"/>
      <c r="B7" s="95"/>
      <c r="C7" s="125" t="s">
        <v>893</v>
      </c>
      <c r="D7" s="126" t="s">
        <v>894</v>
      </c>
      <c r="E7" s="126" t="s">
        <v>912</v>
      </c>
      <c r="F7" s="126" t="s">
        <v>234</v>
      </c>
      <c r="G7" s="126" t="s">
        <v>235</v>
      </c>
      <c r="H7" s="126" t="s">
        <v>236</v>
      </c>
      <c r="I7" s="128" t="s">
        <v>237</v>
      </c>
      <c r="J7" s="130" t="s">
        <v>1010</v>
      </c>
    </row>
    <row r="8" spans="1:15" x14ac:dyDescent="0.25">
      <c r="A8" s="96">
        <v>1</v>
      </c>
      <c r="B8" s="77" t="s">
        <v>239</v>
      </c>
      <c r="C8" s="97">
        <v>20884.900000000001</v>
      </c>
      <c r="D8" s="98">
        <v>21025</v>
      </c>
      <c r="E8" s="99">
        <v>21120.1</v>
      </c>
      <c r="F8" s="99">
        <v>21130.9</v>
      </c>
      <c r="G8" s="99">
        <v>21263.5</v>
      </c>
      <c r="H8" s="100">
        <v>21380.400000000001</v>
      </c>
      <c r="I8" s="119">
        <v>21469.8</v>
      </c>
      <c r="J8" s="131"/>
      <c r="K8" s="111"/>
    </row>
    <row r="9" spans="1:15" x14ac:dyDescent="0.25">
      <c r="A9" s="74">
        <v>2</v>
      </c>
      <c r="B9" s="78" t="s">
        <v>240</v>
      </c>
      <c r="C9" s="116">
        <v>13019</v>
      </c>
      <c r="D9" s="117">
        <v>13138</v>
      </c>
      <c r="E9" s="118">
        <v>13240.9</v>
      </c>
      <c r="F9" s="118">
        <v>13310.2</v>
      </c>
      <c r="G9" s="118">
        <v>13440.4</v>
      </c>
      <c r="H9" s="120">
        <v>13528.4</v>
      </c>
      <c r="I9" s="119">
        <v>13605.1</v>
      </c>
      <c r="J9" s="131"/>
      <c r="K9" s="111"/>
    </row>
    <row r="10" spans="1:15" x14ac:dyDescent="0.25">
      <c r="A10" s="101">
        <v>3</v>
      </c>
      <c r="B10" s="79" t="s">
        <v>241</v>
      </c>
      <c r="C10" s="121">
        <v>10726.1</v>
      </c>
      <c r="D10" s="122">
        <v>10833.6</v>
      </c>
      <c r="E10" s="123">
        <v>10925</v>
      </c>
      <c r="F10" s="123">
        <v>10982.5</v>
      </c>
      <c r="G10" s="123">
        <v>11099.1</v>
      </c>
      <c r="H10" s="127">
        <v>11176.7</v>
      </c>
      <c r="I10" s="119">
        <v>11243.5</v>
      </c>
      <c r="J10" s="131"/>
      <c r="K10" s="111"/>
    </row>
    <row r="11" spans="1:15" x14ac:dyDescent="0.25">
      <c r="A11" s="36">
        <v>4</v>
      </c>
      <c r="B11" s="80" t="s">
        <v>242</v>
      </c>
      <c r="C11" s="133">
        <v>9163.2999999999993</v>
      </c>
      <c r="D11" s="113">
        <v>9268.5</v>
      </c>
      <c r="E11" s="134">
        <v>9355.4</v>
      </c>
      <c r="F11" s="134">
        <v>9403.6</v>
      </c>
      <c r="G11" s="134">
        <v>9512.7000000000007</v>
      </c>
      <c r="H11" s="135">
        <v>9585</v>
      </c>
      <c r="I11" s="119">
        <v>9647</v>
      </c>
      <c r="J11" s="131"/>
      <c r="K11" s="111"/>
    </row>
    <row r="12" spans="1:15" x14ac:dyDescent="0.25">
      <c r="A12" s="101">
        <v>5</v>
      </c>
      <c r="B12" s="79" t="s">
        <v>243</v>
      </c>
      <c r="C12" s="121">
        <v>1562.8</v>
      </c>
      <c r="D12" s="122">
        <v>1565.1</v>
      </c>
      <c r="E12" s="123">
        <v>1569.6</v>
      </c>
      <c r="F12" s="123">
        <v>1578.9</v>
      </c>
      <c r="G12" s="123">
        <v>1586.4</v>
      </c>
      <c r="H12" s="127">
        <v>1591.7</v>
      </c>
      <c r="I12" s="119">
        <v>1596.5</v>
      </c>
      <c r="J12" s="131"/>
      <c r="K12" s="111"/>
    </row>
    <row r="13" spans="1:15" x14ac:dyDescent="0.25">
      <c r="A13" s="36">
        <v>6</v>
      </c>
      <c r="B13" s="80" t="s">
        <v>244</v>
      </c>
      <c r="C13" s="133">
        <v>2292.9</v>
      </c>
      <c r="D13" s="113">
        <v>2304.4</v>
      </c>
      <c r="E13" s="134">
        <v>2315.9</v>
      </c>
      <c r="F13" s="134">
        <v>2327.8000000000002</v>
      </c>
      <c r="G13" s="134">
        <v>2341.3000000000002</v>
      </c>
      <c r="H13" s="135">
        <v>2351.8000000000002</v>
      </c>
      <c r="I13" s="119">
        <v>2361.6</v>
      </c>
      <c r="J13" s="131"/>
      <c r="K13" s="111"/>
    </row>
    <row r="14" spans="1:15" x14ac:dyDescent="0.25">
      <c r="A14" s="96">
        <v>7</v>
      </c>
      <c r="B14" s="81" t="s">
        <v>245</v>
      </c>
      <c r="C14" s="136">
        <v>1862.7</v>
      </c>
      <c r="D14" s="115">
        <v>1867.8</v>
      </c>
      <c r="E14" s="137">
        <v>1845</v>
      </c>
      <c r="F14" s="137">
        <v>1855.7</v>
      </c>
      <c r="G14" s="137">
        <v>1879.2</v>
      </c>
      <c r="H14" s="138">
        <v>1896.1</v>
      </c>
      <c r="I14" s="119">
        <v>1886.3</v>
      </c>
      <c r="J14" s="131"/>
      <c r="K14" s="111"/>
    </row>
    <row r="15" spans="1:15" x14ac:dyDescent="0.25">
      <c r="A15" s="36">
        <v>8</v>
      </c>
      <c r="B15" s="80" t="s">
        <v>246</v>
      </c>
      <c r="C15" s="133">
        <v>90.8</v>
      </c>
      <c r="D15" s="113">
        <v>88.9</v>
      </c>
      <c r="E15" s="134">
        <v>84.2</v>
      </c>
      <c r="F15" s="134">
        <v>96.1</v>
      </c>
      <c r="G15" s="134">
        <v>108.3</v>
      </c>
      <c r="H15" s="135">
        <v>121.8</v>
      </c>
      <c r="I15" s="119">
        <v>119.7</v>
      </c>
      <c r="J15" s="131"/>
      <c r="K15" s="111"/>
    </row>
    <row r="16" spans="1:15" x14ac:dyDescent="0.25">
      <c r="A16" s="101"/>
      <c r="B16" s="82" t="s">
        <v>249</v>
      </c>
      <c r="C16" s="121" t="s">
        <v>998</v>
      </c>
      <c r="D16" s="122" t="s">
        <v>998</v>
      </c>
      <c r="E16" s="123" t="s">
        <v>998</v>
      </c>
      <c r="F16" s="123" t="s">
        <v>998</v>
      </c>
      <c r="G16" s="123"/>
      <c r="H16" s="127"/>
      <c r="I16" s="119" t="s">
        <v>998</v>
      </c>
      <c r="J16" s="131"/>
      <c r="K16" s="111"/>
    </row>
    <row r="17" spans="1:11" ht="16.149999999999999" customHeight="1" x14ac:dyDescent="0.25">
      <c r="A17" s="101">
        <v>9</v>
      </c>
      <c r="B17" s="79" t="s">
        <v>999</v>
      </c>
      <c r="C17" s="121">
        <v>1.1000000000000001</v>
      </c>
      <c r="D17" s="122">
        <v>2.5</v>
      </c>
      <c r="E17" s="123">
        <v>0</v>
      </c>
      <c r="F17" s="123">
        <v>0.3</v>
      </c>
      <c r="G17" s="123">
        <v>0.2</v>
      </c>
      <c r="H17" s="127">
        <v>1.3</v>
      </c>
      <c r="I17" s="119">
        <v>0</v>
      </c>
      <c r="J17" s="131"/>
      <c r="K17" s="111"/>
    </row>
    <row r="18" spans="1:11" ht="16.149999999999999" customHeight="1" x14ac:dyDescent="0.25">
      <c r="A18" s="103">
        <v>10</v>
      </c>
      <c r="B18" s="110" t="s">
        <v>1000</v>
      </c>
      <c r="C18" s="105">
        <v>1.8</v>
      </c>
      <c r="D18" s="106">
        <v>0.5</v>
      </c>
      <c r="E18" s="107">
        <v>0</v>
      </c>
      <c r="F18" s="107">
        <v>0</v>
      </c>
      <c r="G18" s="107">
        <v>0</v>
      </c>
      <c r="H18" s="108">
        <v>0</v>
      </c>
      <c r="I18" s="129">
        <v>0</v>
      </c>
      <c r="J18" s="132"/>
      <c r="K18" s="112"/>
    </row>
    <row r="19" spans="1:11" x14ac:dyDescent="0.25">
      <c r="A19" s="101">
        <v>11</v>
      </c>
      <c r="B19" s="79" t="s">
        <v>250</v>
      </c>
      <c r="C19" s="121">
        <v>1771.9</v>
      </c>
      <c r="D19" s="122">
        <v>1778.8</v>
      </c>
      <c r="E19" s="123">
        <v>1760.8</v>
      </c>
      <c r="F19" s="123">
        <v>1759.5</v>
      </c>
      <c r="G19" s="123">
        <v>1770.9</v>
      </c>
      <c r="H19" s="127">
        <v>1774.4</v>
      </c>
      <c r="I19" s="119">
        <v>1766.7</v>
      </c>
      <c r="J19" s="131"/>
      <c r="K19" s="111"/>
    </row>
    <row r="20" spans="1:11" x14ac:dyDescent="0.25">
      <c r="B20" s="83" t="s">
        <v>251</v>
      </c>
      <c r="C20" s="133" t="s">
        <v>998</v>
      </c>
      <c r="D20" s="113" t="s">
        <v>998</v>
      </c>
      <c r="E20" s="134" t="s">
        <v>998</v>
      </c>
      <c r="F20" s="134" t="s">
        <v>998</v>
      </c>
      <c r="G20" s="134"/>
      <c r="H20" s="135"/>
      <c r="I20" s="119" t="s">
        <v>998</v>
      </c>
      <c r="J20" s="131"/>
      <c r="K20" s="111"/>
    </row>
    <row r="21" spans="1:11" ht="16.149999999999999" customHeight="1" x14ac:dyDescent="0.25">
      <c r="A21" s="103">
        <v>12</v>
      </c>
      <c r="B21" s="110" t="s">
        <v>1000</v>
      </c>
      <c r="C21" s="105">
        <v>28.3</v>
      </c>
      <c r="D21" s="106">
        <v>7.3</v>
      </c>
      <c r="E21" s="107">
        <v>0.1</v>
      </c>
      <c r="F21" s="107">
        <v>0</v>
      </c>
      <c r="G21" s="107">
        <v>0</v>
      </c>
      <c r="H21" s="108">
        <v>0</v>
      </c>
      <c r="I21" s="129">
        <v>0</v>
      </c>
      <c r="J21" s="132"/>
      <c r="K21" s="112"/>
    </row>
    <row r="22" spans="1:11" x14ac:dyDescent="0.25">
      <c r="A22" s="96">
        <v>13</v>
      </c>
      <c r="B22" s="81" t="s">
        <v>252</v>
      </c>
      <c r="C22" s="136">
        <v>740.3</v>
      </c>
      <c r="D22" s="115">
        <v>743.6</v>
      </c>
      <c r="E22" s="137">
        <v>746.7</v>
      </c>
      <c r="F22" s="137">
        <v>747.4</v>
      </c>
      <c r="G22" s="137">
        <v>748.1</v>
      </c>
      <c r="H22" s="138">
        <v>749.7</v>
      </c>
      <c r="I22" s="119">
        <v>759.5</v>
      </c>
      <c r="J22" s="131"/>
      <c r="K22" s="111"/>
    </row>
    <row r="23" spans="1:11" x14ac:dyDescent="0.25">
      <c r="A23" s="74">
        <v>14</v>
      </c>
      <c r="B23" s="78" t="s">
        <v>253</v>
      </c>
      <c r="C23" s="116">
        <v>2974.8</v>
      </c>
      <c r="D23" s="117">
        <v>2986.9</v>
      </c>
      <c r="E23" s="118">
        <v>3005.7</v>
      </c>
      <c r="F23" s="118">
        <v>3002.4</v>
      </c>
      <c r="G23" s="118">
        <v>3004.9</v>
      </c>
      <c r="H23" s="120">
        <v>3018.6</v>
      </c>
      <c r="I23" s="119">
        <v>3041.5</v>
      </c>
      <c r="J23" s="131"/>
      <c r="K23" s="111"/>
    </row>
    <row r="24" spans="1:11" x14ac:dyDescent="0.25">
      <c r="A24" s="101">
        <v>15</v>
      </c>
      <c r="B24" s="79" t="s">
        <v>254</v>
      </c>
      <c r="C24" s="121">
        <v>1647.8</v>
      </c>
      <c r="D24" s="122">
        <v>1656.9</v>
      </c>
      <c r="E24" s="123">
        <v>1665.6</v>
      </c>
      <c r="F24" s="123">
        <v>1675.1</v>
      </c>
      <c r="G24" s="123">
        <v>1684.3</v>
      </c>
      <c r="H24" s="127">
        <v>1693.1</v>
      </c>
      <c r="I24" s="119">
        <v>1699.3</v>
      </c>
      <c r="J24" s="131"/>
      <c r="K24" s="111"/>
    </row>
    <row r="25" spans="1:11" x14ac:dyDescent="0.25">
      <c r="A25" s="36">
        <v>16</v>
      </c>
      <c r="B25" s="80" t="s">
        <v>255</v>
      </c>
      <c r="C25" s="133">
        <v>1327</v>
      </c>
      <c r="D25" s="113">
        <v>1330.1</v>
      </c>
      <c r="E25" s="134">
        <v>1340.1</v>
      </c>
      <c r="F25" s="134">
        <v>1327.3</v>
      </c>
      <c r="G25" s="134">
        <v>1320.6</v>
      </c>
      <c r="H25" s="135">
        <v>1325.5</v>
      </c>
      <c r="I25" s="119">
        <v>1342.2</v>
      </c>
      <c r="J25" s="131"/>
      <c r="K25" s="111"/>
    </row>
    <row r="26" spans="1:11" x14ac:dyDescent="0.25">
      <c r="A26" s="96">
        <v>17</v>
      </c>
      <c r="B26" s="81" t="s">
        <v>256</v>
      </c>
      <c r="C26" s="136">
        <v>3930.6</v>
      </c>
      <c r="D26" s="115">
        <v>3945.5</v>
      </c>
      <c r="E26" s="137">
        <v>3950.7</v>
      </c>
      <c r="F26" s="137">
        <v>3900.4</v>
      </c>
      <c r="G26" s="137">
        <v>3891.8</v>
      </c>
      <c r="H26" s="138">
        <v>3898.7</v>
      </c>
      <c r="I26" s="119">
        <v>3897.5</v>
      </c>
      <c r="J26" s="131"/>
      <c r="K26" s="111"/>
    </row>
    <row r="27" spans="1:11" x14ac:dyDescent="0.25">
      <c r="A27" s="36">
        <v>18</v>
      </c>
      <c r="B27" s="80" t="s">
        <v>257</v>
      </c>
      <c r="C27" s="133">
        <v>3864.5</v>
      </c>
      <c r="D27" s="113">
        <v>3878.7</v>
      </c>
      <c r="E27" s="134">
        <v>3883.3</v>
      </c>
      <c r="F27" s="134">
        <v>3833.3</v>
      </c>
      <c r="G27" s="134">
        <v>3824.1</v>
      </c>
      <c r="H27" s="135">
        <v>3830.3</v>
      </c>
      <c r="I27" s="119">
        <v>3828.4</v>
      </c>
      <c r="J27" s="131"/>
      <c r="K27" s="111"/>
    </row>
    <row r="28" spans="1:11" x14ac:dyDescent="0.25">
      <c r="A28" s="101">
        <v>19</v>
      </c>
      <c r="B28" s="79" t="s">
        <v>258</v>
      </c>
      <c r="C28" s="121">
        <v>1129.7</v>
      </c>
      <c r="D28" s="122">
        <v>1126</v>
      </c>
      <c r="E28" s="123">
        <v>1124.9000000000001</v>
      </c>
      <c r="F28" s="123">
        <v>1196.2</v>
      </c>
      <c r="G28" s="123">
        <v>1198</v>
      </c>
      <c r="H28" s="127">
        <v>1202.8</v>
      </c>
      <c r="I28" s="119">
        <v>1199.5</v>
      </c>
      <c r="J28" s="131"/>
      <c r="K28" s="111"/>
    </row>
    <row r="29" spans="1:11" x14ac:dyDescent="0.25">
      <c r="A29" s="103">
        <v>20</v>
      </c>
      <c r="B29" s="104" t="s">
        <v>259</v>
      </c>
      <c r="C29" s="105">
        <v>839.3</v>
      </c>
      <c r="D29" s="106">
        <v>847.5</v>
      </c>
      <c r="E29" s="107">
        <v>856.9</v>
      </c>
      <c r="F29" s="107">
        <v>859.1</v>
      </c>
      <c r="G29" s="107">
        <v>861.9</v>
      </c>
      <c r="H29" s="108">
        <v>865.3</v>
      </c>
      <c r="I29" s="129">
        <v>861.2</v>
      </c>
      <c r="J29" s="132">
        <f>forecast!D12</f>
        <v>860.35792741992714</v>
      </c>
      <c r="K29" s="112"/>
    </row>
    <row r="30" spans="1:11" x14ac:dyDescent="0.25">
      <c r="A30" s="101"/>
      <c r="B30" s="82" t="s">
        <v>260</v>
      </c>
      <c r="C30" s="121" t="s">
        <v>998</v>
      </c>
      <c r="D30" s="122" t="s">
        <v>998</v>
      </c>
      <c r="E30" s="123" t="s">
        <v>998</v>
      </c>
      <c r="F30" s="123" t="s">
        <v>998</v>
      </c>
      <c r="G30" s="123" t="s">
        <v>998</v>
      </c>
      <c r="H30" s="127" t="s">
        <v>998</v>
      </c>
      <c r="I30" s="119" t="s">
        <v>998</v>
      </c>
      <c r="J30" s="131"/>
      <c r="K30" s="111"/>
    </row>
    <row r="31" spans="1:11" ht="16.149999999999999" customHeight="1" x14ac:dyDescent="0.25">
      <c r="A31" s="101">
        <v>21</v>
      </c>
      <c r="B31" s="79" t="s">
        <v>1001</v>
      </c>
      <c r="C31" s="121">
        <v>14.5</v>
      </c>
      <c r="D31" s="122">
        <v>14.6</v>
      </c>
      <c r="E31" s="123">
        <v>14.7</v>
      </c>
      <c r="F31" s="123">
        <v>14.8</v>
      </c>
      <c r="G31" s="123">
        <v>14.8</v>
      </c>
      <c r="H31" s="127">
        <v>14.8</v>
      </c>
      <c r="I31" s="119">
        <v>7.4</v>
      </c>
      <c r="J31" s="131"/>
      <c r="K31" s="111"/>
    </row>
    <row r="32" spans="1:11" x14ac:dyDescent="0.25">
      <c r="A32" s="103">
        <v>22</v>
      </c>
      <c r="B32" s="104" t="s">
        <v>261</v>
      </c>
      <c r="C32" s="105">
        <v>780.6</v>
      </c>
      <c r="D32" s="106">
        <v>781.2</v>
      </c>
      <c r="E32" s="107">
        <v>786.8</v>
      </c>
      <c r="F32" s="107">
        <v>790.3</v>
      </c>
      <c r="G32" s="107">
        <v>791.5</v>
      </c>
      <c r="H32" s="108">
        <v>792.1</v>
      </c>
      <c r="I32" s="129">
        <v>793.7</v>
      </c>
      <c r="J32" s="132">
        <f>forecast!D11</f>
        <v>793.00154133708929</v>
      </c>
      <c r="K32" s="112"/>
    </row>
    <row r="33" spans="1:11" x14ac:dyDescent="0.25">
      <c r="A33" s="103">
        <v>23</v>
      </c>
      <c r="B33" s="104" t="s">
        <v>262</v>
      </c>
      <c r="C33" s="105">
        <v>45.3</v>
      </c>
      <c r="D33" s="106">
        <v>37.4</v>
      </c>
      <c r="E33" s="107">
        <v>30.3</v>
      </c>
      <c r="F33" s="107">
        <v>27.3</v>
      </c>
      <c r="G33" s="107">
        <v>25</v>
      </c>
      <c r="H33" s="108">
        <v>23.1</v>
      </c>
      <c r="I33" s="129">
        <v>20.6</v>
      </c>
      <c r="J33" s="132">
        <f>forecast!D9+forecast!D8</f>
        <v>23.11578947368421</v>
      </c>
      <c r="K33" s="112"/>
    </row>
    <row r="34" spans="1:11" ht="16.149999999999999" customHeight="1" x14ac:dyDescent="0.25">
      <c r="B34" s="84" t="s">
        <v>1002</v>
      </c>
      <c r="C34" s="133" t="s">
        <v>998</v>
      </c>
      <c r="D34" s="113" t="s">
        <v>998</v>
      </c>
      <c r="E34" s="134" t="s">
        <v>998</v>
      </c>
      <c r="F34" s="134" t="s">
        <v>998</v>
      </c>
      <c r="G34" s="134"/>
      <c r="H34" s="135"/>
      <c r="I34" s="119" t="s">
        <v>998</v>
      </c>
      <c r="J34" s="131"/>
      <c r="K34" s="111"/>
    </row>
    <row r="35" spans="1:11" x14ac:dyDescent="0.25">
      <c r="A35" s="36">
        <v>24</v>
      </c>
      <c r="B35" s="85" t="s">
        <v>263</v>
      </c>
      <c r="C35" s="133">
        <v>2.9</v>
      </c>
      <c r="D35" s="113">
        <v>2.8</v>
      </c>
      <c r="E35" s="134">
        <v>1.4</v>
      </c>
      <c r="F35" s="134">
        <v>0.8</v>
      </c>
      <c r="G35" s="134">
        <v>0.6</v>
      </c>
      <c r="H35" s="135">
        <v>0.6</v>
      </c>
      <c r="I35" s="119">
        <v>0.4</v>
      </c>
      <c r="J35" s="131"/>
      <c r="K35" s="111"/>
    </row>
    <row r="36" spans="1:11" x14ac:dyDescent="0.25">
      <c r="A36" s="101">
        <v>25</v>
      </c>
      <c r="B36" s="86" t="s">
        <v>264</v>
      </c>
      <c r="C36" s="121">
        <v>5.4</v>
      </c>
      <c r="D36" s="122">
        <v>2.8</v>
      </c>
      <c r="E36" s="123">
        <v>1.8</v>
      </c>
      <c r="F36" s="123">
        <v>1.1000000000000001</v>
      </c>
      <c r="G36" s="123">
        <v>0.9</v>
      </c>
      <c r="H36" s="127">
        <v>0.9</v>
      </c>
      <c r="I36" s="119">
        <v>0.7</v>
      </c>
      <c r="J36" s="131"/>
      <c r="K36" s="111"/>
    </row>
    <row r="37" spans="1:11" x14ac:dyDescent="0.25">
      <c r="A37" s="36">
        <v>26</v>
      </c>
      <c r="B37" s="87" t="s">
        <v>265</v>
      </c>
      <c r="C37" s="133">
        <v>3.6</v>
      </c>
      <c r="D37" s="113">
        <v>2.2000000000000002</v>
      </c>
      <c r="E37" s="134">
        <v>1.5</v>
      </c>
      <c r="F37" s="134">
        <v>1.1000000000000001</v>
      </c>
      <c r="G37" s="134">
        <v>0.8</v>
      </c>
      <c r="H37" s="135">
        <v>0.7</v>
      </c>
      <c r="I37" s="119">
        <v>0.6</v>
      </c>
      <c r="J37" s="131"/>
      <c r="K37" s="111"/>
    </row>
    <row r="38" spans="1:11" x14ac:dyDescent="0.25">
      <c r="A38" s="101">
        <v>27</v>
      </c>
      <c r="B38" s="86" t="s">
        <v>266</v>
      </c>
      <c r="C38" s="121">
        <v>0</v>
      </c>
      <c r="D38" s="122">
        <v>0</v>
      </c>
      <c r="E38" s="123">
        <v>0</v>
      </c>
      <c r="F38" s="123">
        <v>0</v>
      </c>
      <c r="G38" s="123">
        <v>0</v>
      </c>
      <c r="H38" s="127">
        <v>0</v>
      </c>
      <c r="I38" s="119">
        <v>0</v>
      </c>
      <c r="J38" s="131"/>
      <c r="K38" s="111"/>
    </row>
    <row r="39" spans="1:11" x14ac:dyDescent="0.25">
      <c r="A39" s="36">
        <v>28</v>
      </c>
      <c r="B39" s="80" t="s">
        <v>267</v>
      </c>
      <c r="C39" s="133">
        <v>166.7</v>
      </c>
      <c r="D39" s="113">
        <v>169.2</v>
      </c>
      <c r="E39" s="134">
        <v>171.8</v>
      </c>
      <c r="F39" s="134">
        <v>174.6</v>
      </c>
      <c r="G39" s="134">
        <v>177.5</v>
      </c>
      <c r="H39" s="135">
        <v>180.4</v>
      </c>
      <c r="I39" s="119">
        <v>183.7</v>
      </c>
      <c r="J39" s="131"/>
      <c r="K39" s="111"/>
    </row>
    <row r="40" spans="1:11" x14ac:dyDescent="0.25">
      <c r="A40" s="101">
        <v>29</v>
      </c>
      <c r="B40" s="79" t="s">
        <v>268</v>
      </c>
      <c r="C40" s="121">
        <v>903</v>
      </c>
      <c r="D40" s="122">
        <v>917.3</v>
      </c>
      <c r="E40" s="123">
        <v>912.6</v>
      </c>
      <c r="F40" s="123">
        <v>785.8</v>
      </c>
      <c r="G40" s="123">
        <v>770.1</v>
      </c>
      <c r="H40" s="127">
        <v>766.6</v>
      </c>
      <c r="I40" s="119">
        <v>769.7</v>
      </c>
      <c r="J40" s="131"/>
      <c r="K40" s="111"/>
    </row>
    <row r="41" spans="1:11" x14ac:dyDescent="0.25">
      <c r="B41" s="84" t="s">
        <v>269</v>
      </c>
      <c r="C41" s="133" t="s">
        <v>998</v>
      </c>
      <c r="D41" s="113" t="s">
        <v>998</v>
      </c>
      <c r="E41" s="134" t="s">
        <v>998</v>
      </c>
      <c r="F41" s="134" t="s">
        <v>998</v>
      </c>
      <c r="G41" s="134"/>
      <c r="H41" s="135"/>
      <c r="I41" s="119" t="s">
        <v>998</v>
      </c>
      <c r="J41" s="131"/>
      <c r="K41" s="111"/>
    </row>
    <row r="42" spans="1:11" ht="16.149999999999999" customHeight="1" x14ac:dyDescent="0.25">
      <c r="A42" s="103">
        <v>30</v>
      </c>
      <c r="B42" s="109" t="s">
        <v>1003</v>
      </c>
      <c r="C42" s="105">
        <v>220.5</v>
      </c>
      <c r="D42" s="106">
        <v>222.6</v>
      </c>
      <c r="E42" s="107">
        <v>226.3</v>
      </c>
      <c r="F42" s="107">
        <v>105.6</v>
      </c>
      <c r="G42" s="107">
        <v>105.6</v>
      </c>
      <c r="H42" s="108">
        <v>105.6</v>
      </c>
      <c r="I42" s="129">
        <v>105.6</v>
      </c>
      <c r="J42" s="132">
        <f>'Social Benefits'!R21</f>
        <v>105.6</v>
      </c>
      <c r="K42" s="112"/>
    </row>
    <row r="43" spans="1:11" ht="16.149999999999999" customHeight="1" x14ac:dyDescent="0.25">
      <c r="A43" s="103">
        <v>31</v>
      </c>
      <c r="B43" s="109" t="s">
        <v>1004</v>
      </c>
      <c r="C43" s="105">
        <v>31.3</v>
      </c>
      <c r="D43" s="106">
        <v>11.4</v>
      </c>
      <c r="E43" s="107">
        <v>0</v>
      </c>
      <c r="F43" s="107">
        <v>0</v>
      </c>
      <c r="G43" s="107">
        <v>0</v>
      </c>
      <c r="H43" s="108">
        <v>0</v>
      </c>
      <c r="I43" s="129">
        <v>0</v>
      </c>
      <c r="J43" s="132"/>
      <c r="K43" s="112"/>
    </row>
    <row r="44" spans="1:11" ht="16.149999999999999" customHeight="1" x14ac:dyDescent="0.25">
      <c r="A44" s="36">
        <v>32</v>
      </c>
      <c r="B44" s="85" t="s">
        <v>1005</v>
      </c>
      <c r="C44" s="133">
        <v>0</v>
      </c>
      <c r="D44" s="113">
        <v>0</v>
      </c>
      <c r="E44" s="134">
        <v>0</v>
      </c>
      <c r="F44" s="134">
        <v>0</v>
      </c>
      <c r="G44" s="134">
        <v>0</v>
      </c>
      <c r="H44" s="135">
        <v>0</v>
      </c>
      <c r="I44" s="119">
        <v>0</v>
      </c>
      <c r="J44" s="131"/>
      <c r="K44" s="111"/>
    </row>
    <row r="45" spans="1:11" ht="16.149999999999999" customHeight="1" x14ac:dyDescent="0.25">
      <c r="A45" s="103">
        <v>33</v>
      </c>
      <c r="B45" s="110" t="s">
        <v>1006</v>
      </c>
      <c r="C45" s="105">
        <v>3.4</v>
      </c>
      <c r="D45" s="106">
        <v>2.6</v>
      </c>
      <c r="E45" s="107">
        <v>0</v>
      </c>
      <c r="F45" s="107">
        <v>0</v>
      </c>
      <c r="G45" s="107">
        <v>0</v>
      </c>
      <c r="H45" s="108">
        <v>0</v>
      </c>
      <c r="I45" s="129">
        <v>0</v>
      </c>
      <c r="J45" s="132"/>
      <c r="K45" s="112"/>
    </row>
    <row r="46" spans="1:11" ht="16.149999999999999" customHeight="1" x14ac:dyDescent="0.25">
      <c r="A46" s="103">
        <v>34</v>
      </c>
      <c r="B46" s="104" t="s">
        <v>1007</v>
      </c>
      <c r="C46" s="105">
        <v>37</v>
      </c>
      <c r="D46" s="106">
        <v>74.400000000000006</v>
      </c>
      <c r="E46" s="107">
        <v>81.900000000000006</v>
      </c>
      <c r="F46" s="107">
        <v>65.3</v>
      </c>
      <c r="G46" s="107">
        <v>47.3</v>
      </c>
      <c r="H46" s="108">
        <v>48.5</v>
      </c>
      <c r="I46" s="129">
        <v>54.6</v>
      </c>
      <c r="J46" s="132">
        <f>'Provider Relief'!R11</f>
        <v>50</v>
      </c>
      <c r="K46" s="112"/>
    </row>
    <row r="47" spans="1:11" x14ac:dyDescent="0.25">
      <c r="A47" s="101">
        <v>35</v>
      </c>
      <c r="B47" s="79" t="s">
        <v>270</v>
      </c>
      <c r="C47" s="121">
        <v>66.099999999999994</v>
      </c>
      <c r="D47" s="122">
        <v>66.7</v>
      </c>
      <c r="E47" s="123">
        <v>67.400000000000006</v>
      </c>
      <c r="F47" s="123">
        <v>67.099999999999994</v>
      </c>
      <c r="G47" s="123">
        <v>67.7</v>
      </c>
      <c r="H47" s="127">
        <v>68.400000000000006</v>
      </c>
      <c r="I47" s="119">
        <v>69.099999999999994</v>
      </c>
      <c r="J47" s="131"/>
      <c r="K47" s="111"/>
    </row>
    <row r="48" spans="1:11" x14ac:dyDescent="0.25">
      <c r="A48" s="74">
        <v>36</v>
      </c>
      <c r="B48" s="78" t="s">
        <v>271</v>
      </c>
      <c r="C48" s="116">
        <v>1642.5</v>
      </c>
      <c r="D48" s="117">
        <v>1656.8</v>
      </c>
      <c r="E48" s="118">
        <v>1668.9</v>
      </c>
      <c r="F48" s="118">
        <v>1685.2</v>
      </c>
      <c r="G48" s="118">
        <v>1700.8</v>
      </c>
      <c r="H48" s="120">
        <v>1711.2</v>
      </c>
      <c r="I48" s="119">
        <v>1720.2</v>
      </c>
      <c r="J48" s="131"/>
      <c r="K48" s="111"/>
    </row>
    <row r="49" spans="1:11" x14ac:dyDescent="0.25">
      <c r="A49" s="96">
        <v>37</v>
      </c>
      <c r="B49" s="81" t="s">
        <v>272</v>
      </c>
      <c r="C49" s="136">
        <v>2718.7</v>
      </c>
      <c r="D49" s="115">
        <v>2755.5</v>
      </c>
      <c r="E49" s="137">
        <v>2790.6</v>
      </c>
      <c r="F49" s="137">
        <v>2973</v>
      </c>
      <c r="G49" s="137">
        <v>3011</v>
      </c>
      <c r="H49" s="138">
        <v>3048</v>
      </c>
      <c r="I49" s="119">
        <v>3089</v>
      </c>
      <c r="J49" s="131"/>
      <c r="K49" s="111"/>
    </row>
    <row r="50" spans="1:11" x14ac:dyDescent="0.25">
      <c r="A50" s="74">
        <v>38</v>
      </c>
      <c r="B50" s="78" t="s">
        <v>273</v>
      </c>
      <c r="C50" s="116">
        <v>18166.3</v>
      </c>
      <c r="D50" s="117">
        <v>18269.5</v>
      </c>
      <c r="E50" s="118">
        <v>18329.5</v>
      </c>
      <c r="F50" s="118">
        <v>18157.900000000001</v>
      </c>
      <c r="G50" s="118">
        <v>18252.5</v>
      </c>
      <c r="H50" s="120">
        <v>18332.400000000001</v>
      </c>
      <c r="I50" s="119">
        <v>18380.7</v>
      </c>
      <c r="J50" s="131"/>
      <c r="K50" s="111"/>
    </row>
    <row r="51" spans="1:11" x14ac:dyDescent="0.25">
      <c r="A51" s="96">
        <v>39</v>
      </c>
      <c r="B51" s="81" t="s">
        <v>274</v>
      </c>
      <c r="C51" s="136">
        <v>16803.8</v>
      </c>
      <c r="D51" s="115">
        <v>16885.099999999999</v>
      </c>
      <c r="E51" s="137">
        <v>16736.3</v>
      </c>
      <c r="F51" s="137">
        <v>17072.599999999999</v>
      </c>
      <c r="G51" s="137">
        <v>17176.900000000001</v>
      </c>
      <c r="H51" s="138">
        <v>17410.2</v>
      </c>
      <c r="I51" s="119">
        <v>17565.5</v>
      </c>
      <c r="J51" s="131"/>
      <c r="K51" s="111"/>
    </row>
    <row r="52" spans="1:11" x14ac:dyDescent="0.25">
      <c r="A52" s="36">
        <v>40</v>
      </c>
      <c r="B52" s="80" t="s">
        <v>275</v>
      </c>
      <c r="C52" s="133">
        <v>16309.5</v>
      </c>
      <c r="D52" s="113">
        <v>16390.900000000001</v>
      </c>
      <c r="E52" s="134">
        <v>16242.3</v>
      </c>
      <c r="F52" s="134">
        <v>16575.599999999999</v>
      </c>
      <c r="G52" s="134">
        <v>16676.7</v>
      </c>
      <c r="H52" s="135">
        <v>16907</v>
      </c>
      <c r="I52" s="119">
        <v>17059.3</v>
      </c>
      <c r="J52" s="131"/>
      <c r="K52" s="111"/>
    </row>
    <row r="53" spans="1:11" x14ac:dyDescent="0.25">
      <c r="A53" s="101">
        <v>41</v>
      </c>
      <c r="B53" s="79" t="s">
        <v>276</v>
      </c>
      <c r="C53" s="121">
        <v>272</v>
      </c>
      <c r="D53" s="122">
        <v>271.60000000000002</v>
      </c>
      <c r="E53" s="123">
        <v>271.2</v>
      </c>
      <c r="F53" s="123">
        <v>274</v>
      </c>
      <c r="G53" s="123">
        <v>276.89999999999998</v>
      </c>
      <c r="H53" s="127">
        <v>279.7</v>
      </c>
      <c r="I53" s="119">
        <v>282.60000000000002</v>
      </c>
      <c r="J53" s="131"/>
      <c r="K53" s="111"/>
    </row>
    <row r="54" spans="1:11" x14ac:dyDescent="0.25">
      <c r="B54" s="88" t="s">
        <v>277</v>
      </c>
      <c r="C54" s="133" t="s">
        <v>998</v>
      </c>
      <c r="D54" s="113" t="s">
        <v>998</v>
      </c>
      <c r="E54" s="134" t="s">
        <v>998</v>
      </c>
      <c r="F54" s="134" t="s">
        <v>998</v>
      </c>
      <c r="G54" s="134"/>
      <c r="H54" s="135"/>
      <c r="I54" s="119" t="s">
        <v>998</v>
      </c>
      <c r="J54" s="131"/>
      <c r="K54" s="111"/>
    </row>
    <row r="55" spans="1:11" ht="16.149999999999999" customHeight="1" x14ac:dyDescent="0.25">
      <c r="A55" s="36">
        <v>42</v>
      </c>
      <c r="B55" s="85" t="s">
        <v>1008</v>
      </c>
      <c r="C55" s="133">
        <v>-37.799999999999997</v>
      </c>
      <c r="D55" s="113">
        <v>-37.799999999999997</v>
      </c>
      <c r="E55" s="134">
        <v>-37.799999999999997</v>
      </c>
      <c r="F55" s="134">
        <v>-37.799999999999997</v>
      </c>
      <c r="G55" s="134">
        <v>-37.799999999999997</v>
      </c>
      <c r="H55" s="135">
        <v>-37.799999999999997</v>
      </c>
      <c r="I55" s="119">
        <v>-37.799999999999997</v>
      </c>
      <c r="J55" s="131"/>
      <c r="K55" s="111"/>
    </row>
    <row r="56" spans="1:11" x14ac:dyDescent="0.25">
      <c r="A56" s="101">
        <v>43</v>
      </c>
      <c r="B56" s="79" t="s">
        <v>278</v>
      </c>
      <c r="C56" s="121">
        <v>222.4</v>
      </c>
      <c r="D56" s="122">
        <v>222.6</v>
      </c>
      <c r="E56" s="123">
        <v>222.9</v>
      </c>
      <c r="F56" s="123">
        <v>223</v>
      </c>
      <c r="G56" s="123">
        <v>223.3</v>
      </c>
      <c r="H56" s="127">
        <v>223.5</v>
      </c>
      <c r="I56" s="119">
        <v>223.6</v>
      </c>
      <c r="J56" s="131"/>
      <c r="K56" s="111"/>
    </row>
    <row r="57" spans="1:11" x14ac:dyDescent="0.25">
      <c r="A57" s="36">
        <v>44</v>
      </c>
      <c r="B57" s="80" t="s">
        <v>279</v>
      </c>
      <c r="C57" s="133">
        <v>117.2</v>
      </c>
      <c r="D57" s="113">
        <v>117.5</v>
      </c>
      <c r="E57" s="134">
        <v>117.7</v>
      </c>
      <c r="F57" s="134">
        <v>118</v>
      </c>
      <c r="G57" s="134">
        <v>118.2</v>
      </c>
      <c r="H57" s="135">
        <v>118.4</v>
      </c>
      <c r="I57" s="119">
        <v>118.6</v>
      </c>
      <c r="J57" s="131"/>
      <c r="K57" s="111"/>
    </row>
    <row r="58" spans="1:11" x14ac:dyDescent="0.25">
      <c r="A58" s="101">
        <v>45</v>
      </c>
      <c r="B58" s="79" t="s">
        <v>280</v>
      </c>
      <c r="C58" s="121">
        <v>105.2</v>
      </c>
      <c r="D58" s="122">
        <v>105.2</v>
      </c>
      <c r="E58" s="123">
        <v>105.2</v>
      </c>
      <c r="F58" s="123">
        <v>105</v>
      </c>
      <c r="G58" s="123">
        <v>105</v>
      </c>
      <c r="H58" s="127">
        <v>105</v>
      </c>
      <c r="I58" s="119">
        <v>105</v>
      </c>
      <c r="J58" s="131"/>
      <c r="K58" s="111"/>
    </row>
    <row r="59" spans="1:11" ht="15" customHeight="1" x14ac:dyDescent="0.25">
      <c r="A59" s="102">
        <v>46</v>
      </c>
      <c r="B59" s="89" t="s">
        <v>281</v>
      </c>
      <c r="C59" s="139">
        <v>1362.4</v>
      </c>
      <c r="D59" s="140">
        <v>1384.4</v>
      </c>
      <c r="E59" s="141">
        <v>1593.2</v>
      </c>
      <c r="F59" s="141">
        <v>1085.3</v>
      </c>
      <c r="G59" s="141">
        <v>1075.7</v>
      </c>
      <c r="H59" s="142">
        <v>922.3</v>
      </c>
      <c r="I59" s="119">
        <v>815.3</v>
      </c>
      <c r="J59" s="131"/>
      <c r="K59" s="111"/>
    </row>
    <row r="61" spans="1:11" x14ac:dyDescent="0.25">
      <c r="A61" s="36" t="s">
        <v>282</v>
      </c>
      <c r="B61" s="143" t="s">
        <v>283</v>
      </c>
    </row>
    <row r="62" spans="1:11" x14ac:dyDescent="0.25">
      <c r="A62" s="36" t="s">
        <v>284</v>
      </c>
      <c r="B62" s="36" t="s">
        <v>285</v>
      </c>
    </row>
    <row r="63" spans="1:11" x14ac:dyDescent="0.25">
      <c r="A63" s="36" t="s">
        <v>286</v>
      </c>
      <c r="B63" s="36" t="s">
        <v>287</v>
      </c>
    </row>
    <row r="64" spans="1:11" x14ac:dyDescent="0.25">
      <c r="A64" s="36" t="s">
        <v>288</v>
      </c>
      <c r="B64" s="36" t="s">
        <v>289</v>
      </c>
    </row>
    <row r="66" spans="1:8" x14ac:dyDescent="0.25">
      <c r="A66" s="919" t="s">
        <v>975</v>
      </c>
      <c r="B66" s="919"/>
      <c r="C66" s="919"/>
      <c r="D66" s="919"/>
      <c r="E66" s="919"/>
      <c r="F66" s="919"/>
      <c r="G66" s="919"/>
      <c r="H66" s="919"/>
    </row>
    <row r="67" spans="1:8" x14ac:dyDescent="0.25">
      <c r="A67" s="917" t="s">
        <v>976</v>
      </c>
      <c r="B67" s="917"/>
      <c r="C67" s="917"/>
      <c r="D67" s="917"/>
      <c r="E67" s="917"/>
      <c r="F67" s="917"/>
      <c r="G67" s="917"/>
      <c r="H67" s="917"/>
    </row>
    <row r="68" spans="1:8" x14ac:dyDescent="0.25">
      <c r="A68" s="916" t="s">
        <v>977</v>
      </c>
      <c r="B68" s="916"/>
      <c r="C68" s="916"/>
      <c r="D68" s="916"/>
      <c r="E68" s="916"/>
      <c r="F68" s="916"/>
      <c r="G68" s="916"/>
      <c r="H68" s="916"/>
    </row>
    <row r="69" spans="1:8" x14ac:dyDescent="0.25">
      <c r="A69" s="918" t="s">
        <v>978</v>
      </c>
      <c r="B69" s="918"/>
      <c r="C69" s="918"/>
      <c r="D69" s="918"/>
      <c r="E69" s="918"/>
      <c r="F69" s="918"/>
      <c r="G69" s="918"/>
      <c r="H69" s="918"/>
    </row>
    <row r="70" spans="1:8" x14ac:dyDescent="0.25">
      <c r="A70" s="920" t="s">
        <v>979</v>
      </c>
      <c r="B70" s="920"/>
      <c r="C70" s="920"/>
      <c r="D70" s="920"/>
      <c r="E70" s="920"/>
      <c r="F70" s="920"/>
      <c r="G70" s="920"/>
      <c r="H70" s="920"/>
    </row>
    <row r="71" spans="1:8" x14ac:dyDescent="0.25">
      <c r="A71" s="917" t="s">
        <v>980</v>
      </c>
      <c r="B71" s="917"/>
      <c r="C71" s="917"/>
      <c r="D71" s="917"/>
      <c r="E71" s="917"/>
      <c r="F71" s="917"/>
      <c r="G71" s="917"/>
      <c r="H71" s="917"/>
    </row>
    <row r="72" spans="1:8" x14ac:dyDescent="0.25">
      <c r="A72" s="916" t="s">
        <v>981</v>
      </c>
      <c r="B72" s="916"/>
      <c r="C72" s="916"/>
      <c r="D72" s="916"/>
      <c r="E72" s="916"/>
      <c r="F72" s="916"/>
      <c r="G72" s="916"/>
      <c r="H72" s="916"/>
    </row>
    <row r="73" spans="1:8" x14ac:dyDescent="0.25">
      <c r="A73" s="916" t="s">
        <v>982</v>
      </c>
      <c r="B73" s="916"/>
      <c r="C73" s="916"/>
      <c r="D73" s="916"/>
      <c r="E73" s="916"/>
      <c r="F73" s="916"/>
      <c r="G73" s="916"/>
      <c r="H73" s="916"/>
    </row>
    <row r="74" spans="1:8" x14ac:dyDescent="0.25">
      <c r="A74" s="917" t="s">
        <v>983</v>
      </c>
      <c r="B74" s="917"/>
      <c r="C74" s="917"/>
      <c r="D74" s="917"/>
      <c r="E74" s="917"/>
      <c r="F74" s="917"/>
      <c r="G74" s="917"/>
      <c r="H74" s="917"/>
    </row>
    <row r="76" spans="1:8" x14ac:dyDescent="0.25">
      <c r="A76" s="918" t="s">
        <v>984</v>
      </c>
      <c r="B76" s="918"/>
      <c r="C76" s="918"/>
      <c r="D76" s="918"/>
      <c r="E76" s="918"/>
      <c r="F76" s="918"/>
      <c r="G76" s="918"/>
      <c r="H76" s="918"/>
    </row>
    <row r="78" spans="1:8" x14ac:dyDescent="0.25">
      <c r="A78" s="36" t="s">
        <v>290</v>
      </c>
    </row>
    <row r="80" spans="1:8" x14ac:dyDescent="0.25">
      <c r="A80" s="36" t="s">
        <v>291</v>
      </c>
    </row>
    <row r="82" spans="1:1" x14ac:dyDescent="0.25">
      <c r="A82" s="76"/>
    </row>
    <row r="88" spans="1:1" x14ac:dyDescent="0.25">
      <c r="A88" s="114"/>
    </row>
    <row r="89" spans="1:1" x14ac:dyDescent="0.25">
      <c r="A89" s="114"/>
    </row>
    <row r="90" spans="1:1" x14ac:dyDescent="0.25">
      <c r="A90" s="114"/>
    </row>
  </sheetData>
  <mergeCells count="16">
    <mergeCell ref="A2:O2"/>
    <mergeCell ref="A3:O3"/>
    <mergeCell ref="A4:D4"/>
    <mergeCell ref="C5:H5"/>
    <mergeCell ref="C6:E6"/>
    <mergeCell ref="F6:I6"/>
    <mergeCell ref="A72:H72"/>
    <mergeCell ref="A73:H73"/>
    <mergeCell ref="A74:H74"/>
    <mergeCell ref="A76:H76"/>
    <mergeCell ref="A66:H66"/>
    <mergeCell ref="A67:H67"/>
    <mergeCell ref="A68:H68"/>
    <mergeCell ref="A69:H69"/>
    <mergeCell ref="A70:H70"/>
    <mergeCell ref="A71:H71"/>
  </mergeCells>
  <hyperlinks>
    <hyperlink ref="A74:H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H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H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H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2022-05-27T19:07:22Z</dcterms:modified>
  <cp:category/>
  <cp:contentStatus/>
</cp:coreProperties>
</file>